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4.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5.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6.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8.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9.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7.xml" ContentType="application/vnd.openxmlformats-officedocument.themeOverride+xml"/>
  <Override PartName="/xl/drawings/drawing10.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1.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2.xml" ContentType="application/vnd.openxmlformats-officedocument.drawing+xml"/>
  <Override PartName="/xl/tables/table1.xml" ContentType="application/vnd.openxmlformats-officedocument.spreadsheetml.tab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3.xml" ContentType="application/vnd.openxmlformats-officedocument.drawingml.chartshapes+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4.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5.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6.xml" ContentType="application/vnd.openxmlformats-officedocument.drawingml.chartshapes+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7.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8.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9.xml" ContentType="application/vnd.openxmlformats-officedocument.drawingml.chartshapes+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https://imperiallondon.sharepoint.com/sites/Year2LabGroup07-AE/Shared Documents/General/Flight Dynamics and Control Lab/"/>
    </mc:Choice>
  </mc:AlternateContent>
  <xr:revisionPtr revIDLastSave="117" documentId="8_{ED3215EC-21B4-4131-9AED-86BB584779C3}" xr6:coauthVersionLast="47" xr6:coauthVersionMax="47" xr10:uidLastSave="{1D96B205-A99F-4651-A83D-92C41A023297}"/>
  <bookViews>
    <workbookView xWindow="-108" yWindow="-108" windowWidth="23256" windowHeight="13896" firstSheet="1" activeTab="1" xr2:uid="{BEB04C14-CD4E-44C0-BD56-9F9907C3DA13}"/>
  </bookViews>
  <sheets>
    <sheet name="FlightSimData" sheetId="3" r:id="rId1"/>
    <sheet name="WindTunnelData" sheetId="2" r:id="rId2"/>
    <sheet name="CW Plots"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86" i="2" l="1"/>
  <c r="AW87" i="2" s="1"/>
  <c r="AW88" i="2" s="1"/>
  <c r="AW89" i="2" s="1"/>
  <c r="AW90" i="2" s="1"/>
  <c r="AW91" i="2" s="1"/>
  <c r="AW92" i="2" s="1"/>
  <c r="AW93" i="2" s="1"/>
  <c r="AW67" i="2"/>
  <c r="AW68" i="2" s="1"/>
  <c r="AW69" i="2" s="1"/>
  <c r="AW70" i="2" s="1"/>
  <c r="AW71" i="2" s="1"/>
  <c r="AW72" i="2" s="1"/>
  <c r="AW73" i="2" s="1"/>
  <c r="BA67" i="2"/>
  <c r="BA68" i="2"/>
  <c r="BA69" i="2"/>
  <c r="BA70" i="2"/>
  <c r="BA71" i="2"/>
  <c r="BA72" i="2"/>
  <c r="BA73" i="2"/>
  <c r="BA79" i="2"/>
  <c r="BA80" i="2"/>
  <c r="BA81" i="2"/>
  <c r="BA82" i="2"/>
  <c r="BA83" i="2"/>
  <c r="BA84" i="2"/>
  <c r="BA85" i="2"/>
  <c r="BA86" i="2"/>
  <c r="BA87" i="2"/>
  <c r="BA88" i="2"/>
  <c r="BA89" i="2"/>
  <c r="BA90" i="2"/>
  <c r="BA91" i="2"/>
  <c r="BA92" i="2"/>
  <c r="BA93" i="2"/>
  <c r="BA66" i="2"/>
  <c r="X62" i="2"/>
  <c r="X63" i="2" s="1"/>
  <c r="X64" i="2" s="1"/>
  <c r="X65" i="2" s="1"/>
  <c r="X66" i="2" s="1"/>
  <c r="X61" i="2"/>
  <c r="X60" i="2"/>
  <c r="CB28" i="2"/>
  <c r="CB29" i="2"/>
  <c r="CB30" i="2"/>
  <c r="CB31" i="2"/>
  <c r="CB32" i="2"/>
  <c r="CB33" i="2"/>
  <c r="CC28" i="2"/>
  <c r="CD28" i="2"/>
  <c r="CC29" i="2"/>
  <c r="CD29" i="2"/>
  <c r="CC30" i="2"/>
  <c r="CD30" i="2"/>
  <c r="CC31" i="2"/>
  <c r="CD31" i="2"/>
  <c r="CC32" i="2"/>
  <c r="CD32" i="2"/>
  <c r="CC33" i="2"/>
  <c r="CD33" i="2"/>
  <c r="CC34" i="2"/>
  <c r="CD34" i="2"/>
  <c r="CC35" i="2"/>
  <c r="CD35" i="2"/>
  <c r="CB34" i="2"/>
  <c r="CB35" i="2"/>
  <c r="W104" i="3"/>
  <c r="R30" i="3"/>
  <c r="R31" i="3"/>
  <c r="R32" i="3"/>
  <c r="R33" i="3"/>
  <c r="R34" i="3"/>
  <c r="R35" i="3"/>
  <c r="R36" i="3"/>
  <c r="R29" i="3"/>
  <c r="P29" i="3"/>
  <c r="DX40" i="2"/>
  <c r="W103" i="3"/>
  <c r="CW15" i="2"/>
  <c r="DI12" i="2" s="1"/>
  <c r="DJ12" i="2" s="1"/>
  <c r="DB10" i="2"/>
  <c r="DB12" i="2"/>
  <c r="DF14" i="2" s="1"/>
  <c r="DC12" i="2"/>
  <c r="DF15" i="2" s="1"/>
  <c r="CW16" i="2"/>
  <c r="CE137" i="2"/>
  <c r="CE139" i="2"/>
  <c r="CE141" i="2" s="1"/>
  <c r="CE135" i="2"/>
  <c r="DQ13" i="2" l="1"/>
  <c r="DI13" i="2"/>
  <c r="DJ13" i="2" s="1"/>
  <c r="DQ14" i="2" s="1"/>
  <c r="H53" i="3"/>
  <c r="H54" i="3"/>
  <c r="H55" i="3"/>
  <c r="H56" i="3"/>
  <c r="H57" i="3"/>
  <c r="H58" i="3"/>
  <c r="H59" i="3"/>
  <c r="H60" i="3"/>
  <c r="H61" i="3"/>
  <c r="H62" i="3"/>
  <c r="H63" i="3"/>
  <c r="H64" i="3"/>
  <c r="H52" i="3"/>
  <c r="O53" i="3"/>
  <c r="O54" i="3"/>
  <c r="O55" i="3"/>
  <c r="O56" i="3"/>
  <c r="O57" i="3"/>
  <c r="O58" i="3"/>
  <c r="O59" i="3"/>
  <c r="O60" i="3"/>
  <c r="O61" i="3"/>
  <c r="O62" i="3"/>
  <c r="O63" i="3"/>
  <c r="O64" i="3"/>
  <c r="O52" i="3"/>
  <c r="I30" i="3"/>
  <c r="I32" i="3"/>
  <c r="I33" i="3"/>
  <c r="I34" i="3"/>
  <c r="I36" i="3"/>
  <c r="I39" i="3"/>
  <c r="I40" i="3"/>
  <c r="I41" i="3"/>
  <c r="I42" i="3"/>
  <c r="I43" i="3"/>
  <c r="I44" i="3"/>
  <c r="I45" i="3"/>
  <c r="I46" i="3"/>
  <c r="BW89" i="2"/>
  <c r="BW84" i="2"/>
  <c r="J41" i="2"/>
  <c r="J42" i="2"/>
  <c r="J43" i="2"/>
  <c r="J44" i="2"/>
  <c r="J45" i="2"/>
  <c r="J46" i="2"/>
  <c r="J47" i="2"/>
  <c r="J48" i="2"/>
  <c r="J49" i="2"/>
  <c r="J50" i="2"/>
  <c r="J51" i="2"/>
  <c r="J52" i="2"/>
  <c r="J53" i="2"/>
  <c r="J54" i="2"/>
  <c r="J55" i="2"/>
  <c r="J40" i="2"/>
  <c r="J29" i="2"/>
  <c r="J30" i="2"/>
  <c r="J31" i="2"/>
  <c r="J32" i="2"/>
  <c r="J33" i="2"/>
  <c r="J34" i="2"/>
  <c r="J35" i="2"/>
  <c r="J28" i="2"/>
  <c r="J17" i="2"/>
  <c r="J18" i="2"/>
  <c r="J19" i="2"/>
  <c r="J20" i="2"/>
  <c r="J21" i="2"/>
  <c r="J22" i="2"/>
  <c r="J23" i="2"/>
  <c r="J16" i="2"/>
  <c r="AP17" i="2"/>
  <c r="AP18" i="2"/>
  <c r="AP19" i="2"/>
  <c r="AP20" i="2"/>
  <c r="AP21" i="2"/>
  <c r="AP22" i="2"/>
  <c r="AP23" i="2"/>
  <c r="AN28" i="2"/>
  <c r="AO28" i="2"/>
  <c r="AP28" i="2"/>
  <c r="AN29" i="2"/>
  <c r="AO29" i="2"/>
  <c r="AP29" i="2"/>
  <c r="AN30" i="2"/>
  <c r="AO30" i="2"/>
  <c r="AP30" i="2"/>
  <c r="AN31" i="2"/>
  <c r="AO31" i="2"/>
  <c r="AP31" i="2"/>
  <c r="AN32" i="2"/>
  <c r="AO32" i="2"/>
  <c r="AP32" i="2"/>
  <c r="AN33" i="2"/>
  <c r="AO33" i="2"/>
  <c r="AP33" i="2"/>
  <c r="AN34" i="2"/>
  <c r="AO34" i="2"/>
  <c r="AP34" i="2"/>
  <c r="AN35" i="2"/>
  <c r="AO35" i="2"/>
  <c r="AP35" i="2"/>
  <c r="AN40" i="2"/>
  <c r="AO40" i="2"/>
  <c r="AP40" i="2"/>
  <c r="AN41" i="2"/>
  <c r="AO41" i="2"/>
  <c r="AP41" i="2"/>
  <c r="AN42" i="2"/>
  <c r="AO42" i="2"/>
  <c r="AP42" i="2"/>
  <c r="AN43" i="2"/>
  <c r="AO43" i="2"/>
  <c r="AP43" i="2"/>
  <c r="AN44" i="2"/>
  <c r="AO44" i="2"/>
  <c r="AP44" i="2"/>
  <c r="AN45" i="2"/>
  <c r="AO45" i="2"/>
  <c r="AP45" i="2"/>
  <c r="AN46" i="2"/>
  <c r="AO46" i="2"/>
  <c r="AP46" i="2"/>
  <c r="AN47" i="2"/>
  <c r="AO47" i="2"/>
  <c r="AP47" i="2"/>
  <c r="AP48" i="2"/>
  <c r="AP49" i="2"/>
  <c r="AP50" i="2"/>
  <c r="AP51" i="2"/>
  <c r="AP52" i="2"/>
  <c r="AP53" i="2"/>
  <c r="AP54" i="2"/>
  <c r="AP55" i="2"/>
  <c r="AP16" i="2"/>
  <c r="AC54" i="2"/>
  <c r="AC55" i="2"/>
  <c r="AB55" i="2"/>
  <c r="AB54" i="2"/>
  <c r="AA54" i="2"/>
  <c r="AA55" i="2"/>
  <c r="W17" i="2"/>
  <c r="X17" i="2"/>
  <c r="Y17" i="2"/>
  <c r="W18" i="2"/>
  <c r="X18" i="2"/>
  <c r="Y18" i="2"/>
  <c r="W19" i="2"/>
  <c r="X19" i="2"/>
  <c r="Y19" i="2"/>
  <c r="W20" i="2"/>
  <c r="X20" i="2"/>
  <c r="Y20" i="2"/>
  <c r="W21" i="2"/>
  <c r="X21" i="2"/>
  <c r="Y21" i="2"/>
  <c r="W22" i="2"/>
  <c r="X22" i="2"/>
  <c r="Y22" i="2"/>
  <c r="W23" i="2"/>
  <c r="X23" i="2"/>
  <c r="Y23" i="2"/>
  <c r="W28" i="2"/>
  <c r="X28" i="2"/>
  <c r="Y28" i="2"/>
  <c r="W29" i="2"/>
  <c r="X29" i="2"/>
  <c r="Y29" i="2"/>
  <c r="W30" i="2"/>
  <c r="X30" i="2"/>
  <c r="Y30" i="2"/>
  <c r="W31" i="2"/>
  <c r="X31" i="2"/>
  <c r="Y31" i="2"/>
  <c r="W32" i="2"/>
  <c r="X32" i="2"/>
  <c r="Y32" i="2"/>
  <c r="W33" i="2"/>
  <c r="X33" i="2"/>
  <c r="Y33" i="2"/>
  <c r="W34" i="2"/>
  <c r="X34" i="2"/>
  <c r="Y34" i="2"/>
  <c r="W35" i="2"/>
  <c r="X35" i="2"/>
  <c r="Y35" i="2"/>
  <c r="W40" i="2"/>
  <c r="X40" i="2"/>
  <c r="Y40" i="2"/>
  <c r="W41" i="2"/>
  <c r="X41" i="2"/>
  <c r="Y41" i="2"/>
  <c r="W42" i="2"/>
  <c r="X42" i="2"/>
  <c r="Y42" i="2"/>
  <c r="W43" i="2"/>
  <c r="X43" i="2"/>
  <c r="Y43" i="2"/>
  <c r="W44" i="2"/>
  <c r="X44" i="2"/>
  <c r="Y44" i="2"/>
  <c r="W45" i="2"/>
  <c r="X45" i="2"/>
  <c r="Y45" i="2"/>
  <c r="W46" i="2"/>
  <c r="X46" i="2"/>
  <c r="Y46" i="2"/>
  <c r="W47" i="2"/>
  <c r="X47" i="2"/>
  <c r="Y47" i="2"/>
  <c r="W48" i="2"/>
  <c r="X48" i="2"/>
  <c r="Y48" i="2"/>
  <c r="W49" i="2"/>
  <c r="X49" i="2"/>
  <c r="Y49" i="2"/>
  <c r="W50" i="2"/>
  <c r="X50" i="2"/>
  <c r="Y50" i="2"/>
  <c r="W51" i="2"/>
  <c r="X51" i="2"/>
  <c r="Y51" i="2"/>
  <c r="W52" i="2"/>
  <c r="X52" i="2"/>
  <c r="Y52" i="2"/>
  <c r="W53" i="2"/>
  <c r="X53" i="2"/>
  <c r="Y53" i="2"/>
  <c r="W54" i="2"/>
  <c r="X54" i="2"/>
  <c r="Y54" i="2"/>
  <c r="W55" i="2"/>
  <c r="X55" i="2"/>
  <c r="Y55" i="2"/>
  <c r="Y16" i="2"/>
  <c r="X16" i="2"/>
  <c r="W16" i="2"/>
  <c r="AA53" i="3"/>
  <c r="AA54" i="3"/>
  <c r="AA55" i="3"/>
  <c r="AA56" i="3"/>
  <c r="AA57" i="3"/>
  <c r="AA58" i="3"/>
  <c r="AA59" i="3"/>
  <c r="AA60" i="3"/>
  <c r="AA61" i="3"/>
  <c r="AA62" i="3"/>
  <c r="AA63" i="3"/>
  <c r="AA64" i="3"/>
  <c r="AA52" i="3"/>
  <c r="C24" i="3"/>
  <c r="G71" i="3"/>
  <c r="G72" i="3"/>
  <c r="G73" i="3"/>
  <c r="G74" i="3"/>
  <c r="G75" i="3"/>
  <c r="G76" i="3"/>
  <c r="G77" i="3"/>
  <c r="G78" i="3"/>
  <c r="G79" i="3"/>
  <c r="G80" i="3"/>
  <c r="G81" i="3"/>
  <c r="G82" i="3"/>
  <c r="G83" i="3"/>
  <c r="G84" i="3"/>
  <c r="G85" i="3"/>
  <c r="G86" i="3"/>
  <c r="G87" i="3"/>
  <c r="G70" i="3"/>
  <c r="E53" i="3"/>
  <c r="E54" i="3"/>
  <c r="E55" i="3"/>
  <c r="E56" i="3"/>
  <c r="E57" i="3"/>
  <c r="E58" i="3"/>
  <c r="E59" i="3"/>
  <c r="E60" i="3"/>
  <c r="E61" i="3"/>
  <c r="E62" i="3"/>
  <c r="E63" i="3"/>
  <c r="E64" i="3"/>
  <c r="E52" i="3"/>
  <c r="F40" i="3"/>
  <c r="F41" i="3"/>
  <c r="F42" i="3"/>
  <c r="F43" i="3"/>
  <c r="F44" i="3"/>
  <c r="F45" i="3"/>
  <c r="F46" i="3"/>
  <c r="F39" i="3"/>
  <c r="F30" i="3"/>
  <c r="F31" i="3"/>
  <c r="F32" i="3"/>
  <c r="F33" i="3"/>
  <c r="F34" i="3"/>
  <c r="F35" i="3"/>
  <c r="F36" i="3"/>
  <c r="F29" i="3"/>
  <c r="D16" i="3"/>
  <c r="D15" i="3"/>
  <c r="N53" i="3"/>
  <c r="N54" i="3"/>
  <c r="N55" i="3"/>
  <c r="N56" i="3"/>
  <c r="N57" i="3"/>
  <c r="N58" i="3"/>
  <c r="N59" i="3"/>
  <c r="N60" i="3"/>
  <c r="N61" i="3"/>
  <c r="N62" i="3"/>
  <c r="N63" i="3"/>
  <c r="N64" i="3"/>
  <c r="N52" i="3"/>
  <c r="M53" i="3"/>
  <c r="M54" i="3"/>
  <c r="M55" i="3"/>
  <c r="M56" i="3"/>
  <c r="M57" i="3"/>
  <c r="M58" i="3"/>
  <c r="M59" i="3"/>
  <c r="M60" i="3"/>
  <c r="M61" i="3"/>
  <c r="M62" i="3"/>
  <c r="M63" i="3"/>
  <c r="M64" i="3"/>
  <c r="M52" i="3"/>
  <c r="K87" i="3"/>
  <c r="K86" i="3"/>
  <c r="K85" i="3"/>
  <c r="K84" i="3"/>
  <c r="K83" i="3"/>
  <c r="K82" i="3"/>
  <c r="K81" i="3"/>
  <c r="K80" i="3"/>
  <c r="K79" i="3"/>
  <c r="K78" i="3"/>
  <c r="K77" i="3"/>
  <c r="K76" i="3"/>
  <c r="K75" i="3"/>
  <c r="K74" i="3"/>
  <c r="K73" i="3"/>
  <c r="K72" i="3"/>
  <c r="K71" i="3"/>
  <c r="K70" i="3"/>
  <c r="H35" i="3"/>
  <c r="I35" i="3" s="1"/>
  <c r="D11" i="3"/>
  <c r="D10" i="3"/>
  <c r="H31" i="3"/>
  <c r="I31" i="3" s="1"/>
  <c r="D9" i="3"/>
  <c r="H29" i="3"/>
  <c r="I29" i="3" s="1"/>
  <c r="CR40" i="2"/>
  <c r="CR28" i="2"/>
  <c r="CF99" i="2"/>
  <c r="CH99" i="2" s="1"/>
  <c r="CF98" i="2"/>
  <c r="CH98" i="2" s="1"/>
  <c r="CE99" i="2"/>
  <c r="CG99" i="2" s="1"/>
  <c r="CE98" i="2"/>
  <c r="CG98" i="2" s="1"/>
  <c r="BQ89" i="2"/>
  <c r="BQ84" i="2"/>
  <c r="G56" i="2"/>
  <c r="AC53" i="2"/>
  <c r="AB53" i="2"/>
  <c r="AA53" i="2"/>
  <c r="AC52" i="2"/>
  <c r="AB52" i="2"/>
  <c r="AA52" i="2"/>
  <c r="AC51" i="2"/>
  <c r="AB51" i="2"/>
  <c r="AA51" i="2"/>
  <c r="AC50" i="2"/>
  <c r="AB50" i="2"/>
  <c r="AA50" i="2"/>
  <c r="AC49" i="2"/>
  <c r="AB49" i="2"/>
  <c r="AA49" i="2"/>
  <c r="AC48" i="2"/>
  <c r="AB48" i="2"/>
  <c r="AA48" i="2"/>
  <c r="C48" i="2"/>
  <c r="C49" i="2" s="1"/>
  <c r="AC47" i="2"/>
  <c r="AH47" i="2" s="1"/>
  <c r="AB47" i="2"/>
  <c r="AG47" i="2" s="1"/>
  <c r="AA47" i="2"/>
  <c r="AF47" i="2" s="1"/>
  <c r="AC46" i="2"/>
  <c r="AH46" i="2" s="1"/>
  <c r="AB46" i="2"/>
  <c r="AG46" i="2" s="1"/>
  <c r="AA46" i="2"/>
  <c r="AF46" i="2" s="1"/>
  <c r="AC45" i="2"/>
  <c r="AH45" i="2" s="1"/>
  <c r="AB45" i="2"/>
  <c r="AG45" i="2" s="1"/>
  <c r="AA45" i="2"/>
  <c r="AF45" i="2" s="1"/>
  <c r="AC44" i="2"/>
  <c r="AH44" i="2" s="1"/>
  <c r="AB44" i="2"/>
  <c r="AG44" i="2" s="1"/>
  <c r="AA44" i="2"/>
  <c r="AF44" i="2" s="1"/>
  <c r="AC43" i="2"/>
  <c r="AH43" i="2" s="1"/>
  <c r="AB43" i="2"/>
  <c r="AG43" i="2" s="1"/>
  <c r="AA43" i="2"/>
  <c r="AF43" i="2" s="1"/>
  <c r="AC42" i="2"/>
  <c r="AH42" i="2" s="1"/>
  <c r="AB42" i="2"/>
  <c r="AG42" i="2" s="1"/>
  <c r="AA42" i="2"/>
  <c r="AF42" i="2" s="1"/>
  <c r="AC41" i="2"/>
  <c r="AH41" i="2" s="1"/>
  <c r="AB41" i="2"/>
  <c r="AG41" i="2" s="1"/>
  <c r="AA41" i="2"/>
  <c r="AF41" i="2" s="1"/>
  <c r="AC40" i="2"/>
  <c r="AH40" i="2" s="1"/>
  <c r="AB40" i="2"/>
  <c r="AG40" i="2" s="1"/>
  <c r="AA40" i="2"/>
  <c r="AF40" i="2" s="1"/>
  <c r="G36" i="2"/>
  <c r="AC35" i="2"/>
  <c r="AH35" i="2" s="1"/>
  <c r="AB35" i="2"/>
  <c r="AG35" i="2" s="1"/>
  <c r="AA35" i="2"/>
  <c r="AF35" i="2" s="1"/>
  <c r="AC34" i="2"/>
  <c r="AH34" i="2" s="1"/>
  <c r="AB34" i="2"/>
  <c r="AG34" i="2" s="1"/>
  <c r="AA34" i="2"/>
  <c r="AF34" i="2" s="1"/>
  <c r="AC33" i="2"/>
  <c r="AH33" i="2" s="1"/>
  <c r="AB33" i="2"/>
  <c r="AG33" i="2" s="1"/>
  <c r="AA33" i="2"/>
  <c r="AF33" i="2" s="1"/>
  <c r="AC32" i="2"/>
  <c r="AH32" i="2" s="1"/>
  <c r="AB32" i="2"/>
  <c r="AG32" i="2" s="1"/>
  <c r="AA32" i="2"/>
  <c r="AF32" i="2" s="1"/>
  <c r="AC31" i="2"/>
  <c r="AH31" i="2" s="1"/>
  <c r="AB31" i="2"/>
  <c r="AG31" i="2" s="1"/>
  <c r="AA31" i="2"/>
  <c r="AF31" i="2" s="1"/>
  <c r="AC30" i="2"/>
  <c r="AH30" i="2" s="1"/>
  <c r="AB30" i="2"/>
  <c r="AG30" i="2" s="1"/>
  <c r="AA30" i="2"/>
  <c r="AF30" i="2" s="1"/>
  <c r="AC29" i="2"/>
  <c r="AH29" i="2" s="1"/>
  <c r="AB29" i="2"/>
  <c r="AG29" i="2" s="1"/>
  <c r="AA29" i="2"/>
  <c r="AF29" i="2" s="1"/>
  <c r="C29" i="2"/>
  <c r="C30" i="2" s="1"/>
  <c r="AC28" i="2"/>
  <c r="AH28" i="2" s="1"/>
  <c r="AB28" i="2"/>
  <c r="AG28" i="2" s="1"/>
  <c r="AA28" i="2"/>
  <c r="AF28" i="2" s="1"/>
  <c r="G24" i="2"/>
  <c r="AC23" i="2"/>
  <c r="AB23" i="2"/>
  <c r="AA23" i="2"/>
  <c r="AC22" i="2"/>
  <c r="AB22" i="2"/>
  <c r="AA22" i="2"/>
  <c r="AC21" i="2"/>
  <c r="AB21" i="2"/>
  <c r="AA21" i="2"/>
  <c r="AC20" i="2"/>
  <c r="AB20" i="2"/>
  <c r="AA20" i="2"/>
  <c r="AC19" i="2"/>
  <c r="AB19" i="2"/>
  <c r="AA19" i="2"/>
  <c r="AC18" i="2"/>
  <c r="AB18" i="2"/>
  <c r="AA18" i="2"/>
  <c r="AC17" i="2"/>
  <c r="AB17" i="2"/>
  <c r="AA17" i="2"/>
  <c r="C17" i="2"/>
  <c r="AC16" i="2"/>
  <c r="AB16" i="2"/>
  <c r="AA16" i="2"/>
  <c r="D16" i="2"/>
  <c r="AO16" i="2" s="1"/>
  <c r="C10" i="2"/>
  <c r="AB52" i="3" l="1"/>
  <c r="AB64" i="3"/>
  <c r="AB63" i="3"/>
  <c r="AB62" i="3"/>
  <c r="AB61" i="3"/>
  <c r="AB60" i="3"/>
  <c r="AB59" i="3"/>
  <c r="AB58" i="3"/>
  <c r="AB57" i="3"/>
  <c r="AB56" i="3"/>
  <c r="AB55" i="3"/>
  <c r="AB54" i="3"/>
  <c r="AB53" i="3"/>
  <c r="CC18" i="2"/>
  <c r="AG16" i="2"/>
  <c r="AK30" i="2"/>
  <c r="AR30" i="2" s="1"/>
  <c r="AN16" i="2"/>
  <c r="AF16" i="2"/>
  <c r="AK35" i="2"/>
  <c r="AR35" i="2" s="1"/>
  <c r="AK44" i="2"/>
  <c r="AR44" i="2" s="1"/>
  <c r="AK43" i="2"/>
  <c r="AR43" i="2" s="1"/>
  <c r="AK47" i="2"/>
  <c r="AR47" i="2" s="1"/>
  <c r="AK32" i="2"/>
  <c r="AR32" i="2" s="1"/>
  <c r="O85" i="3"/>
  <c r="S85" i="3" s="1"/>
  <c r="T85" i="3" s="1"/>
  <c r="O73" i="3"/>
  <c r="S73" i="3" s="1"/>
  <c r="T73" i="3" s="1"/>
  <c r="S60" i="3"/>
  <c r="V60" i="3" s="1"/>
  <c r="S53" i="3"/>
  <c r="V53" i="3" s="1"/>
  <c r="S61" i="3"/>
  <c r="V61" i="3" s="1"/>
  <c r="T60" i="3"/>
  <c r="O70" i="3"/>
  <c r="S70" i="3" s="1"/>
  <c r="T70" i="3" s="1"/>
  <c r="T59" i="3"/>
  <c r="W59" i="3" s="1"/>
  <c r="O71" i="3"/>
  <c r="S71" i="3" s="1"/>
  <c r="T71" i="3" s="1"/>
  <c r="O87" i="3"/>
  <c r="S87" i="3" s="1"/>
  <c r="T87" i="3" s="1"/>
  <c r="O72" i="3"/>
  <c r="S72" i="3" s="1"/>
  <c r="T72" i="3" s="1"/>
  <c r="O46" i="3"/>
  <c r="R46" i="3" s="1"/>
  <c r="O86" i="3"/>
  <c r="S86" i="3" s="1"/>
  <c r="T86" i="3" s="1"/>
  <c r="S59" i="3"/>
  <c r="T58" i="3"/>
  <c r="W58" i="3" s="1"/>
  <c r="O83" i="3"/>
  <c r="S83" i="3" s="1"/>
  <c r="T83" i="3" s="1"/>
  <c r="T57" i="3"/>
  <c r="W57" i="3" s="1"/>
  <c r="S57" i="3"/>
  <c r="O81" i="3"/>
  <c r="S81" i="3" s="1"/>
  <c r="T81" i="3" s="1"/>
  <c r="T56" i="3"/>
  <c r="W56" i="3" s="1"/>
  <c r="S64" i="3"/>
  <c r="V64" i="3" s="1"/>
  <c r="O79" i="3"/>
  <c r="S79" i="3" s="1"/>
  <c r="T79" i="3" s="1"/>
  <c r="T55" i="3"/>
  <c r="W55" i="3" s="1"/>
  <c r="O78" i="3"/>
  <c r="S78" i="3" s="1"/>
  <c r="T78" i="3" s="1"/>
  <c r="S55" i="3"/>
  <c r="T62" i="3"/>
  <c r="W62" i="3" s="1"/>
  <c r="T54" i="3"/>
  <c r="W54" i="3" s="1"/>
  <c r="O76" i="3"/>
  <c r="S76" i="3" s="1"/>
  <c r="T76" i="3" s="1"/>
  <c r="S62" i="3"/>
  <c r="S54" i="3"/>
  <c r="O75" i="3"/>
  <c r="S75" i="3" s="1"/>
  <c r="T75" i="3" s="1"/>
  <c r="O84" i="3"/>
  <c r="S84" i="3" s="1"/>
  <c r="T84" i="3" s="1"/>
  <c r="S58" i="3"/>
  <c r="S52" i="3"/>
  <c r="O82" i="3"/>
  <c r="S82" i="3" s="1"/>
  <c r="T82" i="3" s="1"/>
  <c r="T52" i="3"/>
  <c r="W52" i="3" s="1"/>
  <c r="T64" i="3"/>
  <c r="W64" i="3" s="1"/>
  <c r="O80" i="3"/>
  <c r="S80" i="3" s="1"/>
  <c r="T80" i="3" s="1"/>
  <c r="S56" i="3"/>
  <c r="T63" i="3"/>
  <c r="W63" i="3" s="1"/>
  <c r="S63" i="3"/>
  <c r="O77" i="3"/>
  <c r="S77" i="3" s="1"/>
  <c r="T77" i="3" s="1"/>
  <c r="T61" i="3"/>
  <c r="W61" i="3" s="1"/>
  <c r="T53" i="3"/>
  <c r="W53" i="3" s="1"/>
  <c r="O74" i="3"/>
  <c r="S74" i="3" s="1"/>
  <c r="T74" i="3" s="1"/>
  <c r="P52" i="3"/>
  <c r="P64" i="3"/>
  <c r="O30" i="3"/>
  <c r="P60" i="3"/>
  <c r="P63" i="3"/>
  <c r="P62" i="3"/>
  <c r="P61" i="3"/>
  <c r="P59" i="3"/>
  <c r="O31" i="3"/>
  <c r="O34" i="3"/>
  <c r="O29" i="3"/>
  <c r="O33" i="3"/>
  <c r="O45" i="3"/>
  <c r="R45" i="3" s="1"/>
  <c r="O44" i="3"/>
  <c r="R44" i="3" s="1"/>
  <c r="O43" i="3"/>
  <c r="R43" i="3" s="1"/>
  <c r="P58" i="3"/>
  <c r="O42" i="3"/>
  <c r="R42" i="3" s="1"/>
  <c r="P57" i="3"/>
  <c r="O41" i="3"/>
  <c r="R41" i="3" s="1"/>
  <c r="P56" i="3"/>
  <c r="O40" i="3"/>
  <c r="R40" i="3" s="1"/>
  <c r="P55" i="3"/>
  <c r="O39" i="3"/>
  <c r="R39" i="3" s="1"/>
  <c r="P54" i="3"/>
  <c r="O36" i="3"/>
  <c r="P53" i="3"/>
  <c r="O35" i="3"/>
  <c r="O32" i="3"/>
  <c r="AK31" i="2"/>
  <c r="AR31" i="2" s="1"/>
  <c r="AK40" i="2"/>
  <c r="AR40" i="2" s="1"/>
  <c r="AK45" i="2"/>
  <c r="AR45" i="2" s="1"/>
  <c r="AM34" i="2"/>
  <c r="AM47" i="2"/>
  <c r="AL35" i="2"/>
  <c r="AS35" i="2" s="1"/>
  <c r="AL34" i="2"/>
  <c r="AS34" i="2" s="1"/>
  <c r="AL41" i="2"/>
  <c r="AS41" i="2" s="1"/>
  <c r="AL46" i="2"/>
  <c r="AS46" i="2" s="1"/>
  <c r="AK33" i="2"/>
  <c r="AR33" i="2" s="1"/>
  <c r="AM35" i="2"/>
  <c r="AM31" i="2"/>
  <c r="AL32" i="2"/>
  <c r="AS32" i="2" s="1"/>
  <c r="AL30" i="2"/>
  <c r="AS30" i="2" s="1"/>
  <c r="AL47" i="2"/>
  <c r="AS47" i="2" s="1"/>
  <c r="AL42" i="2"/>
  <c r="AS42" i="2" s="1"/>
  <c r="C31" i="2"/>
  <c r="D17" i="2"/>
  <c r="C18" i="2"/>
  <c r="AL28" i="2"/>
  <c r="AS28" i="2" s="1"/>
  <c r="AH16" i="2"/>
  <c r="AL29" i="2"/>
  <c r="AS29" i="2" s="1"/>
  <c r="AK34" i="2"/>
  <c r="AR34" i="2" s="1"/>
  <c r="AM30" i="2"/>
  <c r="AM42" i="2"/>
  <c r="AK42" i="2"/>
  <c r="AR42" i="2" s="1"/>
  <c r="AL45" i="2"/>
  <c r="AS45" i="2" s="1"/>
  <c r="D49" i="2"/>
  <c r="C50" i="2"/>
  <c r="AM29" i="2"/>
  <c r="AM32" i="2"/>
  <c r="AM45" i="2"/>
  <c r="D48" i="2"/>
  <c r="AK29" i="2"/>
  <c r="AR29" i="2" s="1"/>
  <c r="AL33" i="2"/>
  <c r="AS33" i="2" s="1"/>
  <c r="AL43" i="2"/>
  <c r="AS43" i="2" s="1"/>
  <c r="AM33" i="2"/>
  <c r="AM43" i="2"/>
  <c r="AM46" i="2"/>
  <c r="AK46" i="2"/>
  <c r="AR46" i="2" s="1"/>
  <c r="AM28" i="2"/>
  <c r="AM41" i="2"/>
  <c r="AK28" i="2"/>
  <c r="AR28" i="2" s="1"/>
  <c r="AL31" i="2"/>
  <c r="AS31" i="2" s="1"/>
  <c r="AK41" i="2"/>
  <c r="AR41" i="2" s="1"/>
  <c r="AL40" i="2"/>
  <c r="AS40" i="2" s="1"/>
  <c r="AM40" i="2"/>
  <c r="AL44" i="2"/>
  <c r="AS44" i="2" s="1"/>
  <c r="AM44" i="2"/>
  <c r="P71" i="3" l="1"/>
  <c r="W107" i="3" s="1"/>
  <c r="AY47" i="2"/>
  <c r="BF47" i="2" s="1"/>
  <c r="BM47" i="2" s="1"/>
  <c r="AU47" i="2"/>
  <c r="BB47" i="2" s="1"/>
  <c r="BI47" i="2" s="1"/>
  <c r="AY42" i="2"/>
  <c r="BF42" i="2" s="1"/>
  <c r="BP42" i="2" s="1"/>
  <c r="AU42" i="2"/>
  <c r="BB42" i="2" s="1"/>
  <c r="BI42" i="2" s="1"/>
  <c r="AY44" i="2"/>
  <c r="BF44" i="2" s="1"/>
  <c r="BP44" i="2" s="1"/>
  <c r="AU44" i="2"/>
  <c r="BB44" i="2" s="1"/>
  <c r="BI44" i="2" s="1"/>
  <c r="AY34" i="2"/>
  <c r="BF34" i="2" s="1"/>
  <c r="BP34" i="2" s="1"/>
  <c r="AU34" i="2"/>
  <c r="BB34" i="2" s="1"/>
  <c r="BI34" i="2" s="1"/>
  <c r="AZ28" i="2"/>
  <c r="BG28" i="2" s="1"/>
  <c r="AV28" i="2"/>
  <c r="BC28" i="2" s="1"/>
  <c r="BJ28" i="2" s="1"/>
  <c r="AY40" i="2"/>
  <c r="BF40" i="2" s="1"/>
  <c r="BM40" i="2" s="1"/>
  <c r="AU40" i="2"/>
  <c r="BB40" i="2" s="1"/>
  <c r="BI40" i="2" s="1"/>
  <c r="AY35" i="2"/>
  <c r="BF35" i="2" s="1"/>
  <c r="BP35" i="2" s="1"/>
  <c r="AU35" i="2"/>
  <c r="BB35" i="2" s="1"/>
  <c r="BI35" i="2" s="1"/>
  <c r="AY28" i="2"/>
  <c r="BF28" i="2" s="1"/>
  <c r="BM28" i="2" s="1"/>
  <c r="AU28" i="2"/>
  <c r="BB28" i="2" s="1"/>
  <c r="BI28" i="2" s="1"/>
  <c r="AZ33" i="2"/>
  <c r="BG33" i="2" s="1"/>
  <c r="AV33" i="2"/>
  <c r="BC33" i="2" s="1"/>
  <c r="BJ33" i="2" s="1"/>
  <c r="AY31" i="2"/>
  <c r="BF31" i="2" s="1"/>
  <c r="BP31" i="2" s="1"/>
  <c r="AU31" i="2"/>
  <c r="BB31" i="2" s="1"/>
  <c r="BI31" i="2" s="1"/>
  <c r="AY46" i="2"/>
  <c r="BF46" i="2" s="1"/>
  <c r="BP46" i="2" s="1"/>
  <c r="AU46" i="2"/>
  <c r="BB46" i="2" s="1"/>
  <c r="BI46" i="2" s="1"/>
  <c r="AZ29" i="2"/>
  <c r="BG29" i="2" s="1"/>
  <c r="AV29" i="2"/>
  <c r="BC29" i="2" s="1"/>
  <c r="BJ29" i="2" s="1"/>
  <c r="AY29" i="2"/>
  <c r="BF29" i="2" s="1"/>
  <c r="BP29" i="2" s="1"/>
  <c r="AU29" i="2"/>
  <c r="BB29" i="2" s="1"/>
  <c r="BI29" i="2" s="1"/>
  <c r="AZ42" i="2"/>
  <c r="BG42" i="2" s="1"/>
  <c r="AV42" i="2"/>
  <c r="BC42" i="2" s="1"/>
  <c r="BJ42" i="2" s="1"/>
  <c r="AZ32" i="2"/>
  <c r="BG32" i="2" s="1"/>
  <c r="AV32" i="2"/>
  <c r="BC32" i="2" s="1"/>
  <c r="BJ32" i="2" s="1"/>
  <c r="AZ45" i="2"/>
  <c r="BG45" i="2" s="1"/>
  <c r="AV45" i="2"/>
  <c r="BC45" i="2" s="1"/>
  <c r="BJ45" i="2" s="1"/>
  <c r="AY32" i="2"/>
  <c r="BF32" i="2" s="1"/>
  <c r="BP32" i="2" s="1"/>
  <c r="AU32" i="2"/>
  <c r="BB32" i="2" s="1"/>
  <c r="BI32" i="2" s="1"/>
  <c r="AY45" i="2"/>
  <c r="BF45" i="2" s="1"/>
  <c r="BP45" i="2" s="1"/>
  <c r="AU45" i="2"/>
  <c r="BB45" i="2" s="1"/>
  <c r="BI45" i="2" s="1"/>
  <c r="AZ47" i="2"/>
  <c r="BG47" i="2" s="1"/>
  <c r="AV47" i="2"/>
  <c r="BC47" i="2" s="1"/>
  <c r="BJ47" i="2" s="1"/>
  <c r="AY30" i="2"/>
  <c r="BF30" i="2" s="1"/>
  <c r="BP30" i="2" s="1"/>
  <c r="AU30" i="2"/>
  <c r="BB30" i="2" s="1"/>
  <c r="BI30" i="2" s="1"/>
  <c r="AY41" i="2"/>
  <c r="BF41" i="2" s="1"/>
  <c r="BP41" i="2" s="1"/>
  <c r="AU41" i="2"/>
  <c r="BB41" i="2" s="1"/>
  <c r="BI41" i="2" s="1"/>
  <c r="AZ31" i="2"/>
  <c r="BG31" i="2" s="1"/>
  <c r="AV31" i="2"/>
  <c r="BC31" i="2" s="1"/>
  <c r="BJ31" i="2" s="1"/>
  <c r="AY33" i="2"/>
  <c r="BF33" i="2" s="1"/>
  <c r="BP33" i="2" s="1"/>
  <c r="AU33" i="2"/>
  <c r="BB33" i="2" s="1"/>
  <c r="BI33" i="2" s="1"/>
  <c r="AZ46" i="2"/>
  <c r="BG46" i="2" s="1"/>
  <c r="AV46" i="2"/>
  <c r="BC46" i="2" s="1"/>
  <c r="BJ46" i="2" s="1"/>
  <c r="AZ41" i="2"/>
  <c r="BG41" i="2" s="1"/>
  <c r="AV41" i="2"/>
  <c r="BC41" i="2" s="1"/>
  <c r="BJ41" i="2" s="1"/>
  <c r="AZ34" i="2"/>
  <c r="BG34" i="2" s="1"/>
  <c r="AV34" i="2"/>
  <c r="BC34" i="2" s="1"/>
  <c r="BJ34" i="2" s="1"/>
  <c r="AZ35" i="2"/>
  <c r="BG35" i="2" s="1"/>
  <c r="AV35" i="2"/>
  <c r="BC35" i="2" s="1"/>
  <c r="BJ35" i="2" s="1"/>
  <c r="AZ43" i="2"/>
  <c r="BG43" i="2" s="1"/>
  <c r="AV43" i="2"/>
  <c r="BC43" i="2" s="1"/>
  <c r="BJ43" i="2" s="1"/>
  <c r="AY43" i="2"/>
  <c r="BF43" i="2" s="1"/>
  <c r="BM43" i="2" s="1"/>
  <c r="AU43" i="2"/>
  <c r="BB43" i="2" s="1"/>
  <c r="BI43" i="2" s="1"/>
  <c r="AZ44" i="2"/>
  <c r="BG44" i="2" s="1"/>
  <c r="AV44" i="2"/>
  <c r="BC44" i="2" s="1"/>
  <c r="BJ44" i="2" s="1"/>
  <c r="AZ40" i="2"/>
  <c r="BG40" i="2" s="1"/>
  <c r="AV40" i="2"/>
  <c r="BC40" i="2" s="1"/>
  <c r="BJ40" i="2" s="1"/>
  <c r="AZ30" i="2"/>
  <c r="BG30" i="2" s="1"/>
  <c r="AV30" i="2"/>
  <c r="BC30" i="2" s="1"/>
  <c r="BJ30" i="2" s="1"/>
  <c r="AF49" i="2"/>
  <c r="AN49" i="2"/>
  <c r="AO49" i="2"/>
  <c r="AH17" i="2"/>
  <c r="AO17" i="2"/>
  <c r="AN17" i="2"/>
  <c r="AF48" i="2"/>
  <c r="AN48" i="2"/>
  <c r="AO48" i="2"/>
  <c r="AM16" i="2"/>
  <c r="AT16" i="2" s="1"/>
  <c r="AL16" i="2"/>
  <c r="AT31" i="2"/>
  <c r="AT35" i="2"/>
  <c r="AT33" i="2"/>
  <c r="AT42" i="2"/>
  <c r="AT30" i="2"/>
  <c r="AT46" i="2"/>
  <c r="AT44" i="2"/>
  <c r="AT29" i="2"/>
  <c r="AT34" i="2"/>
  <c r="AT41" i="2"/>
  <c r="AT28" i="2"/>
  <c r="AT43" i="2"/>
  <c r="AT45" i="2"/>
  <c r="AT40" i="2"/>
  <c r="AT32" i="2"/>
  <c r="AT47" i="2"/>
  <c r="R47" i="3"/>
  <c r="P74" i="3"/>
  <c r="W110" i="3" s="1"/>
  <c r="P87" i="3"/>
  <c r="P84" i="3"/>
  <c r="W120" i="3" s="1"/>
  <c r="P72" i="3"/>
  <c r="W108" i="3" s="1"/>
  <c r="P78" i="3"/>
  <c r="W114" i="3" s="1"/>
  <c r="P80" i="3"/>
  <c r="W116" i="3" s="1"/>
  <c r="P79" i="3"/>
  <c r="W115" i="3" s="1"/>
  <c r="P83" i="3"/>
  <c r="W119" i="3" s="1"/>
  <c r="P73" i="3"/>
  <c r="W109" i="3" s="1"/>
  <c r="P76" i="3"/>
  <c r="W112" i="3" s="1"/>
  <c r="P70" i="3"/>
  <c r="W106" i="3" s="1"/>
  <c r="P77" i="3"/>
  <c r="W113" i="3" s="1"/>
  <c r="P82" i="3"/>
  <c r="W118" i="3" s="1"/>
  <c r="P81" i="3"/>
  <c r="W117" i="3" s="1"/>
  <c r="P75" i="3"/>
  <c r="W111" i="3" s="1"/>
  <c r="P85" i="3"/>
  <c r="W121" i="3" s="1"/>
  <c r="P86" i="3"/>
  <c r="W122" i="3" s="1"/>
  <c r="Y60" i="3"/>
  <c r="Z60" i="3" s="1"/>
  <c r="W60" i="3"/>
  <c r="P40" i="3"/>
  <c r="P30" i="3"/>
  <c r="V55" i="3"/>
  <c r="Y55" i="3"/>
  <c r="Z55" i="3" s="1"/>
  <c r="P44" i="3"/>
  <c r="P46" i="3"/>
  <c r="Y64" i="3"/>
  <c r="Z64" i="3" s="1"/>
  <c r="P33" i="3"/>
  <c r="P31" i="3"/>
  <c r="V63" i="3"/>
  <c r="Y63" i="3"/>
  <c r="Z63" i="3" s="1"/>
  <c r="V57" i="3"/>
  <c r="Y57" i="3"/>
  <c r="Z57" i="3" s="1"/>
  <c r="V56" i="3"/>
  <c r="Y56" i="3"/>
  <c r="Z56" i="3" s="1"/>
  <c r="Y53" i="3"/>
  <c r="Z53" i="3" s="1"/>
  <c r="V59" i="3"/>
  <c r="Y59" i="3"/>
  <c r="Z59" i="3" s="1"/>
  <c r="P41" i="3"/>
  <c r="P42" i="3"/>
  <c r="V52" i="3"/>
  <c r="Y52" i="3"/>
  <c r="P43" i="3"/>
  <c r="V58" i="3"/>
  <c r="Y58" i="3"/>
  <c r="Z58" i="3" s="1"/>
  <c r="P45" i="3"/>
  <c r="P32" i="3"/>
  <c r="P35" i="3"/>
  <c r="P34" i="3"/>
  <c r="P36" i="3"/>
  <c r="V54" i="3"/>
  <c r="Y54" i="3"/>
  <c r="Z54" i="3" s="1"/>
  <c r="Y61" i="3"/>
  <c r="Z61" i="3" s="1"/>
  <c r="P39" i="3"/>
  <c r="V62" i="3"/>
  <c r="Y62" i="3"/>
  <c r="Z62" i="3" s="1"/>
  <c r="BZ31" i="2"/>
  <c r="AH48" i="2"/>
  <c r="AG48" i="2"/>
  <c r="AF17" i="2"/>
  <c r="AG17" i="2"/>
  <c r="C32" i="2"/>
  <c r="AK16" i="2"/>
  <c r="AR16" i="2" s="1"/>
  <c r="D18" i="2"/>
  <c r="C19" i="2"/>
  <c r="C51" i="2"/>
  <c r="D50" i="2"/>
  <c r="AH49" i="2"/>
  <c r="AG49" i="2"/>
  <c r="Z52" i="3" l="1"/>
  <c r="AC52" i="3"/>
  <c r="W124" i="3"/>
  <c r="BQ40" i="2"/>
  <c r="CF40" i="2" s="1"/>
  <c r="BT40" i="2"/>
  <c r="CI40" i="2" s="1"/>
  <c r="BZ44" i="2"/>
  <c r="CE31" i="2"/>
  <c r="CO31" i="2" s="1"/>
  <c r="CE32" i="2"/>
  <c r="CO32" i="2" s="1"/>
  <c r="CE33" i="2"/>
  <c r="CO33" i="2" s="1"/>
  <c r="CE35" i="2"/>
  <c r="CO35" i="2" s="1"/>
  <c r="BZ29" i="2"/>
  <c r="BZ30" i="2"/>
  <c r="CE34" i="2"/>
  <c r="CO34" i="2" s="1"/>
  <c r="Q70" i="3"/>
  <c r="BT30" i="2"/>
  <c r="CI30" i="2" s="1"/>
  <c r="BT45" i="2"/>
  <c r="CI45" i="2" s="1"/>
  <c r="BT31" i="2"/>
  <c r="CI31" i="2" s="1"/>
  <c r="BQ30" i="2"/>
  <c r="CF30" i="2" s="1"/>
  <c r="BT46" i="2"/>
  <c r="CI46" i="2" s="1"/>
  <c r="BT42" i="2"/>
  <c r="CI42" i="2" s="1"/>
  <c r="BT44" i="2"/>
  <c r="CI44" i="2" s="1"/>
  <c r="BN33" i="2"/>
  <c r="BS33" i="2"/>
  <c r="BW33" i="2" s="1"/>
  <c r="BT32" i="2"/>
  <c r="CI32" i="2" s="1"/>
  <c r="BN35" i="2"/>
  <c r="BS35" i="2"/>
  <c r="BW35" i="2" s="1"/>
  <c r="BN40" i="2"/>
  <c r="BS40" i="2"/>
  <c r="BN43" i="2"/>
  <c r="BS43" i="2"/>
  <c r="BN41" i="2"/>
  <c r="BS41" i="2"/>
  <c r="BW41" i="2" s="1"/>
  <c r="BN29" i="2"/>
  <c r="BS29" i="2"/>
  <c r="BW29" i="2" s="1"/>
  <c r="BT28" i="2"/>
  <c r="CI28" i="2" s="1"/>
  <c r="BT43" i="2"/>
  <c r="CI43" i="2" s="1"/>
  <c r="BN30" i="2"/>
  <c r="BS30" i="2"/>
  <c r="BW30" i="2" s="1"/>
  <c r="BT29" i="2"/>
  <c r="CI29" i="2" s="1"/>
  <c r="BN34" i="2"/>
  <c r="BS34" i="2"/>
  <c r="BW34" i="2" s="1"/>
  <c r="BT47" i="2"/>
  <c r="CI47" i="2" s="1"/>
  <c r="BT34" i="2"/>
  <c r="CI34" i="2" s="1"/>
  <c r="BN45" i="2"/>
  <c r="BS45" i="2"/>
  <c r="BW45" i="2" s="1"/>
  <c r="BN31" i="2"/>
  <c r="BS31" i="2"/>
  <c r="BW31" i="2" s="1"/>
  <c r="BN42" i="2"/>
  <c r="BS42" i="2"/>
  <c r="BW42" i="2" s="1"/>
  <c r="BN28" i="2"/>
  <c r="BS28" i="2"/>
  <c r="BT35" i="2"/>
  <c r="CI35" i="2" s="1"/>
  <c r="BN46" i="2"/>
  <c r="BS46" i="2"/>
  <c r="BW46" i="2" s="1"/>
  <c r="BN44" i="2"/>
  <c r="BS44" i="2"/>
  <c r="BW44" i="2" s="1"/>
  <c r="BT41" i="2"/>
  <c r="CI41" i="2" s="1"/>
  <c r="BN32" i="2"/>
  <c r="BS32" i="2"/>
  <c r="BW32" i="2" s="1"/>
  <c r="BT33" i="2"/>
  <c r="CI33" i="2" s="1"/>
  <c r="BN47" i="2"/>
  <c r="BS47" i="2"/>
  <c r="BM46" i="2"/>
  <c r="BM45" i="2"/>
  <c r="BQ42" i="2"/>
  <c r="CF42" i="2" s="1"/>
  <c r="BQ32" i="2"/>
  <c r="CF32" i="2" s="1"/>
  <c r="BQ47" i="2"/>
  <c r="CF47" i="2" s="1"/>
  <c r="BM42" i="2"/>
  <c r="BQ46" i="2"/>
  <c r="CF46" i="2" s="1"/>
  <c r="BQ45" i="2"/>
  <c r="CF45" i="2" s="1"/>
  <c r="BZ32" i="2"/>
  <c r="BM31" i="2"/>
  <c r="BQ44" i="2"/>
  <c r="CF44" i="2" s="1"/>
  <c r="BQ31" i="2"/>
  <c r="CF31" i="2" s="1"/>
  <c r="BP47" i="2"/>
  <c r="CE29" i="2"/>
  <c r="CO29" i="2" s="1"/>
  <c r="BQ41" i="2"/>
  <c r="CF41" i="2" s="1"/>
  <c r="BM30" i="2"/>
  <c r="BM29" i="2"/>
  <c r="BQ43" i="2"/>
  <c r="CF43" i="2" s="1"/>
  <c r="BQ29" i="2"/>
  <c r="CF29" i="2" s="1"/>
  <c r="CE44" i="2"/>
  <c r="BP40" i="2"/>
  <c r="BQ34" i="2"/>
  <c r="CF34" i="2" s="1"/>
  <c r="BM44" i="2"/>
  <c r="BQ28" i="2"/>
  <c r="CF28" i="2" s="1"/>
  <c r="BA33" i="2"/>
  <c r="BH33" i="2" s="1"/>
  <c r="BR33" i="2" s="1"/>
  <c r="AW33" i="2"/>
  <c r="BD33" i="2" s="1"/>
  <c r="BK33" i="2" s="1"/>
  <c r="BU33" i="2" s="1"/>
  <c r="BA35" i="2"/>
  <c r="BH35" i="2" s="1"/>
  <c r="BR35" i="2" s="1"/>
  <c r="AW35" i="2"/>
  <c r="BD35" i="2" s="1"/>
  <c r="BK35" i="2" s="1"/>
  <c r="BU35" i="2" s="1"/>
  <c r="CJ35" i="2" s="1"/>
  <c r="BH16" i="2"/>
  <c r="BR16" i="2" s="1"/>
  <c r="CG16" i="2" s="1"/>
  <c r="AW16" i="2"/>
  <c r="BD16" i="2" s="1"/>
  <c r="BK16" i="2" s="1"/>
  <c r="BU16" i="2" s="1"/>
  <c r="CJ16" i="2" s="1"/>
  <c r="CE30" i="2"/>
  <c r="CO30" i="2" s="1"/>
  <c r="BA40" i="2"/>
  <c r="BH40" i="2" s="1"/>
  <c r="BR40" i="2" s="1"/>
  <c r="AW40" i="2"/>
  <c r="BD40" i="2" s="1"/>
  <c r="BK40" i="2" s="1"/>
  <c r="BU40" i="2" s="1"/>
  <c r="BQ33" i="2"/>
  <c r="CF33" i="2" s="1"/>
  <c r="BA45" i="2"/>
  <c r="BH45" i="2" s="1"/>
  <c r="BR45" i="2" s="1"/>
  <c r="AW45" i="2"/>
  <c r="BD45" i="2" s="1"/>
  <c r="BK45" i="2" s="1"/>
  <c r="BU45" i="2" s="1"/>
  <c r="BA30" i="2"/>
  <c r="BH30" i="2" s="1"/>
  <c r="BR30" i="2" s="1"/>
  <c r="AW30" i="2"/>
  <c r="BD30" i="2" s="1"/>
  <c r="BK30" i="2" s="1"/>
  <c r="BU30" i="2" s="1"/>
  <c r="BA31" i="2"/>
  <c r="BH31" i="2" s="1"/>
  <c r="BR31" i="2" s="1"/>
  <c r="AW31" i="2"/>
  <c r="BD31" i="2" s="1"/>
  <c r="BK31" i="2" s="1"/>
  <c r="BU31" i="2" s="1"/>
  <c r="AS16" i="2"/>
  <c r="AV16" i="2" s="1"/>
  <c r="BC16" i="2" s="1"/>
  <c r="BJ16" i="2" s="1"/>
  <c r="BA41" i="2"/>
  <c r="BH41" i="2" s="1"/>
  <c r="BR41" i="2" s="1"/>
  <c r="AW41" i="2"/>
  <c r="BD41" i="2" s="1"/>
  <c r="BK41" i="2" s="1"/>
  <c r="BU41" i="2" s="1"/>
  <c r="AY16" i="2"/>
  <c r="BF16" i="2" s="1"/>
  <c r="BM16" i="2" s="1"/>
  <c r="AU16" i="2"/>
  <c r="BB16" i="2" s="1"/>
  <c r="BI16" i="2" s="1"/>
  <c r="BA42" i="2"/>
  <c r="BH42" i="2" s="1"/>
  <c r="BR42" i="2" s="1"/>
  <c r="AW42" i="2"/>
  <c r="BD42" i="2" s="1"/>
  <c r="BK42" i="2" s="1"/>
  <c r="BU42" i="2" s="1"/>
  <c r="BA47" i="2"/>
  <c r="BH47" i="2" s="1"/>
  <c r="BR47" i="2" s="1"/>
  <c r="AW47" i="2"/>
  <c r="BD47" i="2" s="1"/>
  <c r="BK47" i="2" s="1"/>
  <c r="BU47" i="2" s="1"/>
  <c r="BP28" i="2"/>
  <c r="BA28" i="2"/>
  <c r="BH28" i="2" s="1"/>
  <c r="BR28" i="2" s="1"/>
  <c r="AW28" i="2"/>
  <c r="BD28" i="2" s="1"/>
  <c r="BK28" i="2" s="1"/>
  <c r="BU28" i="2" s="1"/>
  <c r="BP43" i="2"/>
  <c r="BM41" i="2"/>
  <c r="BQ35" i="2"/>
  <c r="CF35" i="2" s="1"/>
  <c r="BA34" i="2"/>
  <c r="BH34" i="2" s="1"/>
  <c r="BR34" i="2" s="1"/>
  <c r="AW34" i="2"/>
  <c r="BD34" i="2" s="1"/>
  <c r="BK34" i="2" s="1"/>
  <c r="BU34" i="2" s="1"/>
  <c r="BA32" i="2"/>
  <c r="BH32" i="2" s="1"/>
  <c r="BR32" i="2" s="1"/>
  <c r="AW32" i="2"/>
  <c r="BD32" i="2" s="1"/>
  <c r="BK32" i="2" s="1"/>
  <c r="BU32" i="2" s="1"/>
  <c r="BA43" i="2"/>
  <c r="BH43" i="2" s="1"/>
  <c r="BR43" i="2" s="1"/>
  <c r="AW43" i="2"/>
  <c r="BD43" i="2" s="1"/>
  <c r="BK43" i="2" s="1"/>
  <c r="BU43" i="2" s="1"/>
  <c r="BA29" i="2"/>
  <c r="BH29" i="2" s="1"/>
  <c r="BR29" i="2" s="1"/>
  <c r="AW29" i="2"/>
  <c r="BD29" i="2" s="1"/>
  <c r="BK29" i="2" s="1"/>
  <c r="BU29" i="2" s="1"/>
  <c r="BA44" i="2"/>
  <c r="BH44" i="2" s="1"/>
  <c r="BR44" i="2" s="1"/>
  <c r="AW44" i="2"/>
  <c r="BD44" i="2" s="1"/>
  <c r="BK44" i="2" s="1"/>
  <c r="BU44" i="2" s="1"/>
  <c r="BA46" i="2"/>
  <c r="BH46" i="2" s="1"/>
  <c r="BR46" i="2" s="1"/>
  <c r="AW46" i="2"/>
  <c r="BD46" i="2" s="1"/>
  <c r="BK46" i="2" s="1"/>
  <c r="BU46" i="2" s="1"/>
  <c r="AL49" i="2"/>
  <c r="AS49" i="2" s="1"/>
  <c r="AO18" i="2"/>
  <c r="AN18" i="2"/>
  <c r="AO50" i="2"/>
  <c r="AN50" i="2"/>
  <c r="AL48" i="2"/>
  <c r="AS48" i="2" s="1"/>
  <c r="BA16" i="2"/>
  <c r="AC58" i="3"/>
  <c r="AC55" i="3"/>
  <c r="AC61" i="3"/>
  <c r="AC63" i="3"/>
  <c r="AC64" i="3"/>
  <c r="AC62" i="3"/>
  <c r="AC59" i="3"/>
  <c r="AC54" i="3"/>
  <c r="AC53" i="3"/>
  <c r="AC56" i="3"/>
  <c r="AC60" i="3"/>
  <c r="AC57" i="3"/>
  <c r="Q82" i="3"/>
  <c r="Q76" i="3"/>
  <c r="R37" i="3"/>
  <c r="AM17" i="2"/>
  <c r="BZ42" i="2"/>
  <c r="CE42" i="2"/>
  <c r="CO42" i="2" s="1"/>
  <c r="BZ47" i="2"/>
  <c r="BZ41" i="2"/>
  <c r="CE41" i="2"/>
  <c r="BZ46" i="2"/>
  <c r="CE46" i="2"/>
  <c r="CO46" i="2" s="1"/>
  <c r="BZ45" i="2"/>
  <c r="CE45" i="2"/>
  <c r="AL17" i="2"/>
  <c r="AS17" i="2" s="1"/>
  <c r="AK48" i="2"/>
  <c r="AR48" i="2" s="1"/>
  <c r="AM48" i="2"/>
  <c r="AM49" i="2"/>
  <c r="AK49" i="2"/>
  <c r="AR49" i="2" s="1"/>
  <c r="AK17" i="2"/>
  <c r="AR17" i="2" s="1"/>
  <c r="D19" i="2"/>
  <c r="C20" i="2"/>
  <c r="AH18" i="2"/>
  <c r="AG18" i="2"/>
  <c r="AF18" i="2"/>
  <c r="C33" i="2"/>
  <c r="BZ33" i="2" s="1"/>
  <c r="BM32" i="2"/>
  <c r="AG50" i="2"/>
  <c r="AF50" i="2"/>
  <c r="AH50" i="2"/>
  <c r="C52" i="2"/>
  <c r="D51" i="2"/>
  <c r="AE57" i="3" l="1"/>
  <c r="AK57" i="3"/>
  <c r="AH57" i="3"/>
  <c r="AD57" i="3"/>
  <c r="AL57" i="3" s="1"/>
  <c r="AE60" i="3"/>
  <c r="AK60" i="3"/>
  <c r="AH60" i="3"/>
  <c r="AD60" i="3"/>
  <c r="AL60" i="3" s="1"/>
  <c r="AE56" i="3"/>
  <c r="AK56" i="3"/>
  <c r="AH56" i="3"/>
  <c r="AD56" i="3"/>
  <c r="AL56" i="3" s="1"/>
  <c r="AE53" i="3"/>
  <c r="AK53" i="3"/>
  <c r="AH53" i="3"/>
  <c r="AD53" i="3"/>
  <c r="AL53" i="3" s="1"/>
  <c r="AE54" i="3"/>
  <c r="AK54" i="3"/>
  <c r="AH54" i="3"/>
  <c r="AD54" i="3"/>
  <c r="AL54" i="3" s="1"/>
  <c r="AE59" i="3"/>
  <c r="AK59" i="3"/>
  <c r="AH59" i="3"/>
  <c r="AD59" i="3"/>
  <c r="AL59" i="3" s="1"/>
  <c r="AE62" i="3"/>
  <c r="AK62" i="3"/>
  <c r="AH62" i="3"/>
  <c r="AD62" i="3"/>
  <c r="AL62" i="3" s="1"/>
  <c r="AE64" i="3"/>
  <c r="AK64" i="3"/>
  <c r="AH64" i="3"/>
  <c r="AD64" i="3"/>
  <c r="AL64" i="3" s="1"/>
  <c r="AE63" i="3"/>
  <c r="AK63" i="3"/>
  <c r="AH63" i="3"/>
  <c r="AD63" i="3"/>
  <c r="AL63" i="3" s="1"/>
  <c r="AE61" i="3"/>
  <c r="AK61" i="3"/>
  <c r="AH61" i="3"/>
  <c r="AD61" i="3"/>
  <c r="AL61" i="3" s="1"/>
  <c r="AE55" i="3"/>
  <c r="AK55" i="3"/>
  <c r="AH55" i="3"/>
  <c r="AD55" i="3"/>
  <c r="AL55" i="3" s="1"/>
  <c r="AE58" i="3"/>
  <c r="AK58" i="3"/>
  <c r="AH58" i="3"/>
  <c r="AD58" i="3"/>
  <c r="AL58" i="3" s="1"/>
  <c r="AK52" i="3"/>
  <c r="AD52" i="3"/>
  <c r="AL52" i="3" s="1"/>
  <c r="AE52" i="3"/>
  <c r="CL44" i="2"/>
  <c r="CO44" i="2"/>
  <c r="CL45" i="2"/>
  <c r="CO45" i="2"/>
  <c r="CX16" i="2"/>
  <c r="CF133" i="2"/>
  <c r="CL41" i="2"/>
  <c r="CO41" i="2"/>
  <c r="CJ33" i="2"/>
  <c r="CL46" i="2"/>
  <c r="CL42" i="2"/>
  <c r="CL33" i="2"/>
  <c r="CL29" i="2"/>
  <c r="CL31" i="2"/>
  <c r="CM41" i="2"/>
  <c r="CL30" i="2"/>
  <c r="CL34" i="2"/>
  <c r="CL35" i="2"/>
  <c r="CL32" i="2"/>
  <c r="CJ47" i="2"/>
  <c r="CJ32" i="2"/>
  <c r="CJ41" i="2"/>
  <c r="CJ31" i="2"/>
  <c r="CJ45" i="2"/>
  <c r="CG35" i="2"/>
  <c r="BX35" i="2"/>
  <c r="CG32" i="2"/>
  <c r="BX32" i="2"/>
  <c r="BX41" i="2"/>
  <c r="CJ34" i="2"/>
  <c r="CG33" i="2"/>
  <c r="BX33" i="2"/>
  <c r="CG34" i="2"/>
  <c r="BX34" i="2"/>
  <c r="CG31" i="2"/>
  <c r="BX31" i="2"/>
  <c r="CJ30" i="2"/>
  <c r="BZ43" i="2"/>
  <c r="BW43" i="2"/>
  <c r="BX30" i="2"/>
  <c r="BZ40" i="2"/>
  <c r="BW40" i="2"/>
  <c r="CJ28" i="2"/>
  <c r="CJ46" i="2"/>
  <c r="BX28" i="2"/>
  <c r="BX45" i="2"/>
  <c r="BX46" i="2"/>
  <c r="BZ28" i="2"/>
  <c r="BW28" i="2"/>
  <c r="CJ44" i="2"/>
  <c r="CJ40" i="2"/>
  <c r="BX44" i="2"/>
  <c r="BX47" i="2"/>
  <c r="BX40" i="2"/>
  <c r="CJ29" i="2"/>
  <c r="CJ42" i="2"/>
  <c r="CG29" i="2"/>
  <c r="BX29" i="2"/>
  <c r="BX42" i="2"/>
  <c r="CJ43" i="2"/>
  <c r="CE47" i="2"/>
  <c r="CO47" i="2" s="1"/>
  <c r="BW47" i="2"/>
  <c r="BX43" i="2"/>
  <c r="CA47" i="2"/>
  <c r="CH47" i="2"/>
  <c r="CP47" i="2" s="1"/>
  <c r="CA43" i="2"/>
  <c r="CH43" i="2"/>
  <c r="CP43" i="2" s="1"/>
  <c r="CA45" i="2"/>
  <c r="CH45" i="2"/>
  <c r="CA32" i="2"/>
  <c r="CH32" i="2"/>
  <c r="CP32" i="2" s="1"/>
  <c r="CA35" i="2"/>
  <c r="CH35" i="2"/>
  <c r="CP35" i="2" s="1"/>
  <c r="CA40" i="2"/>
  <c r="CH40" i="2"/>
  <c r="CP40" i="2" s="1"/>
  <c r="CA34" i="2"/>
  <c r="CH34" i="2"/>
  <c r="CP34" i="2" s="1"/>
  <c r="CA44" i="2"/>
  <c r="CH44" i="2"/>
  <c r="CA33" i="2"/>
  <c r="CH33" i="2"/>
  <c r="CP33" i="2" s="1"/>
  <c r="CA46" i="2"/>
  <c r="CH46" i="2"/>
  <c r="CP46" i="2" s="1"/>
  <c r="CA30" i="2"/>
  <c r="CH30" i="2"/>
  <c r="CP30" i="2" s="1"/>
  <c r="CA28" i="2"/>
  <c r="CH28" i="2"/>
  <c r="CA29" i="2"/>
  <c r="CH29" i="2"/>
  <c r="CP29" i="2" s="1"/>
  <c r="CA42" i="2"/>
  <c r="CH42" i="2"/>
  <c r="CP42" i="2" s="1"/>
  <c r="CA41" i="2"/>
  <c r="CH41" i="2"/>
  <c r="CP41" i="2" s="1"/>
  <c r="CA31" i="2"/>
  <c r="CH31" i="2"/>
  <c r="CP31" i="2" s="1"/>
  <c r="BT16" i="2"/>
  <c r="CI16" i="2" s="1"/>
  <c r="BN16" i="2"/>
  <c r="BS16" i="2"/>
  <c r="CH16" i="2" s="1"/>
  <c r="CP16" i="2" s="1"/>
  <c r="CG30" i="2"/>
  <c r="CG42" i="2"/>
  <c r="CE40" i="2"/>
  <c r="CO40" i="2" s="1"/>
  <c r="BP16" i="2"/>
  <c r="CE16" i="2" s="1"/>
  <c r="CE43" i="2"/>
  <c r="CO43" i="2" s="1"/>
  <c r="CG41" i="2"/>
  <c r="CG44" i="2"/>
  <c r="AY17" i="2"/>
  <c r="BF17" i="2" s="1"/>
  <c r="BP17" i="2" s="1"/>
  <c r="CE17" i="2" s="1"/>
  <c r="CO17" i="2" s="1"/>
  <c r="AU17" i="2"/>
  <c r="BB17" i="2" s="1"/>
  <c r="BI17" i="2" s="1"/>
  <c r="AY48" i="2"/>
  <c r="BF48" i="2" s="1"/>
  <c r="BM48" i="2" s="1"/>
  <c r="AU48" i="2"/>
  <c r="BB48" i="2" s="1"/>
  <c r="BI48" i="2" s="1"/>
  <c r="AZ49" i="2"/>
  <c r="BG49" i="2" s="1"/>
  <c r="AV49" i="2"/>
  <c r="BC49" i="2" s="1"/>
  <c r="BJ49" i="2" s="1"/>
  <c r="AY49" i="2"/>
  <c r="BF49" i="2" s="1"/>
  <c r="BM49" i="2" s="1"/>
  <c r="AU49" i="2"/>
  <c r="BB49" i="2" s="1"/>
  <c r="BI49" i="2" s="1"/>
  <c r="CG45" i="2"/>
  <c r="AZ16" i="2"/>
  <c r="BG16" i="2" s="1"/>
  <c r="BQ16" i="2" s="1"/>
  <c r="CE28" i="2"/>
  <c r="AZ17" i="2"/>
  <c r="BG17" i="2" s="1"/>
  <c r="AV17" i="2"/>
  <c r="BC17" i="2" s="1"/>
  <c r="BJ17" i="2" s="1"/>
  <c r="AZ48" i="2"/>
  <c r="BG48" i="2" s="1"/>
  <c r="AV48" i="2"/>
  <c r="BC48" i="2" s="1"/>
  <c r="BJ48" i="2" s="1"/>
  <c r="CG46" i="2"/>
  <c r="AN19" i="2"/>
  <c r="AO19" i="2"/>
  <c r="AN51" i="2"/>
  <c r="AO51" i="2"/>
  <c r="AT49" i="2"/>
  <c r="AT48" i="2"/>
  <c r="AT17" i="2"/>
  <c r="AM50" i="2"/>
  <c r="AK50" i="2"/>
  <c r="AR50" i="2" s="1"/>
  <c r="AL18" i="2"/>
  <c r="AS18" i="2" s="1"/>
  <c r="AM18" i="2"/>
  <c r="AT18" i="2" s="1"/>
  <c r="AW18" i="2" s="1"/>
  <c r="BD18" i="2" s="1"/>
  <c r="BK18" i="2" s="1"/>
  <c r="BU18" i="2" s="1"/>
  <c r="CJ18" i="2" s="1"/>
  <c r="C34" i="2"/>
  <c r="BZ34" i="2" s="1"/>
  <c r="BM33" i="2"/>
  <c r="AK18" i="2"/>
  <c r="AR18" i="2" s="1"/>
  <c r="D20" i="2"/>
  <c r="C21" i="2"/>
  <c r="AF19" i="2"/>
  <c r="AG19" i="2"/>
  <c r="AH19" i="2"/>
  <c r="AF51" i="2"/>
  <c r="AG51" i="2"/>
  <c r="AH51" i="2"/>
  <c r="C53" i="2"/>
  <c r="D52" i="2"/>
  <c r="AL50" i="2"/>
  <c r="AS50" i="2" s="1"/>
  <c r="AF52" i="3" l="1"/>
  <c r="AH52" i="3"/>
  <c r="AI52" i="3" s="1"/>
  <c r="AF58" i="3"/>
  <c r="AI58" i="3" s="1"/>
  <c r="AF55" i="3"/>
  <c r="AI55" i="3" s="1"/>
  <c r="AF61" i="3"/>
  <c r="AI61" i="3" s="1"/>
  <c r="AF63" i="3"/>
  <c r="AI63" i="3" s="1"/>
  <c r="AF64" i="3"/>
  <c r="AI64" i="3" s="1"/>
  <c r="AF62" i="3"/>
  <c r="AI62" i="3" s="1"/>
  <c r="AF59" i="3"/>
  <c r="AI59" i="3" s="1"/>
  <c r="AF54" i="3"/>
  <c r="AI54" i="3" s="1"/>
  <c r="AF53" i="3"/>
  <c r="AI53" i="3" s="1"/>
  <c r="AF56" i="3"/>
  <c r="AI56" i="3" s="1"/>
  <c r="AF60" i="3"/>
  <c r="AI60" i="3" s="1"/>
  <c r="AF57" i="3"/>
  <c r="AI57" i="3" s="1"/>
  <c r="CX15" i="2"/>
  <c r="CO28" i="2"/>
  <c r="CP28" i="2"/>
  <c r="CO16" i="2"/>
  <c r="CM44" i="2"/>
  <c r="CP44" i="2"/>
  <c r="CM45" i="2"/>
  <c r="CP45" i="2"/>
  <c r="CM34" i="2"/>
  <c r="CM29" i="2"/>
  <c r="CM35" i="2"/>
  <c r="CG28" i="2"/>
  <c r="CL28" i="2"/>
  <c r="CM28" i="2" s="1"/>
  <c r="CM31" i="2"/>
  <c r="CM32" i="2"/>
  <c r="CM30" i="2"/>
  <c r="CM33" i="2"/>
  <c r="CM42" i="2"/>
  <c r="CG43" i="2"/>
  <c r="CL43" i="2"/>
  <c r="CM43" i="2" s="1"/>
  <c r="CG40" i="2"/>
  <c r="CL40" i="2"/>
  <c r="CM40" i="2" s="1"/>
  <c r="CG47" i="2"/>
  <c r="CL47" i="2"/>
  <c r="CM47" i="2" s="1"/>
  <c r="CM46" i="2"/>
  <c r="BN48" i="2"/>
  <c r="BS48" i="2"/>
  <c r="BN17" i="2"/>
  <c r="BS17" i="2"/>
  <c r="CH17" i="2" s="1"/>
  <c r="CP17" i="2" s="1"/>
  <c r="BT48" i="2"/>
  <c r="CI48" i="2" s="1"/>
  <c r="BT17" i="2"/>
  <c r="CI17" i="2" s="1"/>
  <c r="BN49" i="2"/>
  <c r="BS49" i="2"/>
  <c r="BT49" i="2"/>
  <c r="CI49" i="2" s="1"/>
  <c r="CF16" i="2"/>
  <c r="CL16" i="2" s="1"/>
  <c r="CM16" i="2" s="1"/>
  <c r="BQ49" i="2"/>
  <c r="CF49" i="2" s="1"/>
  <c r="BP48" i="2"/>
  <c r="BM17" i="2"/>
  <c r="BQ48" i="2"/>
  <c r="CF48" i="2" s="1"/>
  <c r="BQ17" i="2"/>
  <c r="CF17" i="2" s="1"/>
  <c r="CL17" i="2" s="1"/>
  <c r="AZ18" i="2"/>
  <c r="BG18" i="2" s="1"/>
  <c r="AV18" i="2"/>
  <c r="BC18" i="2" s="1"/>
  <c r="BJ18" i="2" s="1"/>
  <c r="AY18" i="2"/>
  <c r="BF18" i="2" s="1"/>
  <c r="BP18" i="2" s="1"/>
  <c r="CE18" i="2" s="1"/>
  <c r="CO18" i="2" s="1"/>
  <c r="AU18" i="2"/>
  <c r="BB18" i="2" s="1"/>
  <c r="BI18" i="2" s="1"/>
  <c r="AY50" i="2"/>
  <c r="BF50" i="2" s="1"/>
  <c r="BM50" i="2" s="1"/>
  <c r="AU50" i="2"/>
  <c r="BB50" i="2" s="1"/>
  <c r="BI50" i="2" s="1"/>
  <c r="BH17" i="2"/>
  <c r="BR17" i="2" s="1"/>
  <c r="CG17" i="2" s="1"/>
  <c r="AW17" i="2"/>
  <c r="BD17" i="2" s="1"/>
  <c r="BK17" i="2" s="1"/>
  <c r="BU17" i="2" s="1"/>
  <c r="CJ17" i="2" s="1"/>
  <c r="BA48" i="2"/>
  <c r="BH48" i="2" s="1"/>
  <c r="BR48" i="2" s="1"/>
  <c r="AW48" i="2"/>
  <c r="BD48" i="2" s="1"/>
  <c r="BK48" i="2" s="1"/>
  <c r="BU48" i="2" s="1"/>
  <c r="BA49" i="2"/>
  <c r="BH49" i="2" s="1"/>
  <c r="BR49" i="2" s="1"/>
  <c r="AW49" i="2"/>
  <c r="BD49" i="2" s="1"/>
  <c r="BK49" i="2" s="1"/>
  <c r="BU49" i="2" s="1"/>
  <c r="AZ50" i="2"/>
  <c r="BG50" i="2" s="1"/>
  <c r="AV50" i="2"/>
  <c r="BC50" i="2" s="1"/>
  <c r="BJ50" i="2" s="1"/>
  <c r="BP49" i="2"/>
  <c r="AN52" i="2"/>
  <c r="AO52" i="2"/>
  <c r="AN20" i="2"/>
  <c r="AO20" i="2"/>
  <c r="BA17" i="2"/>
  <c r="AT50" i="2"/>
  <c r="AL51" i="2"/>
  <c r="AS51" i="2" s="1"/>
  <c r="AM19" i="2"/>
  <c r="AK19" i="2"/>
  <c r="AR19" i="2" s="1"/>
  <c r="C22" i="2"/>
  <c r="D21" i="2"/>
  <c r="AL19" i="2"/>
  <c r="AS19" i="2" s="1"/>
  <c r="AH20" i="2"/>
  <c r="AF20" i="2"/>
  <c r="AG20" i="2"/>
  <c r="C35" i="2"/>
  <c r="BM34" i="2"/>
  <c r="BA18" i="2"/>
  <c r="BH18" i="2"/>
  <c r="BR18" i="2" s="1"/>
  <c r="CG18" i="2" s="1"/>
  <c r="AM51" i="2"/>
  <c r="AF52" i="2"/>
  <c r="AG52" i="2"/>
  <c r="AH52" i="2"/>
  <c r="D53" i="2"/>
  <c r="C54" i="2"/>
  <c r="AK51" i="2"/>
  <c r="AR51" i="2" s="1"/>
  <c r="BP50" i="2" l="1"/>
  <c r="CM17" i="2"/>
  <c r="BX48" i="2"/>
  <c r="CJ49" i="2"/>
  <c r="BX49" i="2"/>
  <c r="BZ50" i="2"/>
  <c r="BW50" i="2"/>
  <c r="BZ49" i="2"/>
  <c r="BW49" i="2"/>
  <c r="CE48" i="2"/>
  <c r="CO48" i="2" s="1"/>
  <c r="BW48" i="2"/>
  <c r="CJ48" i="2"/>
  <c r="BT50" i="2"/>
  <c r="CI50" i="2" s="1"/>
  <c r="CA49" i="2"/>
  <c r="CH49" i="2"/>
  <c r="CP49" i="2" s="1"/>
  <c r="CA48" i="2"/>
  <c r="CH48" i="2"/>
  <c r="CP48" i="2" s="1"/>
  <c r="BZ48" i="2"/>
  <c r="BN18" i="2"/>
  <c r="BS18" i="2"/>
  <c r="CH18" i="2" s="1"/>
  <c r="CP18" i="2" s="1"/>
  <c r="BN50" i="2"/>
  <c r="BS50" i="2"/>
  <c r="BT18" i="2"/>
  <c r="CI18" i="2" s="1"/>
  <c r="BQ18" i="2"/>
  <c r="CF18" i="2" s="1"/>
  <c r="CL18" i="2" s="1"/>
  <c r="BQ50" i="2"/>
  <c r="CF50" i="2" s="1"/>
  <c r="BM18" i="2"/>
  <c r="CY19" i="2" s="1"/>
  <c r="AY19" i="2"/>
  <c r="BF19" i="2" s="1"/>
  <c r="BP19" i="2" s="1"/>
  <c r="CE19" i="2" s="1"/>
  <c r="AU19" i="2"/>
  <c r="BB19" i="2" s="1"/>
  <c r="BI19" i="2" s="1"/>
  <c r="CE49" i="2"/>
  <c r="CO49" i="2" s="1"/>
  <c r="AZ51" i="2"/>
  <c r="BG51" i="2" s="1"/>
  <c r="AV51" i="2"/>
  <c r="BC51" i="2" s="1"/>
  <c r="BJ51" i="2" s="1"/>
  <c r="BA50" i="2"/>
  <c r="BH50" i="2" s="1"/>
  <c r="BR50" i="2" s="1"/>
  <c r="AW50" i="2"/>
  <c r="BD50" i="2" s="1"/>
  <c r="BK50" i="2" s="1"/>
  <c r="BU50" i="2" s="1"/>
  <c r="AY51" i="2"/>
  <c r="BF51" i="2" s="1"/>
  <c r="BP51" i="2" s="1"/>
  <c r="AU51" i="2"/>
  <c r="BB51" i="2" s="1"/>
  <c r="BI51" i="2" s="1"/>
  <c r="AZ19" i="2"/>
  <c r="BG19" i="2" s="1"/>
  <c r="AV19" i="2"/>
  <c r="BC19" i="2" s="1"/>
  <c r="BJ19" i="2" s="1"/>
  <c r="AO53" i="2"/>
  <c r="AN53" i="2"/>
  <c r="AN21" i="2"/>
  <c r="AO21" i="2"/>
  <c r="AL52" i="2"/>
  <c r="AS52" i="2" s="1"/>
  <c r="AT19" i="2"/>
  <c r="AT51" i="2"/>
  <c r="AM52" i="2"/>
  <c r="CE50" i="2"/>
  <c r="CO50" i="2" s="1"/>
  <c r="AL20" i="2"/>
  <c r="AS20" i="2" s="1"/>
  <c r="BM35" i="2"/>
  <c r="BZ35" i="2"/>
  <c r="AK20" i="2"/>
  <c r="AR20" i="2" s="1"/>
  <c r="AM20" i="2"/>
  <c r="AT20" i="2" s="1"/>
  <c r="AW20" i="2" s="1"/>
  <c r="BD20" i="2" s="1"/>
  <c r="BK20" i="2" s="1"/>
  <c r="BU20" i="2" s="1"/>
  <c r="CJ20" i="2" s="1"/>
  <c r="AF21" i="2"/>
  <c r="AH21" i="2"/>
  <c r="AG21" i="2"/>
  <c r="C23" i="2"/>
  <c r="D22" i="2"/>
  <c r="C55" i="2"/>
  <c r="D54" i="2"/>
  <c r="AF53" i="2"/>
  <c r="AG53" i="2"/>
  <c r="AH53" i="2"/>
  <c r="AK52" i="2"/>
  <c r="AR52" i="2" s="1"/>
  <c r="CM18" i="2" l="1"/>
  <c r="CO19" i="2"/>
  <c r="CL19" i="2"/>
  <c r="CL50" i="2"/>
  <c r="CG49" i="2"/>
  <c r="CL49" i="2"/>
  <c r="CM49" i="2" s="1"/>
  <c r="CG48" i="2"/>
  <c r="CL48" i="2"/>
  <c r="CM48" i="2" s="1"/>
  <c r="CJ50" i="2"/>
  <c r="BM51" i="2"/>
  <c r="BX50" i="2"/>
  <c r="CA50" i="2"/>
  <c r="CH50" i="2"/>
  <c r="BT51" i="2"/>
  <c r="CI51" i="2" s="1"/>
  <c r="BQ51" i="2"/>
  <c r="CF51" i="2" s="1"/>
  <c r="BT19" i="2"/>
  <c r="CI19" i="2" s="1"/>
  <c r="BN51" i="2"/>
  <c r="BS51" i="2"/>
  <c r="BW51" i="2" s="1"/>
  <c r="BN19" i="2"/>
  <c r="BS19" i="2"/>
  <c r="CH19" i="2" s="1"/>
  <c r="CP19" i="2" s="1"/>
  <c r="BQ19" i="2"/>
  <c r="CF19" i="2" s="1"/>
  <c r="BM19" i="2"/>
  <c r="AY20" i="2"/>
  <c r="BF20" i="2" s="1"/>
  <c r="BP20" i="2" s="1"/>
  <c r="CE20" i="2" s="1"/>
  <c r="CO20" i="2" s="1"/>
  <c r="AU20" i="2"/>
  <c r="BB20" i="2" s="1"/>
  <c r="BI20" i="2" s="1"/>
  <c r="AZ20" i="2"/>
  <c r="BG20" i="2" s="1"/>
  <c r="AV20" i="2"/>
  <c r="BC20" i="2" s="1"/>
  <c r="BJ20" i="2" s="1"/>
  <c r="AZ52" i="2"/>
  <c r="BG52" i="2" s="1"/>
  <c r="AV52" i="2"/>
  <c r="BC52" i="2" s="1"/>
  <c r="BJ52" i="2" s="1"/>
  <c r="AY52" i="2"/>
  <c r="BF52" i="2" s="1"/>
  <c r="BP52" i="2" s="1"/>
  <c r="AU52" i="2"/>
  <c r="BB52" i="2" s="1"/>
  <c r="BI52" i="2" s="1"/>
  <c r="CG50" i="2"/>
  <c r="BA51" i="2"/>
  <c r="BH51" i="2" s="1"/>
  <c r="BR51" i="2" s="1"/>
  <c r="AW51" i="2"/>
  <c r="BD51" i="2" s="1"/>
  <c r="BK51" i="2" s="1"/>
  <c r="BU51" i="2" s="1"/>
  <c r="BH19" i="2"/>
  <c r="BR19" i="2" s="1"/>
  <c r="CG19" i="2" s="1"/>
  <c r="AW19" i="2"/>
  <c r="BD19" i="2" s="1"/>
  <c r="BK19" i="2" s="1"/>
  <c r="BU19" i="2" s="1"/>
  <c r="CJ19" i="2" s="1"/>
  <c r="AN54" i="2"/>
  <c r="AO54" i="2"/>
  <c r="AO22" i="2"/>
  <c r="AN22" i="2"/>
  <c r="BA19" i="2"/>
  <c r="AF54" i="2"/>
  <c r="AG54" i="2"/>
  <c r="AH54" i="2"/>
  <c r="D55" i="2"/>
  <c r="AT52" i="2"/>
  <c r="AL21" i="2"/>
  <c r="AS21" i="2" s="1"/>
  <c r="BZ51" i="2"/>
  <c r="CE51" i="2"/>
  <c r="CO51" i="2" s="1"/>
  <c r="AH22" i="2"/>
  <c r="AG22" i="2"/>
  <c r="AF22" i="2"/>
  <c r="D23" i="2"/>
  <c r="AM21" i="2"/>
  <c r="AT21" i="2" s="1"/>
  <c r="AW21" i="2" s="1"/>
  <c r="BD21" i="2" s="1"/>
  <c r="BK21" i="2" s="1"/>
  <c r="BU21" i="2" s="1"/>
  <c r="CJ21" i="2" s="1"/>
  <c r="AM53" i="2"/>
  <c r="AK21" i="2"/>
  <c r="AR21" i="2" s="1"/>
  <c r="BH20" i="2"/>
  <c r="BR20" i="2" s="1"/>
  <c r="CG20" i="2" s="1"/>
  <c r="BA20" i="2"/>
  <c r="AL53" i="2"/>
  <c r="AS53" i="2" s="1"/>
  <c r="AK53" i="2"/>
  <c r="AR53" i="2" s="1"/>
  <c r="CM50" i="2" l="1"/>
  <c r="CP50" i="2"/>
  <c r="CM19" i="2"/>
  <c r="CL51" i="2"/>
  <c r="CJ51" i="2"/>
  <c r="BT20" i="2"/>
  <c r="CI20" i="2" s="1"/>
  <c r="BX51" i="2"/>
  <c r="CA51" i="2"/>
  <c r="CH51" i="2"/>
  <c r="CP51" i="2" s="1"/>
  <c r="BQ20" i="2"/>
  <c r="CF20" i="2" s="1"/>
  <c r="CL20" i="2" s="1"/>
  <c r="BT52" i="2"/>
  <c r="CI52" i="2" s="1"/>
  <c r="BN20" i="2"/>
  <c r="BS20" i="2"/>
  <c r="CH20" i="2" s="1"/>
  <c r="CP20" i="2" s="1"/>
  <c r="BN52" i="2"/>
  <c r="BS52" i="2"/>
  <c r="BW52" i="2" s="1"/>
  <c r="BM20" i="2"/>
  <c r="BM52" i="2"/>
  <c r="BQ52" i="2"/>
  <c r="CF52" i="2" s="1"/>
  <c r="CG51" i="2"/>
  <c r="BA52" i="2"/>
  <c r="BH52" i="2" s="1"/>
  <c r="BR52" i="2" s="1"/>
  <c r="AW52" i="2"/>
  <c r="BD52" i="2" s="1"/>
  <c r="BK52" i="2" s="1"/>
  <c r="BU52" i="2" s="1"/>
  <c r="AY53" i="2"/>
  <c r="BF53" i="2" s="1"/>
  <c r="BP53" i="2" s="1"/>
  <c r="AU53" i="2"/>
  <c r="BB53" i="2" s="1"/>
  <c r="BI53" i="2" s="1"/>
  <c r="AZ53" i="2"/>
  <c r="BG53" i="2" s="1"/>
  <c r="AV53" i="2"/>
  <c r="BC53" i="2" s="1"/>
  <c r="BJ53" i="2" s="1"/>
  <c r="AZ21" i="2"/>
  <c r="BG21" i="2" s="1"/>
  <c r="AV21" i="2"/>
  <c r="BC21" i="2" s="1"/>
  <c r="BJ21" i="2" s="1"/>
  <c r="AY21" i="2"/>
  <c r="BF21" i="2" s="1"/>
  <c r="BM21" i="2" s="1"/>
  <c r="AU21" i="2"/>
  <c r="BB21" i="2" s="1"/>
  <c r="BI21" i="2" s="1"/>
  <c r="AN55" i="2"/>
  <c r="AO55" i="2"/>
  <c r="AN23" i="2"/>
  <c r="AO23" i="2"/>
  <c r="AM54" i="2"/>
  <c r="AT54" i="2" s="1"/>
  <c r="AL54" i="2"/>
  <c r="AS54" i="2" s="1"/>
  <c r="AG55" i="2"/>
  <c r="AH55" i="2"/>
  <c r="AF55" i="2"/>
  <c r="AK54" i="2"/>
  <c r="AR54" i="2" s="1"/>
  <c r="AT53" i="2"/>
  <c r="AK22" i="2"/>
  <c r="AR22" i="2" s="1"/>
  <c r="BZ52" i="2"/>
  <c r="CE52" i="2"/>
  <c r="CO52" i="2" s="1"/>
  <c r="BH21" i="2"/>
  <c r="BR21" i="2" s="1"/>
  <c r="CG21" i="2" s="1"/>
  <c r="BA21" i="2"/>
  <c r="AF23" i="2"/>
  <c r="AG23" i="2"/>
  <c r="AH23" i="2"/>
  <c r="AL22" i="2"/>
  <c r="AS22" i="2" s="1"/>
  <c r="AM22" i="2"/>
  <c r="AT22" i="2" s="1"/>
  <c r="AW22" i="2" s="1"/>
  <c r="BD22" i="2" s="1"/>
  <c r="BK22" i="2" s="1"/>
  <c r="BU22" i="2" s="1"/>
  <c r="CJ22" i="2" s="1"/>
  <c r="CM20" i="2" l="1"/>
  <c r="CL52" i="2"/>
  <c r="CM51" i="2"/>
  <c r="BP21" i="2"/>
  <c r="CE21" i="2" s="1"/>
  <c r="CO21" i="2" s="1"/>
  <c r="CJ52" i="2"/>
  <c r="BX52" i="2"/>
  <c r="CA52" i="2"/>
  <c r="CH52" i="2"/>
  <c r="CP52" i="2" s="1"/>
  <c r="BT53" i="2"/>
  <c r="CI53" i="2" s="1"/>
  <c r="BQ21" i="2"/>
  <c r="CF21" i="2" s="1"/>
  <c r="BN53" i="2"/>
  <c r="BS53" i="2"/>
  <c r="BW53" i="2" s="1"/>
  <c r="BN21" i="2"/>
  <c r="BS21" i="2"/>
  <c r="CH21" i="2" s="1"/>
  <c r="CP21" i="2" s="1"/>
  <c r="BT21" i="2"/>
  <c r="CI21" i="2" s="1"/>
  <c r="CG52" i="2"/>
  <c r="BQ53" i="2"/>
  <c r="CF53" i="2" s="1"/>
  <c r="AZ22" i="2"/>
  <c r="BG22" i="2" s="1"/>
  <c r="AV22" i="2"/>
  <c r="BC22" i="2" s="1"/>
  <c r="BJ22" i="2" s="1"/>
  <c r="BM53" i="2"/>
  <c r="BA54" i="2"/>
  <c r="BH54" i="2" s="1"/>
  <c r="BR54" i="2" s="1"/>
  <c r="AW54" i="2"/>
  <c r="BD54" i="2" s="1"/>
  <c r="BK54" i="2" s="1"/>
  <c r="BU54" i="2" s="1"/>
  <c r="AY22" i="2"/>
  <c r="BF22" i="2" s="1"/>
  <c r="BP22" i="2" s="1"/>
  <c r="CE22" i="2" s="1"/>
  <c r="AU22" i="2"/>
  <c r="BB22" i="2" s="1"/>
  <c r="BI22" i="2" s="1"/>
  <c r="BA53" i="2"/>
  <c r="BH53" i="2" s="1"/>
  <c r="BR53" i="2" s="1"/>
  <c r="AW53" i="2"/>
  <c r="BD53" i="2" s="1"/>
  <c r="BK53" i="2" s="1"/>
  <c r="BU53" i="2" s="1"/>
  <c r="AY54" i="2"/>
  <c r="BF54" i="2" s="1"/>
  <c r="BP54" i="2" s="1"/>
  <c r="AU54" i="2"/>
  <c r="BB54" i="2" s="1"/>
  <c r="BI54" i="2" s="1"/>
  <c r="AZ54" i="2"/>
  <c r="BG54" i="2" s="1"/>
  <c r="AV54" i="2"/>
  <c r="BC54" i="2" s="1"/>
  <c r="BJ54" i="2" s="1"/>
  <c r="AK55" i="2"/>
  <c r="AR55" i="2" s="1"/>
  <c r="AM55" i="2"/>
  <c r="AT55" i="2" s="1"/>
  <c r="AM23" i="2"/>
  <c r="AT23" i="2" s="1"/>
  <c r="AL55" i="2"/>
  <c r="AS55" i="2" s="1"/>
  <c r="AL23" i="2"/>
  <c r="AS23" i="2" s="1"/>
  <c r="BZ53" i="2"/>
  <c r="CE53" i="2"/>
  <c r="CO53" i="2" s="1"/>
  <c r="AK23" i="2"/>
  <c r="AR23" i="2" s="1"/>
  <c r="BH22" i="2"/>
  <c r="BR22" i="2" s="1"/>
  <c r="CG22" i="2" s="1"/>
  <c r="BA22" i="2"/>
  <c r="CO22" i="2" l="1"/>
  <c r="CL53" i="2"/>
  <c r="CL21" i="2"/>
  <c r="CM21" i="2" s="1"/>
  <c r="CM52" i="2"/>
  <c r="BQ54" i="2"/>
  <c r="CF54" i="2" s="1"/>
  <c r="CJ53" i="2"/>
  <c r="BX53" i="2"/>
  <c r="BX54" i="2"/>
  <c r="BT54" i="2"/>
  <c r="CI54" i="2" s="1"/>
  <c r="CA53" i="2"/>
  <c r="CH53" i="2"/>
  <c r="CP53" i="2" s="1"/>
  <c r="BN22" i="2"/>
  <c r="BS22" i="2"/>
  <c r="CH22" i="2" s="1"/>
  <c r="CP22" i="2" s="1"/>
  <c r="BT22" i="2"/>
  <c r="CI22" i="2" s="1"/>
  <c r="BN54" i="2"/>
  <c r="BS54" i="2"/>
  <c r="BW54" i="2" s="1"/>
  <c r="CG53" i="2"/>
  <c r="BQ22" i="2"/>
  <c r="CF22" i="2" s="1"/>
  <c r="CL22" i="2" s="1"/>
  <c r="BM22" i="2"/>
  <c r="BM54" i="2"/>
  <c r="AY55" i="2"/>
  <c r="BF55" i="2" s="1"/>
  <c r="BP55" i="2" s="1"/>
  <c r="AU55" i="2"/>
  <c r="BB55" i="2" s="1"/>
  <c r="BI55" i="2" s="1"/>
  <c r="AY23" i="2"/>
  <c r="BF23" i="2" s="1"/>
  <c r="BP23" i="2" s="1"/>
  <c r="CE23" i="2" s="1"/>
  <c r="CO23" i="2" s="1"/>
  <c r="AU23" i="2"/>
  <c r="BB23" i="2" s="1"/>
  <c r="BI23" i="2" s="1"/>
  <c r="AZ23" i="2"/>
  <c r="BG23" i="2" s="1"/>
  <c r="AV23" i="2"/>
  <c r="BC23" i="2" s="1"/>
  <c r="BJ23" i="2" s="1"/>
  <c r="AZ55" i="2"/>
  <c r="BG55" i="2" s="1"/>
  <c r="AV55" i="2"/>
  <c r="BC55" i="2" s="1"/>
  <c r="BJ55" i="2" s="1"/>
  <c r="BH23" i="2"/>
  <c r="BR23" i="2" s="1"/>
  <c r="CG23" i="2" s="1"/>
  <c r="CV23" i="2" s="1"/>
  <c r="AW23" i="2"/>
  <c r="BD23" i="2" s="1"/>
  <c r="BK23" i="2" s="1"/>
  <c r="BU23" i="2" s="1"/>
  <c r="CJ23" i="2" s="1"/>
  <c r="BA55" i="2"/>
  <c r="BH55" i="2" s="1"/>
  <c r="BR55" i="2" s="1"/>
  <c r="AW55" i="2"/>
  <c r="BD55" i="2" s="1"/>
  <c r="BK55" i="2" s="1"/>
  <c r="BU55" i="2" s="1"/>
  <c r="BA23" i="2"/>
  <c r="CE54" i="2"/>
  <c r="CO54" i="2" s="1"/>
  <c r="BZ54" i="2"/>
  <c r="CM22" i="2" l="1"/>
  <c r="CG54" i="2"/>
  <c r="CL54" i="2"/>
  <c r="CM53" i="2"/>
  <c r="BX55" i="2"/>
  <c r="CJ54" i="2"/>
  <c r="CE55" i="2"/>
  <c r="CO55" i="2" s="1"/>
  <c r="BT23" i="2"/>
  <c r="CI23" i="2" s="1"/>
  <c r="BQ23" i="2"/>
  <c r="CF23" i="2" s="1"/>
  <c r="CL23" i="2" s="1"/>
  <c r="CA54" i="2"/>
  <c r="CH54" i="2"/>
  <c r="CP54" i="2" s="1"/>
  <c r="BN23" i="2"/>
  <c r="BS23" i="2"/>
  <c r="CH23" i="2" s="1"/>
  <c r="CP23" i="2" s="1"/>
  <c r="BN55" i="2"/>
  <c r="BS55" i="2"/>
  <c r="CJ55" i="2" s="1"/>
  <c r="BT55" i="2"/>
  <c r="CI55" i="2" s="1"/>
  <c r="BQ55" i="2"/>
  <c r="CF55" i="2" s="1"/>
  <c r="BM23" i="2"/>
  <c r="CY20" i="2" s="1"/>
  <c r="BM55" i="2"/>
  <c r="BZ55" i="2"/>
  <c r="CM23" i="2" l="1"/>
  <c r="CG55" i="2"/>
  <c r="CL55" i="2"/>
  <c r="CM54" i="2"/>
  <c r="BW55" i="2"/>
  <c r="CA55" i="2"/>
  <c r="CH55" i="2"/>
  <c r="CP55" i="2" s="1"/>
  <c r="CM55" i="2" l="1"/>
</calcChain>
</file>

<file path=xl/sharedStrings.xml><?xml version="1.0" encoding="utf-8"?>
<sst xmlns="http://schemas.openxmlformats.org/spreadsheetml/2006/main" count="608" uniqueCount="334">
  <si>
    <t>Wing</t>
  </si>
  <si>
    <t>Tail</t>
  </si>
  <si>
    <t>lb</t>
  </si>
  <si>
    <t>kg</t>
  </si>
  <si>
    <t>Area, S.ref [m^2]</t>
  </si>
  <si>
    <t>Area, S.H [m^2]</t>
  </si>
  <si>
    <t>Mean aero chord c.bar [m]</t>
  </si>
  <si>
    <t>Mean aero chord, c.bar.H [m]</t>
  </si>
  <si>
    <t>AR</t>
  </si>
  <si>
    <t>AR.H</t>
  </si>
  <si>
    <t>kts</t>
  </si>
  <si>
    <t>m/s</t>
  </si>
  <si>
    <t>Tail volume coeff, V.bar.H</t>
  </si>
  <si>
    <t>Aircraft</t>
  </si>
  <si>
    <t>[kg]</t>
  </si>
  <si>
    <t>ft</t>
  </si>
  <si>
    <t>m</t>
  </si>
  <si>
    <t>MToW [lbs]</t>
  </si>
  <si>
    <t>Empty weight [lbs]</t>
  </si>
  <si>
    <t>Max fuel weight [lbs]</t>
  </si>
  <si>
    <t>Longitudinal CG, zero fuel [m]</t>
  </si>
  <si>
    <t>Longitudinal CG, fuel tanks [m]</t>
  </si>
  <si>
    <t>Empty weight [lb]</t>
  </si>
  <si>
    <t>Payload weight [lb]</t>
  </si>
  <si>
    <t>Test altitude [ft]</t>
  </si>
  <si>
    <t>rho.0 [kgm^-3]</t>
  </si>
  <si>
    <t>altitude [ft]</t>
  </si>
  <si>
    <t>SQRT(σ)</t>
  </si>
  <si>
    <t>4.1 Weight balance</t>
  </si>
  <si>
    <t xml:space="preserve">4.2 Stall Test </t>
  </si>
  <si>
    <t>Stall Test</t>
  </si>
  <si>
    <t>sorted ascending</t>
  </si>
  <si>
    <t>Configuation: Clean</t>
  </si>
  <si>
    <t>Altitude [ft]</t>
  </si>
  <si>
    <t>Warning speed [kts]</t>
  </si>
  <si>
    <t>Stall speed [kts]</t>
  </si>
  <si>
    <t>Stall speed [m/s]</t>
  </si>
  <si>
    <t>Wing drop tendency</t>
  </si>
  <si>
    <t>Fuel Weight [kg]</t>
  </si>
  <si>
    <t>fractU_ fuel weight</t>
  </si>
  <si>
    <t>Total weight [kg] (2)</t>
  </si>
  <si>
    <t>x.cg [m] (3)</t>
  </si>
  <si>
    <t>CL.max (4)</t>
  </si>
  <si>
    <t>Gear UP , flaps UP</t>
  </si>
  <si>
    <t>NONE</t>
  </si>
  <si>
    <t>nice</t>
  </si>
  <si>
    <t>LEFT</t>
  </si>
  <si>
    <t>mean</t>
  </si>
  <si>
    <t>Configuation: Landing</t>
  </si>
  <si>
    <t>Gear DOWN , flaps 30</t>
  </si>
  <si>
    <t>4.3 Glide test</t>
  </si>
  <si>
    <t>Glide tests</t>
  </si>
  <si>
    <t>IAS [kts]</t>
  </si>
  <si>
    <t>IAS [m/s]</t>
  </si>
  <si>
    <t>U_ IAS</t>
  </si>
  <si>
    <t>Time [s]</t>
  </si>
  <si>
    <t>U_ time [s]</t>
  </si>
  <si>
    <t>a.o.a [deg]</t>
  </si>
  <si>
    <t>Initial fuel weight [lb]</t>
  </si>
  <si>
    <t>Final fuel weight [lb]</t>
  </si>
  <si>
    <t>U_fuel weight [lb]</t>
  </si>
  <si>
    <t>Initial fuel weight [kg]</t>
  </si>
  <si>
    <t>Final fuel weight [kg]</t>
  </si>
  <si>
    <t>U_fuel weight [kg]</t>
  </si>
  <si>
    <t>Change in mass [kg]</t>
  </si>
  <si>
    <t>initial total weight [kg]</t>
  </si>
  <si>
    <t>final total wight [kg]</t>
  </si>
  <si>
    <t>x.cg initial [m] (3)</t>
  </si>
  <si>
    <t>x.cg final [m] (3)</t>
  </si>
  <si>
    <t>mean total mass [kg]</t>
  </si>
  <si>
    <t>fractU_mean total mass [kg]</t>
  </si>
  <si>
    <t>dh/dt ( ≤ 0) [m/s]</t>
  </si>
  <si>
    <t>fractU_ dh/dt [m/s]</t>
  </si>
  <si>
    <t>CL (6)</t>
    <phoneticPr fontId="19" type="noConversion"/>
  </si>
  <si>
    <t>U_CL</t>
  </si>
  <si>
    <t>CD (5, rearranged)</t>
  </si>
  <si>
    <t>U_CD</t>
  </si>
  <si>
    <t>L/D</t>
  </si>
  <si>
    <t>U_ L/D</t>
  </si>
  <si>
    <r>
      <t>CL</t>
    </r>
    <r>
      <rPr>
        <b/>
        <vertAlign val="superscript"/>
        <sz val="11"/>
        <color theme="1"/>
        <rFont val="Aptos Narrow"/>
        <family val="2"/>
        <scheme val="minor"/>
      </rPr>
      <t>2</t>
    </r>
  </si>
  <si>
    <r>
      <t>U_ CL</t>
    </r>
    <r>
      <rPr>
        <vertAlign val="superscript"/>
        <sz val="11"/>
        <color theme="1"/>
        <rFont val="Aptos Narrow"/>
        <family val="2"/>
        <scheme val="minor"/>
      </rPr>
      <t>2</t>
    </r>
  </si>
  <si>
    <t>?</t>
  </si>
  <si>
    <t>4.4 Steady level flight</t>
  </si>
  <si>
    <t>Steady level flights</t>
  </si>
  <si>
    <t>sorted descending</t>
  </si>
  <si>
    <t>method 2</t>
  </si>
  <si>
    <t>CG offset from default [in]</t>
  </si>
  <si>
    <t xml:space="preserve">Target test altitude </t>
  </si>
  <si>
    <t>Actual altitude [ft]</t>
  </si>
  <si>
    <t>Recorded  [IAS]</t>
  </si>
  <si>
    <t>Stabilator angle [deg]</t>
  </si>
  <si>
    <t>Fuel weight [lb]</t>
  </si>
  <si>
    <t>Fuel weight [kg]</t>
  </si>
  <si>
    <t>x.cg [m]</t>
  </si>
  <si>
    <t>mean x.cg [m]</t>
  </si>
  <si>
    <t>CL</t>
  </si>
  <si>
    <t>diH/dCL</t>
    <phoneticPr fontId="19" type="noConversion"/>
  </si>
  <si>
    <t>expected gradients around -3 to -4</t>
  </si>
  <si>
    <t>U_diH/dCL</t>
    <phoneticPr fontId="19" type="noConversion"/>
  </si>
  <si>
    <t>gradient</t>
  </si>
  <si>
    <t>intercept</t>
  </si>
  <si>
    <r>
      <t>η</t>
    </r>
    <r>
      <rPr>
        <vertAlign val="subscript"/>
        <sz val="11"/>
        <color rgb="FF000000"/>
        <rFont val="Aptos Narrow"/>
        <family val="2"/>
        <scheme val="minor"/>
      </rPr>
      <t>H</t>
    </r>
    <r>
      <rPr>
        <sz val="11"/>
        <color rgb="FF000000"/>
        <rFont val="Aptos Narrow"/>
        <family val="2"/>
        <scheme val="minor"/>
      </rPr>
      <t>a</t>
    </r>
    <r>
      <rPr>
        <vertAlign val="subscript"/>
        <sz val="11"/>
        <color rgb="FF000000"/>
        <rFont val="Aptos Narrow"/>
        <family val="2"/>
        <scheme val="minor"/>
      </rPr>
      <t>H</t>
    </r>
  </si>
  <si>
    <r>
      <t>x</t>
    </r>
    <r>
      <rPr>
        <vertAlign val="subscript"/>
        <sz val="11"/>
        <color theme="1"/>
        <rFont val="Aptos Narrow"/>
        <family val="2"/>
        <scheme val="minor"/>
      </rPr>
      <t>np</t>
    </r>
    <r>
      <rPr>
        <sz val="11"/>
        <color theme="1"/>
        <rFont val="Aptos Narrow"/>
        <family val="2"/>
        <scheme val="minor"/>
      </rPr>
      <t xml:space="preserve"> [m]</t>
    </r>
  </si>
  <si>
    <t>too close to x.cg</t>
  </si>
  <si>
    <t>either mistake or bad data</t>
  </si>
  <si>
    <t>CM.0</t>
  </si>
  <si>
    <t>Average Cmo</t>
    <phoneticPr fontId="19" type="noConversion"/>
  </si>
  <si>
    <t>Tail off</t>
  </si>
  <si>
    <t>Tail on</t>
  </si>
  <si>
    <t>Weight, W [N]</t>
  </si>
  <si>
    <t>(∆x) m</t>
  </si>
  <si>
    <t>(∆z) m</t>
  </si>
  <si>
    <t>Span [m]</t>
  </si>
  <si>
    <t>Mean geo chord [m]</t>
  </si>
  <si>
    <t>Mean aero chord [m]</t>
  </si>
  <si>
    <t>eqn 7</t>
  </si>
  <si>
    <t>a0a -0.5</t>
    <phoneticPr fontId="19" type="noConversion"/>
  </si>
  <si>
    <t>aoa 10.2</t>
    <phoneticPr fontId="19" type="noConversion"/>
  </si>
  <si>
    <t>Reference area, S [m^2]</t>
  </si>
  <si>
    <t>cl 1</t>
    <phoneticPr fontId="19" type="noConversion"/>
  </si>
  <si>
    <t>Xcg [m] model</t>
  </si>
  <si>
    <t>cl -2</t>
    <phoneticPr fontId="19" type="noConversion"/>
  </si>
  <si>
    <t>lh</t>
    <phoneticPr fontId="19" type="noConversion"/>
  </si>
  <si>
    <t>Vh (volume Coe)</t>
    <phoneticPr fontId="19" type="noConversion"/>
  </si>
  <si>
    <t>Cl max for tail -2</t>
    <phoneticPr fontId="19" type="noConversion"/>
  </si>
  <si>
    <t>U.Patm</t>
  </si>
  <si>
    <t>delta cl</t>
    <phoneticPr fontId="19" type="noConversion"/>
  </si>
  <si>
    <t>trim +1</t>
    <phoneticPr fontId="19" type="noConversion"/>
  </si>
  <si>
    <t xml:space="preserve">de/da </t>
    <phoneticPr fontId="19" type="noConversion"/>
  </si>
  <si>
    <t>(3)</t>
  </si>
  <si>
    <t>(4), (5), (6)</t>
  </si>
  <si>
    <t>(7)</t>
  </si>
  <si>
    <t>everything x0.94</t>
  </si>
  <si>
    <t>(8)</t>
  </si>
  <si>
    <t>(9)</t>
  </si>
  <si>
    <t>(10)</t>
  </si>
  <si>
    <t>(11)</t>
  </si>
  <si>
    <t>(15)</t>
  </si>
  <si>
    <t>efficiency * a</t>
    <phoneticPr fontId="19" type="noConversion"/>
  </si>
  <si>
    <t>trim -2</t>
    <phoneticPr fontId="19" type="noConversion"/>
  </si>
  <si>
    <t>at tail +1 trim</t>
    <phoneticPr fontId="19" type="noConversion"/>
  </si>
  <si>
    <t xml:space="preserve">Test 1 </t>
    <phoneticPr fontId="0" type="noConversion"/>
  </si>
  <si>
    <t>fractU using S.D.</t>
  </si>
  <si>
    <t>Correction  for axes direction</t>
  </si>
  <si>
    <t>Correction for self-weight</t>
  </si>
  <si>
    <t>Change to wind frame of reference</t>
  </si>
  <si>
    <t>sum factors of S.D</t>
  </si>
  <si>
    <t>Tunnel aero coefficients</t>
  </si>
  <si>
    <t>U = val*(fractU + fractU_dynP)</t>
  </si>
  <si>
    <t>Correction for solid blockage</t>
  </si>
  <si>
    <t>Correction for string drag</t>
  </si>
  <si>
    <t>no change in U</t>
  </si>
  <si>
    <t>Get alpha in free air</t>
  </si>
  <si>
    <t>equal to U_ CL</t>
  </si>
  <si>
    <t>CD in free air</t>
  </si>
  <si>
    <t>U unchanged</t>
  </si>
  <si>
    <t>U = U_CD + 0.015*CL*(2*fractU_CL)</t>
  </si>
  <si>
    <t>Quantify additional upwash on tailplane</t>
  </si>
  <si>
    <t>dCM/diH</t>
  </si>
  <si>
    <t>Corrected CM due to upwash at tail</t>
  </si>
  <si>
    <t>Trim Cl</t>
    <phoneticPr fontId="19" type="noConversion"/>
  </si>
  <si>
    <t>Cm-Cl Slope</t>
    <phoneticPr fontId="19" type="noConversion"/>
  </si>
  <si>
    <t>Xw [m] (aero center for wing + fuelsalage)</t>
    <phoneticPr fontId="19" type="noConversion"/>
  </si>
  <si>
    <t>a</t>
    <phoneticPr fontId="19" type="noConversion"/>
  </si>
  <si>
    <t xml:space="preserve"> at AOA=-0.5</t>
    <phoneticPr fontId="19" type="noConversion"/>
  </si>
  <si>
    <t>line for Cl max plot points</t>
    <phoneticPr fontId="19" type="noConversion"/>
  </si>
  <si>
    <t>at tail -2 trim</t>
    <phoneticPr fontId="19" type="noConversion"/>
  </si>
  <si>
    <t>Wind tunnel, No tail</t>
  </si>
  <si>
    <t>AOA (α)</t>
    <phoneticPr fontId="0" type="noConversion"/>
  </si>
  <si>
    <t>Sting Angle (θ)</t>
    <phoneticPr fontId="0" type="noConversion"/>
  </si>
  <si>
    <t>Tailplane setting angle (iH)</t>
  </si>
  <si>
    <t>Patm [Pa]</t>
  </si>
  <si>
    <t>Temp [C]</t>
  </si>
  <si>
    <t>Dynamic Pressure [Pa]</t>
  </si>
  <si>
    <t>U.Pdynamic</t>
  </si>
  <si>
    <t>fractU_ dynamic pressure</t>
  </si>
  <si>
    <t>Velocity [m/s]</t>
  </si>
  <si>
    <t>U.velocity [m/s]</t>
  </si>
  <si>
    <t>Fz [N]</t>
  </si>
  <si>
    <t>U.Fz</t>
  </si>
  <si>
    <t>Fx [N]</t>
  </si>
  <si>
    <t>U.Fx</t>
  </si>
  <si>
    <t>Mc [Nm]</t>
  </si>
  <si>
    <t>U.Mc</t>
  </si>
  <si>
    <t>Fz S.D.</t>
  </si>
  <si>
    <t>Fx S.D.</t>
  </si>
  <si>
    <t>Mc S.D.</t>
  </si>
  <si>
    <t>corrected Fz</t>
  </si>
  <si>
    <t>corrected Fx</t>
  </si>
  <si>
    <t>corrected My</t>
  </si>
  <si>
    <t>Fza [N]</t>
  </si>
  <si>
    <t>Fxa [N]</t>
  </si>
  <si>
    <t>Mca [Nm]</t>
  </si>
  <si>
    <t>L.tu [N]</t>
  </si>
  <si>
    <t>D.tu [N]</t>
  </si>
  <si>
    <t>M.tu [Nm]</t>
  </si>
  <si>
    <t>U_ L.tu [N]</t>
  </si>
  <si>
    <t>U_ D.tu [N]</t>
  </si>
  <si>
    <t>U_ M.tu [Nm]</t>
  </si>
  <si>
    <t>CL.tu</t>
  </si>
  <si>
    <t>CD.tu</t>
  </si>
  <si>
    <t>CM.tu</t>
  </si>
  <si>
    <t>U_ CL.tu</t>
  </si>
  <si>
    <t>U_ CD.tu</t>
  </si>
  <si>
    <t>U_ CM.tu</t>
  </si>
  <si>
    <t>CD</t>
  </si>
  <si>
    <t>CM</t>
  </si>
  <si>
    <t>U_ CL</t>
  </si>
  <si>
    <t>U_ CD</t>
  </si>
  <si>
    <t>U_ CM</t>
  </si>
  <si>
    <t>actual AOA (α)</t>
  </si>
  <si>
    <t>U_ actual AOA (α)</t>
  </si>
  <si>
    <t>Corrected tailplane aoa [deg]</t>
  </si>
  <si>
    <r>
      <t>CL</t>
    </r>
    <r>
      <rPr>
        <vertAlign val="superscript"/>
        <sz val="11"/>
        <color theme="1"/>
        <rFont val="Aptos Narrow"/>
        <family val="2"/>
        <scheme val="minor"/>
      </rPr>
      <t>2</t>
    </r>
  </si>
  <si>
    <t>Tail +1</t>
    <phoneticPr fontId="19" type="noConversion"/>
  </si>
  <si>
    <t>at AOA=10.2</t>
    <phoneticPr fontId="19" type="noConversion"/>
  </si>
  <si>
    <t>x1</t>
    <phoneticPr fontId="19" type="noConversion"/>
  </si>
  <si>
    <t>Test 1.1</t>
    <phoneticPr fontId="0" type="noConversion"/>
  </si>
  <si>
    <t>removed</t>
    <phoneticPr fontId="0" type="noConversion"/>
  </si>
  <si>
    <t>U = S.D.</t>
  </si>
  <si>
    <t>no tail, notail aoa</t>
  </si>
  <si>
    <t>Tail -2</t>
    <phoneticPr fontId="19" type="noConversion"/>
  </si>
  <si>
    <t>x2</t>
    <phoneticPr fontId="19" type="noConversion"/>
  </si>
  <si>
    <t>Test 1.2</t>
  </si>
  <si>
    <t>U_ dCM/diH</t>
  </si>
  <si>
    <t>trim AoA</t>
    <phoneticPr fontId="19" type="noConversion"/>
  </si>
  <si>
    <t>y1</t>
    <phoneticPr fontId="19" type="noConversion"/>
  </si>
  <si>
    <t>Test 1.3</t>
  </si>
  <si>
    <t>tail off a</t>
    <phoneticPr fontId="19" type="noConversion"/>
  </si>
  <si>
    <t>y2</t>
    <phoneticPr fontId="19" type="noConversion"/>
  </si>
  <si>
    <t>Test 1.4</t>
  </si>
  <si>
    <t>cl = 0.1</t>
    <phoneticPr fontId="19" type="noConversion"/>
  </si>
  <si>
    <t>Test 1.5</t>
  </si>
  <si>
    <t>cl = 0.82</t>
    <phoneticPr fontId="19" type="noConversion"/>
  </si>
  <si>
    <t>Test 1.6</t>
  </si>
  <si>
    <t>Test 1.7</t>
  </si>
  <si>
    <t>ave linear slope</t>
    <phoneticPr fontId="19" type="noConversion"/>
  </si>
  <si>
    <t>Test 1.8</t>
  </si>
  <si>
    <t>no tail, no upwash at tail, do not correct CM</t>
  </si>
  <si>
    <t>find U_ dCM/diH</t>
  </si>
  <si>
    <t>Test 2</t>
    <phoneticPr fontId="0" type="noConversion"/>
  </si>
  <si>
    <t>U_ΔiH = 0.415*U_CL</t>
  </si>
  <si>
    <t>U = U_CM + 0.415*CL*dCM/diH *(fractU_CL+fractU_dCM/diH)</t>
  </si>
  <si>
    <t>(16)</t>
  </si>
  <si>
    <r>
      <t>Wind tunnel, Δi</t>
    </r>
    <r>
      <rPr>
        <vertAlign val="subscript"/>
        <sz val="11"/>
        <color theme="1"/>
        <rFont val="Aptos Narrow"/>
        <family val="2"/>
        <scheme val="minor"/>
      </rPr>
      <t>H</t>
    </r>
    <r>
      <rPr>
        <sz val="11"/>
        <color theme="1"/>
        <rFont val="Aptos Narrow"/>
        <family val="2"/>
        <charset val="134"/>
        <scheme val="minor"/>
      </rPr>
      <t xml:space="preserve"> = +1</t>
    </r>
    <r>
      <rPr>
        <vertAlign val="superscript"/>
        <sz val="11"/>
        <color theme="1"/>
        <rFont val="Aptos Narrow"/>
        <family val="2"/>
        <scheme val="minor"/>
      </rPr>
      <t>o</t>
    </r>
  </si>
  <si>
    <t>CL.min</t>
  </si>
  <si>
    <t>CM.min</t>
  </si>
  <si>
    <t xml:space="preserve">U_ΔiH </t>
  </si>
  <si>
    <t>Kn for tail at 1 deg</t>
  </si>
  <si>
    <t>xnp</t>
    <phoneticPr fontId="19" type="noConversion"/>
  </si>
  <si>
    <t>Tail (+1)</t>
    <phoneticPr fontId="19" type="noConversion"/>
  </si>
  <si>
    <t>Test 2.1</t>
    <phoneticPr fontId="0" type="noConversion"/>
  </si>
  <si>
    <t>Tail (-2)</t>
    <phoneticPr fontId="19" type="noConversion"/>
  </si>
  <si>
    <t>Test 2.2</t>
  </si>
  <si>
    <t>Test 2.3</t>
  </si>
  <si>
    <t>Test 2.4</t>
  </si>
  <si>
    <t>Test 2.5</t>
  </si>
  <si>
    <t>Test 2.6</t>
  </si>
  <si>
    <t>Test 2.7</t>
  </si>
  <si>
    <t>Test 2.8</t>
  </si>
  <si>
    <t>Test 3</t>
    <phoneticPr fontId="0" type="noConversion"/>
  </si>
  <si>
    <r>
      <t>Wind tunnel, Δi</t>
    </r>
    <r>
      <rPr>
        <vertAlign val="subscript"/>
        <sz val="11"/>
        <color theme="1"/>
        <rFont val="Aptos Narrow"/>
        <family val="2"/>
        <scheme val="minor"/>
      </rPr>
      <t xml:space="preserve">H </t>
    </r>
    <r>
      <rPr>
        <sz val="11"/>
        <color theme="1"/>
        <rFont val="Aptos Narrow"/>
        <family val="2"/>
        <scheme val="minor"/>
      </rPr>
      <t>= -2</t>
    </r>
    <r>
      <rPr>
        <vertAlign val="superscript"/>
        <sz val="11"/>
        <color theme="1"/>
        <rFont val="Aptos Narrow"/>
        <family val="2"/>
        <scheme val="minor"/>
      </rPr>
      <t>o</t>
    </r>
  </si>
  <si>
    <t>AOA (α)</t>
  </si>
  <si>
    <t>Sting Angle (θ)</t>
  </si>
  <si>
    <t>Temp</t>
  </si>
  <si>
    <t>CL.max</t>
  </si>
  <si>
    <t>CM.max</t>
  </si>
  <si>
    <t>Kn for tail at -2 deg</t>
  </si>
  <si>
    <t>Test 3.1</t>
    <phoneticPr fontId="0" type="noConversion"/>
  </si>
  <si>
    <t>Test 3.2</t>
  </si>
  <si>
    <t>Test 3.3</t>
  </si>
  <si>
    <t>Test 3.4</t>
  </si>
  <si>
    <t>Test 3.5</t>
  </si>
  <si>
    <t>Test 3.6</t>
  </si>
  <si>
    <t>Test 3.7</t>
  </si>
  <si>
    <t>Test 3.8</t>
  </si>
  <si>
    <t>Test 3.9</t>
  </si>
  <si>
    <t>Test 3.10</t>
  </si>
  <si>
    <t>can u help me reformat the Cm Cl plot please</t>
    <phoneticPr fontId="19" type="noConversion"/>
  </si>
  <si>
    <t xml:space="preserve"> for Q4</t>
    <phoneticPr fontId="19" type="noConversion"/>
  </si>
  <si>
    <t>Test 3.11</t>
  </si>
  <si>
    <t>I think ur format is way better</t>
    <phoneticPr fontId="19" type="noConversion"/>
  </si>
  <si>
    <t>Test 3.12</t>
  </si>
  <si>
    <t>okk</t>
  </si>
  <si>
    <t>Test 3.13</t>
  </si>
  <si>
    <t>thank u</t>
    <phoneticPr fontId="19" type="noConversion"/>
  </si>
  <si>
    <t>Test 3.14</t>
  </si>
  <si>
    <t>which plot?</t>
  </si>
  <si>
    <t>Test 3.15</t>
  </si>
  <si>
    <t>Test 3.16</t>
  </si>
  <si>
    <t>Cm/Cl</t>
  </si>
  <si>
    <t>CM, 1</t>
  </si>
  <si>
    <t>CM, -2</t>
  </si>
  <si>
    <t>im using this value</t>
  </si>
  <si>
    <t>dCM/diH max</t>
  </si>
  <si>
    <t>from MATLAB:</t>
  </si>
  <si>
    <t>dCm/iH</t>
  </si>
  <si>
    <t>iH</t>
  </si>
  <si>
    <t>CL at CM=0</t>
  </si>
  <si>
    <t>grad(test)</t>
  </si>
  <si>
    <t>not sure how to find uncertainty for this</t>
  </si>
  <si>
    <t>found tangents by eye :(</t>
  </si>
  <si>
    <t>plot tangent line</t>
  </si>
  <si>
    <t>x1</t>
  </si>
  <si>
    <t>x2</t>
  </si>
  <si>
    <t>y1</t>
  </si>
  <si>
    <t>y2</t>
  </si>
  <si>
    <t>tail + 1</t>
  </si>
  <si>
    <t>tail -2</t>
  </si>
  <si>
    <t>tail off</t>
  </si>
  <si>
    <t>trimed cl</t>
  </si>
  <si>
    <t>a</t>
  </si>
  <si>
    <t>delta Cl</t>
  </si>
  <si>
    <t>aH*efficiency</t>
  </si>
  <si>
    <t>lh</t>
  </si>
  <si>
    <t>Vh</t>
  </si>
  <si>
    <t>Q1</t>
  </si>
  <si>
    <t>Q2</t>
  </si>
  <si>
    <t>Case</t>
  </si>
  <si>
    <r>
      <t>C</t>
    </r>
    <r>
      <rPr>
        <b/>
        <vertAlign val="subscript"/>
        <sz val="11"/>
        <rFont val="Arial"/>
        <family val="2"/>
      </rPr>
      <t>D, min</t>
    </r>
  </si>
  <si>
    <r>
      <t>C</t>
    </r>
    <r>
      <rPr>
        <b/>
        <vertAlign val="subscript"/>
        <sz val="11"/>
        <rFont val="Arial"/>
        <family val="2"/>
      </rPr>
      <t xml:space="preserve">L </t>
    </r>
    <r>
      <rPr>
        <b/>
        <sz val="11"/>
        <rFont val="Arial"/>
        <family val="2"/>
      </rPr>
      <t>for C</t>
    </r>
    <r>
      <rPr>
        <b/>
        <vertAlign val="subscript"/>
        <sz val="11"/>
        <rFont val="Arial"/>
        <family val="2"/>
      </rPr>
      <t>D, min</t>
    </r>
  </si>
  <si>
    <r>
      <t xml:space="preserve">( </t>
    </r>
    <r>
      <rPr>
        <b/>
        <vertAlign val="superscript"/>
        <sz val="11"/>
        <rFont val="Arial"/>
        <family val="2"/>
      </rPr>
      <t>L</t>
    </r>
    <r>
      <rPr>
        <b/>
        <sz val="11"/>
        <rFont val="Arial"/>
        <family val="2"/>
      </rPr>
      <t>/</t>
    </r>
    <r>
      <rPr>
        <b/>
        <vertAlign val="subscript"/>
        <sz val="11"/>
        <rFont val="Arial"/>
        <family val="2"/>
      </rPr>
      <t xml:space="preserve">D </t>
    </r>
    <r>
      <rPr>
        <b/>
        <sz val="11"/>
        <rFont val="Arial"/>
        <family val="2"/>
      </rPr>
      <t>)</t>
    </r>
    <r>
      <rPr>
        <b/>
        <vertAlign val="subscript"/>
        <sz val="11"/>
        <rFont val="Arial"/>
        <family val="2"/>
      </rPr>
      <t>max</t>
    </r>
  </si>
  <si>
    <r>
      <t>C</t>
    </r>
    <r>
      <rPr>
        <b/>
        <vertAlign val="subscript"/>
        <sz val="11"/>
        <rFont val="Arial"/>
        <family val="2"/>
      </rPr>
      <t>L</t>
    </r>
    <r>
      <rPr>
        <b/>
        <sz val="11"/>
        <rFont val="Arial"/>
        <family val="2"/>
      </rPr>
      <t xml:space="preserve"> for ( </t>
    </r>
    <r>
      <rPr>
        <b/>
        <vertAlign val="superscript"/>
        <sz val="11"/>
        <rFont val="Arial"/>
        <family val="2"/>
      </rPr>
      <t>L</t>
    </r>
    <r>
      <rPr>
        <b/>
        <sz val="11"/>
        <rFont val="Arial"/>
        <family val="2"/>
      </rPr>
      <t>/</t>
    </r>
    <r>
      <rPr>
        <b/>
        <vertAlign val="subscript"/>
        <sz val="11"/>
        <rFont val="Arial"/>
        <family val="2"/>
      </rPr>
      <t>D</t>
    </r>
    <r>
      <rPr>
        <b/>
        <sz val="11"/>
        <rFont val="Arial"/>
        <family val="2"/>
      </rPr>
      <t xml:space="preserve"> )</t>
    </r>
    <r>
      <rPr>
        <b/>
        <vertAlign val="subscript"/>
        <sz val="11"/>
        <rFont val="Arial"/>
        <family val="2"/>
      </rPr>
      <t>max</t>
    </r>
  </si>
  <si>
    <t>Flight test</t>
  </si>
  <si>
    <t>21.550</t>
  </si>
  <si>
    <t>13.669</t>
  </si>
  <si>
    <r>
      <t>Wind tunnel, Δi</t>
    </r>
    <r>
      <rPr>
        <vertAlign val="subscript"/>
        <sz val="11"/>
        <color theme="1"/>
        <rFont val="Arial"/>
        <family val="2"/>
      </rPr>
      <t>H</t>
    </r>
    <r>
      <rPr>
        <sz val="11"/>
        <color theme="1"/>
        <rFont val="Arial"/>
        <family val="2"/>
      </rPr>
      <t xml:space="preserve"> = +1</t>
    </r>
    <r>
      <rPr>
        <vertAlign val="superscript"/>
        <sz val="11"/>
        <color theme="1"/>
        <rFont val="Arial"/>
        <family val="2"/>
      </rPr>
      <t>o</t>
    </r>
  </si>
  <si>
    <t>12.656</t>
  </si>
  <si>
    <t>0.597</t>
  </si>
  <si>
    <r>
      <t>Wind tunnel, Δi</t>
    </r>
    <r>
      <rPr>
        <vertAlign val="subscript"/>
        <sz val="11"/>
        <color theme="1"/>
        <rFont val="Arial"/>
        <family val="2"/>
      </rPr>
      <t>H</t>
    </r>
    <r>
      <rPr>
        <sz val="11"/>
        <color theme="1"/>
        <rFont val="Arial"/>
        <family val="2"/>
      </rPr>
      <t xml:space="preserve"> = -2</t>
    </r>
    <r>
      <rPr>
        <vertAlign val="superscript"/>
        <sz val="11"/>
        <color theme="1"/>
        <rFont val="Arial"/>
        <family val="2"/>
      </rPr>
      <t>o</t>
    </r>
  </si>
  <si>
    <t>12.034</t>
  </si>
  <si>
    <t>0.600</t>
  </si>
  <si>
    <t>Q3</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</si>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</sst>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11"/>
      <color rgb="FFFF0000"/>
      <name val="Aptos Narrow"/>
      <family val="2"/>
      <scheme val="minor"/>
    </font>
    <font>
      <b/>
      <sz val="11"/>
      <color theme="1"/>
      <name val="Aptos Narrow"/>
      <family val="2"/>
      <scheme val="minor"/>
    </font>
    <font>
      <sz val="11"/>
      <color theme="1"/>
      <name val="Aptos Narrow"/>
      <family val="2"/>
      <charset val="134"/>
      <scheme val="minor"/>
    </font>
    <font>
      <b/>
      <sz val="11"/>
      <color theme="1"/>
      <name val="Aptos Narrow"/>
      <family val="2"/>
      <charset val="134"/>
      <scheme val="minor"/>
    </font>
    <font>
      <b/>
      <sz val="11"/>
      <color theme="1"/>
      <name val="Aptos Narrow"/>
      <family val="3"/>
      <charset val="134"/>
      <scheme val="minor"/>
    </font>
    <font>
      <b/>
      <sz val="11"/>
      <color rgb="FF000000"/>
      <name val="Aptos Narrow"/>
      <family val="2"/>
      <scheme val="minor"/>
    </font>
    <font>
      <sz val="11"/>
      <color rgb="FFFF0000"/>
      <name val="Aptos Narrow"/>
      <family val="2"/>
      <charset val="134"/>
      <scheme val="minor"/>
    </font>
    <font>
      <sz val="11"/>
      <color rgb="FF000000"/>
      <name val="Aptos Narrow"/>
      <family val="2"/>
      <scheme val="minor"/>
    </font>
    <font>
      <vertAlign val="subscript"/>
      <sz val="11"/>
      <color rgb="FF000000"/>
      <name val="Aptos Narrow"/>
      <family val="2"/>
      <scheme val="minor"/>
    </font>
    <font>
      <vertAlign val="subscript"/>
      <sz val="11"/>
      <color theme="1"/>
      <name val="Aptos Narrow"/>
      <family val="2"/>
      <scheme val="minor"/>
    </font>
    <font>
      <vertAlign val="superscript"/>
      <sz val="11"/>
      <color theme="1"/>
      <name val="Aptos Narrow"/>
      <family val="2"/>
      <scheme val="minor"/>
    </font>
    <font>
      <sz val="11"/>
      <color theme="1"/>
      <name val="Arial"/>
      <family val="2"/>
    </font>
    <font>
      <vertAlign val="subscript"/>
      <sz val="11"/>
      <color theme="1"/>
      <name val="Arial"/>
      <family val="2"/>
    </font>
    <font>
      <vertAlign val="superscript"/>
      <sz val="11"/>
      <color theme="1"/>
      <name val="Arial"/>
      <family val="2"/>
    </font>
    <font>
      <b/>
      <sz val="11"/>
      <name val="Arial"/>
      <family val="2"/>
    </font>
    <font>
      <b/>
      <vertAlign val="subscript"/>
      <sz val="11"/>
      <name val="Arial"/>
      <family val="2"/>
    </font>
    <font>
      <b/>
      <vertAlign val="superscript"/>
      <sz val="11"/>
      <name val="Arial"/>
      <family val="2"/>
    </font>
    <font>
      <b/>
      <vertAlign val="superscript"/>
      <sz val="11"/>
      <color theme="1"/>
      <name val="Aptos Narrow"/>
      <family val="2"/>
      <scheme val="minor"/>
    </font>
    <font>
      <sz val="9"/>
      <name val="Aptos Narrow"/>
      <family val="3"/>
      <charset val="134"/>
      <scheme val="minor"/>
    </font>
  </fonts>
  <fills count="15">
    <fill>
      <patternFill patternType="none"/>
    </fill>
    <fill>
      <patternFill patternType="gray125"/>
    </fill>
    <fill>
      <patternFill patternType="solid">
        <fgColor theme="9" tint="0.59999389629810485"/>
        <bgColor indexed="64"/>
      </patternFill>
    </fill>
    <fill>
      <patternFill patternType="solid">
        <fgColor theme="3" tint="0.74999237037263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FFF00"/>
        <bgColor indexed="64"/>
      </patternFill>
    </fill>
    <fill>
      <patternFill patternType="solid">
        <fgColor rgb="FFC8FFC8"/>
        <bgColor indexed="64"/>
      </patternFill>
    </fill>
    <fill>
      <patternFill patternType="solid">
        <fgColor rgb="FFFFFFC8"/>
        <bgColor indexed="64"/>
      </patternFill>
    </fill>
    <fill>
      <patternFill patternType="solid">
        <fgColor theme="1"/>
        <bgColor indexed="64"/>
      </patternFill>
    </fill>
    <fill>
      <patternFill patternType="solid">
        <fgColor rgb="FFFFC8C8"/>
        <bgColor indexed="64"/>
      </patternFill>
    </fill>
    <fill>
      <patternFill patternType="solid">
        <fgColor theme="5" tint="0.59999389629810485"/>
        <bgColor indexed="64"/>
      </patternFill>
    </fill>
    <fill>
      <patternFill patternType="solid">
        <fgColor theme="0"/>
        <bgColor indexed="64"/>
      </patternFill>
    </fill>
    <fill>
      <patternFill patternType="solid">
        <fgColor theme="9" tint="0.79998168889431442"/>
        <bgColor indexed="64"/>
      </patternFill>
    </fill>
  </fills>
  <borders count="80">
    <border>
      <left/>
      <right/>
      <top/>
      <bottom/>
      <diagonal/>
    </border>
    <border>
      <left style="thin">
        <color rgb="FF000000"/>
      </left>
      <right style="thin">
        <color rgb="FF000000"/>
      </right>
      <top style="thin">
        <color rgb="FF000000"/>
      </top>
      <bottom style="thin">
        <color rgb="FF000000"/>
      </bottom>
      <diagonal/>
    </border>
    <border>
      <left style="thin">
        <color theme="1"/>
      </left>
      <right style="thin">
        <color theme="1"/>
      </right>
      <top style="thin">
        <color theme="1"/>
      </top>
      <bottom/>
      <diagonal/>
    </border>
    <border>
      <left/>
      <right style="thin">
        <color theme="1"/>
      </right>
      <top style="thin">
        <color theme="1"/>
      </top>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medium">
        <color rgb="FF000000"/>
      </right>
      <top style="thin">
        <color indexed="64"/>
      </top>
      <bottom style="thin">
        <color indexed="64"/>
      </bottom>
      <diagonal/>
    </border>
    <border>
      <left style="thin">
        <color indexed="64"/>
      </left>
      <right style="thin">
        <color indexed="64"/>
      </right>
      <top/>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indexed="64"/>
      </right>
      <top style="thin">
        <color indexed="64"/>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medium">
        <color indexed="64"/>
      </right>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rgb="FF000000"/>
      </right>
      <top style="medium">
        <color indexed="64"/>
      </top>
      <bottom style="thin">
        <color rgb="FF000000"/>
      </bottom>
      <diagonal/>
    </border>
    <border>
      <left style="medium">
        <color indexed="64"/>
      </left>
      <right style="thin">
        <color indexed="64"/>
      </right>
      <top style="thin">
        <color indexed="64"/>
      </top>
      <bottom style="thin">
        <color indexed="64"/>
      </bottom>
      <diagonal/>
    </border>
    <border>
      <left/>
      <right style="medium">
        <color rgb="FF000000"/>
      </right>
      <top/>
      <bottom/>
      <diagonal/>
    </border>
    <border>
      <left style="medium">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rgb="FF000000"/>
      </right>
      <top/>
      <bottom style="thin">
        <color rgb="FF000000"/>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rgb="FF000000"/>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n">
        <color rgb="FF000000"/>
      </right>
      <top style="thin">
        <color rgb="FF000000"/>
      </top>
      <bottom/>
      <diagonal/>
    </border>
    <border>
      <left/>
      <right style="thin">
        <color rgb="FF000000"/>
      </right>
      <top/>
      <bottom style="medium">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3" fillId="0" borderId="0">
      <alignment vertical="center"/>
    </xf>
  </cellStyleXfs>
  <cellXfs count="249">
    <xf numFmtId="0" fontId="0" fillId="0" borderId="0" xfId="0"/>
    <xf numFmtId="0" fontId="3" fillId="0" borderId="0" xfId="1">
      <alignment vertical="center"/>
    </xf>
    <xf numFmtId="0" fontId="4" fillId="0" borderId="1" xfId="1" applyFont="1" applyBorder="1">
      <alignment vertical="center"/>
    </xf>
    <xf numFmtId="0" fontId="3" fillId="0" borderId="1" xfId="1" applyBorder="1">
      <alignment vertical="center"/>
    </xf>
    <xf numFmtId="0" fontId="4" fillId="0" borderId="0" xfId="1" applyFont="1">
      <alignment vertical="center"/>
    </xf>
    <xf numFmtId="0" fontId="4" fillId="0" borderId="2" xfId="1" applyFont="1" applyBorder="1">
      <alignment vertical="center"/>
    </xf>
    <xf numFmtId="0" fontId="3" fillId="0" borderId="3" xfId="1" applyBorder="1">
      <alignment vertical="center"/>
    </xf>
    <xf numFmtId="0" fontId="4" fillId="0" borderId="4" xfId="1" applyFont="1" applyBorder="1">
      <alignment vertical="center"/>
    </xf>
    <xf numFmtId="0" fontId="3" fillId="0" borderId="5" xfId="1" applyBorder="1">
      <alignment vertical="center"/>
    </xf>
    <xf numFmtId="0" fontId="4" fillId="0" borderId="6" xfId="1" applyFont="1" applyBorder="1">
      <alignment vertical="center"/>
    </xf>
    <xf numFmtId="0" fontId="3" fillId="0" borderId="7" xfId="1" applyBorder="1">
      <alignment vertical="center"/>
    </xf>
    <xf numFmtId="0" fontId="3" fillId="0" borderId="8" xfId="1" applyBorder="1">
      <alignment vertical="center"/>
    </xf>
    <xf numFmtId="0" fontId="3" fillId="0" borderId="14" xfId="1" applyBorder="1">
      <alignment vertical="center"/>
    </xf>
    <xf numFmtId="0" fontId="3" fillId="3" borderId="8" xfId="1" applyFill="1" applyBorder="1">
      <alignment vertical="center"/>
    </xf>
    <xf numFmtId="0" fontId="3" fillId="3" borderId="12" xfId="1" applyFill="1" applyBorder="1">
      <alignment vertical="center"/>
    </xf>
    <xf numFmtId="0" fontId="3" fillId="3" borderId="1" xfId="1" applyFill="1" applyBorder="1">
      <alignment vertical="center"/>
    </xf>
    <xf numFmtId="0" fontId="3" fillId="3" borderId="13" xfId="1" applyFill="1" applyBorder="1">
      <alignment vertical="center"/>
    </xf>
    <xf numFmtId="0" fontId="3" fillId="3" borderId="15" xfId="1" applyFill="1" applyBorder="1">
      <alignment vertical="center"/>
    </xf>
    <xf numFmtId="0" fontId="3" fillId="3" borderId="16" xfId="1" applyFill="1" applyBorder="1">
      <alignment vertical="center"/>
    </xf>
    <xf numFmtId="0" fontId="3" fillId="3" borderId="17" xfId="1" applyFill="1" applyBorder="1">
      <alignment vertical="center"/>
    </xf>
    <xf numFmtId="0" fontId="3" fillId="4" borderId="14" xfId="1" applyFill="1" applyBorder="1">
      <alignment vertical="center"/>
    </xf>
    <xf numFmtId="0" fontId="3" fillId="5" borderId="8" xfId="1" applyFill="1" applyBorder="1" applyAlignment="1">
      <alignment horizontal="left" vertical="center"/>
    </xf>
    <xf numFmtId="0" fontId="3" fillId="5" borderId="8" xfId="1" applyFill="1" applyBorder="1">
      <alignment vertical="center"/>
    </xf>
    <xf numFmtId="0" fontId="3" fillId="0" borderId="12" xfId="1" applyBorder="1">
      <alignment vertical="center"/>
    </xf>
    <xf numFmtId="0" fontId="3" fillId="6" borderId="13" xfId="1" applyFill="1" applyBorder="1">
      <alignment vertical="center"/>
    </xf>
    <xf numFmtId="0" fontId="3" fillId="6" borderId="8" xfId="1" applyFill="1" applyBorder="1">
      <alignment vertical="center"/>
    </xf>
    <xf numFmtId="0" fontId="3" fillId="0" borderId="18" xfId="1" applyBorder="1">
      <alignment vertical="center"/>
    </xf>
    <xf numFmtId="0" fontId="3" fillId="0" borderId="19" xfId="1" applyBorder="1">
      <alignment vertical="center"/>
    </xf>
    <xf numFmtId="0" fontId="3" fillId="0" borderId="21" xfId="1" applyBorder="1">
      <alignment vertical="center"/>
    </xf>
    <xf numFmtId="0" fontId="3" fillId="6" borderId="22" xfId="1" applyFill="1" applyBorder="1">
      <alignment vertical="center"/>
    </xf>
    <xf numFmtId="0" fontId="3" fillId="4" borderId="23" xfId="1" applyFill="1" applyBorder="1">
      <alignment vertical="center"/>
    </xf>
    <xf numFmtId="0" fontId="3" fillId="5" borderId="24" xfId="1" applyFill="1" applyBorder="1" applyAlignment="1">
      <alignment horizontal="left" vertical="center"/>
    </xf>
    <xf numFmtId="0" fontId="3" fillId="5" borderId="24" xfId="1" applyFill="1" applyBorder="1">
      <alignment vertical="center"/>
    </xf>
    <xf numFmtId="0" fontId="3" fillId="0" borderId="24" xfId="1" applyBorder="1">
      <alignment vertical="center"/>
    </xf>
    <xf numFmtId="0" fontId="3" fillId="0" borderId="25" xfId="1" applyBorder="1">
      <alignment vertical="center"/>
    </xf>
    <xf numFmtId="0" fontId="3" fillId="0" borderId="26" xfId="1" applyBorder="1">
      <alignment vertical="center"/>
    </xf>
    <xf numFmtId="0" fontId="3" fillId="6" borderId="27" xfId="1" applyFill="1" applyBorder="1">
      <alignment vertical="center"/>
    </xf>
    <xf numFmtId="0" fontId="3" fillId="6" borderId="24" xfId="1" applyFill="1" applyBorder="1">
      <alignment vertical="center"/>
    </xf>
    <xf numFmtId="0" fontId="3" fillId="0" borderId="28" xfId="1" applyBorder="1">
      <alignment vertical="center"/>
    </xf>
    <xf numFmtId="0" fontId="3" fillId="0" borderId="29" xfId="1" applyBorder="1">
      <alignment vertical="center"/>
    </xf>
    <xf numFmtId="0" fontId="3" fillId="0" borderId="0" xfId="1" applyAlignment="1">
      <alignment horizontal="left" vertical="center"/>
    </xf>
    <xf numFmtId="0" fontId="3" fillId="0" borderId="30" xfId="1" applyBorder="1">
      <alignment vertical="center"/>
    </xf>
    <xf numFmtId="0" fontId="3" fillId="3" borderId="20" xfId="1" applyFill="1" applyBorder="1">
      <alignment vertical="center"/>
    </xf>
    <xf numFmtId="0" fontId="3" fillId="3" borderId="31" xfId="1" applyFill="1" applyBorder="1">
      <alignment vertical="center"/>
    </xf>
    <xf numFmtId="0" fontId="3" fillId="3" borderId="32" xfId="1" applyFill="1" applyBorder="1">
      <alignment vertical="center"/>
    </xf>
    <xf numFmtId="0" fontId="3" fillId="3" borderId="33" xfId="1" applyFill="1" applyBorder="1">
      <alignment vertical="center"/>
    </xf>
    <xf numFmtId="0" fontId="3" fillId="0" borderId="34" xfId="1" applyBorder="1">
      <alignment vertical="center"/>
    </xf>
    <xf numFmtId="0" fontId="3" fillId="0" borderId="35" xfId="1" applyBorder="1">
      <alignment vertical="center"/>
    </xf>
    <xf numFmtId="0" fontId="3" fillId="0" borderId="36" xfId="1" applyBorder="1">
      <alignment vertical="center"/>
    </xf>
    <xf numFmtId="0" fontId="3" fillId="0" borderId="37" xfId="1" applyBorder="1">
      <alignment vertical="center"/>
    </xf>
    <xf numFmtId="0" fontId="3" fillId="3" borderId="38" xfId="1" applyFill="1" applyBorder="1">
      <alignment vertical="center"/>
    </xf>
    <xf numFmtId="0" fontId="3" fillId="6" borderId="1" xfId="1" applyFill="1" applyBorder="1">
      <alignment vertical="center"/>
    </xf>
    <xf numFmtId="0" fontId="3" fillId="0" borderId="39" xfId="1" applyBorder="1">
      <alignment vertical="center"/>
    </xf>
    <xf numFmtId="0" fontId="3" fillId="0" borderId="40" xfId="1" applyBorder="1">
      <alignment vertical="center"/>
    </xf>
    <xf numFmtId="0" fontId="3" fillId="6" borderId="41" xfId="1" applyFill="1" applyBorder="1">
      <alignment vertical="center"/>
    </xf>
    <xf numFmtId="0" fontId="3" fillId="0" borderId="41" xfId="1" applyBorder="1">
      <alignment vertical="center"/>
    </xf>
    <xf numFmtId="0" fontId="3" fillId="0" borderId="42" xfId="1" applyBorder="1">
      <alignment vertical="center"/>
    </xf>
    <xf numFmtId="0" fontId="3" fillId="0" borderId="20" xfId="1" applyBorder="1">
      <alignment vertical="center"/>
    </xf>
    <xf numFmtId="0" fontId="3" fillId="0" borderId="43" xfId="1" applyBorder="1">
      <alignment vertical="center"/>
    </xf>
    <xf numFmtId="0" fontId="2" fillId="0" borderId="1" xfId="0" applyFont="1" applyBorder="1"/>
    <xf numFmtId="0" fontId="0" fillId="0" borderId="1" xfId="0"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xf numFmtId="0" fontId="0" fillId="3" borderId="8" xfId="1" applyFont="1" applyFill="1" applyBorder="1">
      <alignment vertical="center"/>
    </xf>
    <xf numFmtId="0" fontId="3" fillId="12" borderId="0" xfId="1" applyFill="1">
      <alignment vertical="center"/>
    </xf>
    <xf numFmtId="0" fontId="0" fillId="0" borderId="0" xfId="1" applyFont="1">
      <alignment vertical="center"/>
    </xf>
    <xf numFmtId="0" fontId="3" fillId="0" borderId="0" xfId="1" applyAlignment="1">
      <alignment horizontal="center" vertical="center"/>
    </xf>
    <xf numFmtId="49" fontId="3" fillId="0" borderId="0" xfId="1" applyNumberFormat="1" applyAlignment="1">
      <alignment horizontal="center" vertical="center"/>
    </xf>
    <xf numFmtId="49" fontId="3" fillId="0" borderId="0" xfId="1" applyNumberFormat="1">
      <alignment vertical="center"/>
    </xf>
    <xf numFmtId="0" fontId="3" fillId="0" borderId="48" xfId="1" applyBorder="1">
      <alignment vertical="center"/>
    </xf>
    <xf numFmtId="0" fontId="3" fillId="0" borderId="51" xfId="1" applyBorder="1">
      <alignment vertical="center"/>
    </xf>
    <xf numFmtId="0" fontId="3" fillId="3" borderId="52" xfId="1" applyFill="1" applyBorder="1">
      <alignment vertical="center"/>
    </xf>
    <xf numFmtId="0" fontId="3" fillId="7" borderId="53" xfId="1" applyFill="1" applyBorder="1">
      <alignment vertical="center"/>
    </xf>
    <xf numFmtId="0" fontId="3" fillId="0" borderId="54" xfId="1" applyBorder="1">
      <alignment vertical="center"/>
    </xf>
    <xf numFmtId="0" fontId="3" fillId="0" borderId="55" xfId="1" applyBorder="1">
      <alignment vertical="center"/>
    </xf>
    <xf numFmtId="0" fontId="3" fillId="0" borderId="56" xfId="1" applyBorder="1">
      <alignment vertical="center"/>
    </xf>
    <xf numFmtId="0" fontId="3" fillId="0" borderId="57" xfId="1" applyBorder="1">
      <alignment vertical="center"/>
    </xf>
    <xf numFmtId="0" fontId="3" fillId="0" borderId="58" xfId="1" applyBorder="1">
      <alignment vertical="center"/>
    </xf>
    <xf numFmtId="0" fontId="3" fillId="7" borderId="48" xfId="1" applyFill="1" applyBorder="1">
      <alignment vertical="center"/>
    </xf>
    <xf numFmtId="0" fontId="7" fillId="0" borderId="0" xfId="1" applyFont="1">
      <alignment vertical="center"/>
    </xf>
    <xf numFmtId="0" fontId="3" fillId="7" borderId="0" xfId="1" applyFill="1">
      <alignment vertical="center"/>
    </xf>
    <xf numFmtId="0" fontId="2" fillId="0" borderId="0" xfId="1" applyFont="1">
      <alignment vertical="center"/>
    </xf>
    <xf numFmtId="0" fontId="0" fillId="0" borderId="8" xfId="0" applyBorder="1" applyAlignment="1">
      <alignment horizontal="center"/>
    </xf>
    <xf numFmtId="0" fontId="2" fillId="7" borderId="51" xfId="0" applyFont="1" applyFill="1" applyBorder="1"/>
    <xf numFmtId="0" fontId="2" fillId="0" borderId="60" xfId="0" applyFont="1" applyBorder="1" applyAlignment="1">
      <alignment horizontal="center"/>
    </xf>
    <xf numFmtId="0" fontId="0" fillId="0" borderId="60" xfId="0" applyBorder="1" applyAlignment="1">
      <alignment horizontal="center"/>
    </xf>
    <xf numFmtId="0" fontId="2" fillId="0" borderId="61" xfId="0" applyFont="1" applyBorder="1" applyAlignment="1">
      <alignment horizontal="center"/>
    </xf>
    <xf numFmtId="0" fontId="0" fillId="8" borderId="54" xfId="0" applyFill="1" applyBorder="1"/>
    <xf numFmtId="0" fontId="0" fillId="0" borderId="55" xfId="0" applyBorder="1" applyAlignment="1">
      <alignment horizontal="center"/>
    </xf>
    <xf numFmtId="0" fontId="0" fillId="0" borderId="54" xfId="0" applyBorder="1"/>
    <xf numFmtId="0" fontId="0" fillId="11" borderId="54" xfId="0" applyFill="1" applyBorder="1"/>
    <xf numFmtId="0" fontId="0" fillId="0" borderId="56" xfId="0" applyBorder="1"/>
    <xf numFmtId="0" fontId="0" fillId="0" borderId="58" xfId="0" applyBorder="1" applyAlignment="1">
      <alignment horizontal="center"/>
    </xf>
    <xf numFmtId="0" fontId="0" fillId="0" borderId="61" xfId="0" applyBorder="1" applyAlignment="1">
      <alignment horizontal="center"/>
    </xf>
    <xf numFmtId="0" fontId="0" fillId="0" borderId="57" xfId="0" applyBorder="1" applyAlignment="1">
      <alignment horizontal="center"/>
    </xf>
    <xf numFmtId="0" fontId="1" fillId="0" borderId="8" xfId="0" applyFont="1" applyBorder="1" applyAlignment="1">
      <alignment horizontal="center"/>
    </xf>
    <xf numFmtId="0" fontId="2" fillId="0" borderId="8" xfId="0" applyFont="1" applyBorder="1" applyAlignment="1">
      <alignment horizontal="center"/>
    </xf>
    <xf numFmtId="0" fontId="0" fillId="0" borderId="61" xfId="0" applyBorder="1"/>
    <xf numFmtId="0" fontId="0" fillId="0" borderId="55" xfId="0" applyBorder="1"/>
    <xf numFmtId="0" fontId="0" fillId="0" borderId="58" xfId="0" applyBorder="1"/>
    <xf numFmtId="0" fontId="0" fillId="0" borderId="8" xfId="0" applyBorder="1"/>
    <xf numFmtId="0" fontId="0" fillId="0" borderId="13" xfId="0" applyBorder="1" applyAlignment="1">
      <alignment horizontal="center"/>
    </xf>
    <xf numFmtId="0" fontId="0" fillId="10" borderId="8" xfId="0" applyFill="1" applyBorder="1"/>
    <xf numFmtId="0" fontId="0" fillId="10" borderId="13" xfId="0" applyFill="1" applyBorder="1" applyAlignment="1">
      <alignment horizontal="center"/>
    </xf>
    <xf numFmtId="0" fontId="0" fillId="8" borderId="0" xfId="0" applyFill="1"/>
    <xf numFmtId="0" fontId="0" fillId="9" borderId="0" xfId="0" applyFill="1"/>
    <xf numFmtId="0" fontId="0" fillId="11" borderId="0" xfId="0" applyFill="1"/>
    <xf numFmtId="0" fontId="2" fillId="0" borderId="8" xfId="0" applyFont="1" applyBorder="1"/>
    <xf numFmtId="0" fontId="0" fillId="0" borderId="0" xfId="0" applyAlignment="1">
      <alignment horizontal="right"/>
    </xf>
    <xf numFmtId="0" fontId="0" fillId="0" borderId="0" xfId="0" applyAlignment="1">
      <alignment horizontal="right" indent="1"/>
    </xf>
    <xf numFmtId="0" fontId="0" fillId="8" borderId="65" xfId="0" applyFill="1" applyBorder="1"/>
    <xf numFmtId="0" fontId="0" fillId="11" borderId="65" xfId="0" applyFill="1" applyBorder="1"/>
    <xf numFmtId="0" fontId="2" fillId="9" borderId="8" xfId="0" applyFont="1" applyFill="1" applyBorder="1" applyAlignment="1">
      <alignment horizontal="center"/>
    </xf>
    <xf numFmtId="0" fontId="1" fillId="0" borderId="8" xfId="0" applyFont="1" applyBorder="1" applyAlignment="1">
      <alignment horizontal="center" vertical="center"/>
    </xf>
    <xf numFmtId="0" fontId="0" fillId="8" borderId="8" xfId="0" applyFill="1" applyBorder="1" applyAlignment="1">
      <alignment horizontal="center"/>
    </xf>
    <xf numFmtId="0" fontId="0" fillId="9" borderId="8" xfId="0" applyFill="1" applyBorder="1" applyAlignment="1">
      <alignment horizontal="center"/>
    </xf>
    <xf numFmtId="0" fontId="0" fillId="11" borderId="8" xfId="0" applyFill="1" applyBorder="1" applyAlignment="1">
      <alignment horizontal="center"/>
    </xf>
    <xf numFmtId="0" fontId="1" fillId="8" borderId="8" xfId="0" applyFont="1" applyFill="1" applyBorder="1" applyAlignment="1">
      <alignment horizontal="center"/>
    </xf>
    <xf numFmtId="0" fontId="6" fillId="7" borderId="51" xfId="0" applyFont="1" applyFill="1" applyBorder="1"/>
    <xf numFmtId="0" fontId="0" fillId="0" borderId="20" xfId="0" applyBorder="1" applyAlignment="1">
      <alignment horizontal="center"/>
    </xf>
    <xf numFmtId="0" fontId="0" fillId="0" borderId="20" xfId="0" applyBorder="1"/>
    <xf numFmtId="0" fontId="0" fillId="0" borderId="12" xfId="0" applyBorder="1"/>
    <xf numFmtId="0" fontId="0" fillId="7" borderId="48" xfId="0" applyFill="1" applyBorder="1" applyAlignment="1">
      <alignment horizontal="center"/>
    </xf>
    <xf numFmtId="0" fontId="1" fillId="9" borderId="0" xfId="0" applyFont="1" applyFill="1"/>
    <xf numFmtId="0" fontId="1" fillId="11" borderId="0" xfId="0" applyFont="1" applyFill="1"/>
    <xf numFmtId="0" fontId="1" fillId="9" borderId="8" xfId="0" applyFont="1" applyFill="1" applyBorder="1" applyAlignment="1">
      <alignment horizontal="center"/>
    </xf>
    <xf numFmtId="0" fontId="1" fillId="11" borderId="8" xfId="0" applyFont="1" applyFill="1" applyBorder="1" applyAlignment="1">
      <alignment horizontal="center"/>
    </xf>
    <xf numFmtId="0" fontId="8" fillId="0" borderId="8" xfId="0" applyFont="1" applyBorder="1"/>
    <xf numFmtId="4" fontId="0" fillId="0" borderId="8" xfId="0" applyNumberFormat="1" applyBorder="1"/>
    <xf numFmtId="0" fontId="1" fillId="0" borderId="8" xfId="0" applyFont="1" applyBorder="1"/>
    <xf numFmtId="0" fontId="5" fillId="0" borderId="0" xfId="1" applyFont="1" applyAlignment="1">
      <alignment horizontal="center" vertical="center"/>
    </xf>
    <xf numFmtId="0" fontId="1" fillId="4" borderId="14" xfId="1" applyFont="1" applyFill="1" applyBorder="1">
      <alignment vertical="center"/>
    </xf>
    <xf numFmtId="0" fontId="1" fillId="5" borderId="20" xfId="1" applyFont="1" applyFill="1" applyBorder="1" applyAlignment="1">
      <alignment horizontal="left" vertical="center"/>
    </xf>
    <xf numFmtId="0" fontId="1" fillId="5" borderId="38" xfId="1" applyFont="1" applyFill="1" applyBorder="1" applyAlignment="1">
      <alignment horizontal="left" vertical="center"/>
    </xf>
    <xf numFmtId="0" fontId="1" fillId="0" borderId="8" xfId="1" applyFont="1" applyBorder="1">
      <alignment vertical="center"/>
    </xf>
    <xf numFmtId="0" fontId="1" fillId="0" borderId="1" xfId="1" applyFont="1" applyBorder="1">
      <alignment vertical="center"/>
    </xf>
    <xf numFmtId="0" fontId="1" fillId="0" borderId="39" xfId="1" applyFont="1" applyBorder="1">
      <alignment vertical="center"/>
    </xf>
    <xf numFmtId="0" fontId="1" fillId="6" borderId="41" xfId="1" applyFont="1" applyFill="1" applyBorder="1">
      <alignment vertical="center"/>
    </xf>
    <xf numFmtId="0" fontId="1" fillId="6" borderId="1" xfId="1" applyFont="1" applyFill="1" applyBorder="1">
      <alignment vertical="center"/>
    </xf>
    <xf numFmtId="0" fontId="1" fillId="0" borderId="18" xfId="1" applyFont="1" applyBorder="1">
      <alignment vertical="center"/>
    </xf>
    <xf numFmtId="0" fontId="1" fillId="0" borderId="19" xfId="1" applyFont="1" applyBorder="1">
      <alignment vertical="center"/>
    </xf>
    <xf numFmtId="0" fontId="1" fillId="0" borderId="0" xfId="1" applyFont="1">
      <alignment vertical="center"/>
    </xf>
    <xf numFmtId="0" fontId="1" fillId="4" borderId="44" xfId="1" applyFont="1" applyFill="1" applyBorder="1">
      <alignment vertical="center"/>
    </xf>
    <xf numFmtId="0" fontId="1" fillId="5" borderId="24" xfId="1" applyFont="1" applyFill="1" applyBorder="1" applyAlignment="1">
      <alignment horizontal="left" vertical="center"/>
    </xf>
    <xf numFmtId="0" fontId="1" fillId="5" borderId="25" xfId="1" applyFont="1" applyFill="1" applyBorder="1" applyAlignment="1">
      <alignment horizontal="left" vertical="center"/>
    </xf>
    <xf numFmtId="0" fontId="1" fillId="0" borderId="24" xfId="1" applyFont="1" applyBorder="1">
      <alignment vertical="center"/>
    </xf>
    <xf numFmtId="0" fontId="1" fillId="0" borderId="26" xfId="1" applyFont="1" applyBorder="1">
      <alignment vertical="center"/>
    </xf>
    <xf numFmtId="0" fontId="1" fillId="0" borderId="45" xfId="1" applyFont="1" applyBorder="1">
      <alignment vertical="center"/>
    </xf>
    <xf numFmtId="0" fontId="1" fillId="6" borderId="26" xfId="1" applyFont="1" applyFill="1" applyBorder="1">
      <alignment vertical="center"/>
    </xf>
    <xf numFmtId="0" fontId="1" fillId="0" borderId="46" xfId="1" applyFont="1" applyBorder="1">
      <alignment vertical="center"/>
    </xf>
    <xf numFmtId="0" fontId="1" fillId="0" borderId="23" xfId="1" applyFont="1" applyBorder="1">
      <alignment vertical="center"/>
    </xf>
    <xf numFmtId="0" fontId="1" fillId="0" borderId="37" xfId="1" applyFont="1" applyBorder="1">
      <alignment vertical="center"/>
    </xf>
    <xf numFmtId="0" fontId="1" fillId="0" borderId="0" xfId="1" applyFont="1" applyAlignment="1">
      <alignment horizontal="center" vertical="center"/>
    </xf>
    <xf numFmtId="0" fontId="3" fillId="0" borderId="66" xfId="1" applyBorder="1">
      <alignment vertical="center"/>
    </xf>
    <xf numFmtId="0" fontId="3" fillId="0" borderId="67" xfId="1" applyBorder="1">
      <alignment vertical="center"/>
    </xf>
    <xf numFmtId="0" fontId="1" fillId="0" borderId="12" xfId="1" applyFont="1" applyBorder="1">
      <alignment vertical="center"/>
    </xf>
    <xf numFmtId="0" fontId="3" fillId="3" borderId="68" xfId="1" applyFill="1" applyBorder="1">
      <alignment vertical="center"/>
    </xf>
    <xf numFmtId="0" fontId="3" fillId="3" borderId="53" xfId="1" applyFill="1" applyBorder="1">
      <alignment vertical="center"/>
    </xf>
    <xf numFmtId="0" fontId="3" fillId="0" borderId="62" xfId="1" applyBorder="1">
      <alignment vertical="center"/>
    </xf>
    <xf numFmtId="0" fontId="3" fillId="0" borderId="69" xfId="1" applyBorder="1">
      <alignment vertical="center"/>
    </xf>
    <xf numFmtId="0" fontId="3" fillId="0" borderId="70" xfId="1" applyBorder="1">
      <alignment vertical="center"/>
    </xf>
    <xf numFmtId="0" fontId="3" fillId="0" borderId="63" xfId="1" applyBorder="1">
      <alignment vertical="center"/>
    </xf>
    <xf numFmtId="0" fontId="1" fillId="0" borderId="34" xfId="1" applyFont="1" applyBorder="1">
      <alignment vertical="center"/>
    </xf>
    <xf numFmtId="0" fontId="1" fillId="0" borderId="62" xfId="1" applyFont="1" applyBorder="1">
      <alignment vertical="center"/>
    </xf>
    <xf numFmtId="0" fontId="1" fillId="0" borderId="69" xfId="1" applyFont="1" applyBorder="1">
      <alignment vertical="center"/>
    </xf>
    <xf numFmtId="0" fontId="1" fillId="0" borderId="70" xfId="1" applyFont="1" applyBorder="1">
      <alignment vertical="center"/>
    </xf>
    <xf numFmtId="0" fontId="1" fillId="0" borderId="63" xfId="1" applyFont="1" applyBorder="1">
      <alignment vertical="center"/>
    </xf>
    <xf numFmtId="0" fontId="3" fillId="3" borderId="71" xfId="1" applyFill="1" applyBorder="1">
      <alignment vertical="center"/>
    </xf>
    <xf numFmtId="0" fontId="3" fillId="3" borderId="74" xfId="1" applyFill="1" applyBorder="1">
      <alignment vertical="center"/>
    </xf>
    <xf numFmtId="0" fontId="3" fillId="3" borderId="66" xfId="1" applyFill="1" applyBorder="1">
      <alignment vertical="center"/>
    </xf>
    <xf numFmtId="0" fontId="3" fillId="0" borderId="75" xfId="1" applyBorder="1">
      <alignment vertical="center"/>
    </xf>
    <xf numFmtId="0" fontId="1" fillId="0" borderId="76" xfId="1" applyFont="1" applyBorder="1">
      <alignment vertical="center"/>
    </xf>
    <xf numFmtId="0" fontId="1" fillId="0" borderId="64" xfId="1" applyFont="1" applyBorder="1">
      <alignment vertical="center"/>
    </xf>
    <xf numFmtId="0" fontId="3" fillId="0" borderId="72" xfId="1" applyBorder="1">
      <alignment vertical="center"/>
    </xf>
    <xf numFmtId="0" fontId="3" fillId="0" borderId="73" xfId="1" applyBorder="1">
      <alignment vertical="center"/>
    </xf>
    <xf numFmtId="0" fontId="0" fillId="3" borderId="12" xfId="1" applyFont="1" applyFill="1" applyBorder="1">
      <alignment vertical="center"/>
    </xf>
    <xf numFmtId="0" fontId="1" fillId="0" borderId="72" xfId="1" applyFont="1" applyBorder="1">
      <alignment vertical="center"/>
    </xf>
    <xf numFmtId="0" fontId="1" fillId="0" borderId="73" xfId="1" applyFont="1" applyBorder="1">
      <alignment vertical="center"/>
    </xf>
    <xf numFmtId="0" fontId="0" fillId="3" borderId="68" xfId="1" applyFont="1" applyFill="1" applyBorder="1">
      <alignment vertical="center"/>
    </xf>
    <xf numFmtId="0" fontId="0" fillId="3" borderId="52" xfId="1" applyFont="1" applyFill="1" applyBorder="1">
      <alignment vertical="center"/>
    </xf>
    <xf numFmtId="0" fontId="0" fillId="3" borderId="53" xfId="1" applyFont="1" applyFill="1" applyBorder="1">
      <alignment vertical="center"/>
    </xf>
    <xf numFmtId="0" fontId="2" fillId="0" borderId="51" xfId="0" applyFont="1" applyBorder="1"/>
    <xf numFmtId="0" fontId="0" fillId="0" borderId="60" xfId="0" applyBorder="1"/>
    <xf numFmtId="0" fontId="0" fillId="0" borderId="57" xfId="0" applyBorder="1"/>
    <xf numFmtId="0" fontId="2" fillId="0" borderId="60" xfId="0" applyFont="1" applyBorder="1"/>
    <xf numFmtId="0" fontId="1" fillId="0" borderId="0" xfId="0" applyFont="1"/>
    <xf numFmtId="49" fontId="12" fillId="13" borderId="8" xfId="1" applyNumberFormat="1" applyFont="1" applyFill="1" applyBorder="1" applyAlignment="1">
      <alignment horizontal="right" vertical="center"/>
    </xf>
    <xf numFmtId="49" fontId="12" fillId="13" borderId="20" xfId="1" applyNumberFormat="1" applyFont="1" applyFill="1" applyBorder="1" applyAlignment="1">
      <alignment horizontal="right" vertical="center"/>
    </xf>
    <xf numFmtId="49" fontId="15" fillId="13" borderId="77" xfId="1" applyNumberFormat="1" applyFont="1" applyFill="1" applyBorder="1">
      <alignment vertical="center"/>
    </xf>
    <xf numFmtId="49" fontId="15" fillId="13" borderId="78" xfId="1" applyNumberFormat="1" applyFont="1" applyFill="1" applyBorder="1">
      <alignment vertical="center"/>
    </xf>
    <xf numFmtId="49" fontId="15" fillId="13" borderId="79" xfId="1" applyNumberFormat="1" applyFont="1" applyFill="1" applyBorder="1">
      <alignment vertical="center"/>
    </xf>
    <xf numFmtId="49" fontId="12" fillId="13" borderId="13" xfId="1" applyNumberFormat="1" applyFont="1" applyFill="1" applyBorder="1">
      <alignment vertical="center"/>
    </xf>
    <xf numFmtId="49" fontId="12" fillId="13" borderId="12" xfId="0" applyNumberFormat="1" applyFont="1" applyFill="1" applyBorder="1" applyAlignment="1">
      <alignment horizontal="right" vertical="center"/>
    </xf>
    <xf numFmtId="49" fontId="12" fillId="13" borderId="74" xfId="1" applyNumberFormat="1" applyFont="1" applyFill="1" applyBorder="1">
      <alignment vertical="center"/>
    </xf>
    <xf numFmtId="49" fontId="12" fillId="13" borderId="20" xfId="0" applyNumberFormat="1" applyFont="1" applyFill="1" applyBorder="1" applyAlignment="1">
      <alignment horizontal="right" vertical="center"/>
    </xf>
    <xf numFmtId="49" fontId="12" fillId="13" borderId="38" xfId="0" applyNumberFormat="1" applyFont="1" applyFill="1" applyBorder="1" applyAlignment="1">
      <alignment horizontal="right" vertical="center"/>
    </xf>
    <xf numFmtId="0" fontId="0" fillId="0" borderId="34" xfId="1" applyFont="1" applyBorder="1">
      <alignment vertical="center"/>
    </xf>
    <xf numFmtId="0" fontId="0" fillId="0" borderId="62" xfId="1" applyFont="1" applyBorder="1">
      <alignment vertical="center"/>
    </xf>
    <xf numFmtId="0" fontId="0" fillId="0" borderId="69" xfId="1" applyFont="1" applyBorder="1">
      <alignment vertical="center"/>
    </xf>
    <xf numFmtId="0" fontId="0" fillId="0" borderId="63" xfId="1" applyFont="1" applyBorder="1">
      <alignment vertical="center"/>
    </xf>
    <xf numFmtId="0" fontId="2" fillId="0" borderId="51" xfId="1" applyFont="1" applyBorder="1">
      <alignment vertical="center"/>
    </xf>
    <xf numFmtId="0" fontId="0" fillId="0" borderId="61" xfId="1" applyFont="1" applyBorder="1">
      <alignment vertical="center"/>
    </xf>
    <xf numFmtId="0" fontId="3" fillId="14" borderId="8" xfId="1" applyFill="1" applyBorder="1">
      <alignment vertical="center"/>
    </xf>
    <xf numFmtId="0" fontId="3" fillId="14" borderId="12" xfId="1" applyFill="1" applyBorder="1">
      <alignment vertical="center"/>
    </xf>
    <xf numFmtId="0" fontId="3" fillId="14" borderId="34" xfId="1" applyFill="1" applyBorder="1">
      <alignment vertical="center"/>
    </xf>
    <xf numFmtId="0" fontId="3" fillId="14" borderId="62" xfId="1" applyFill="1" applyBorder="1">
      <alignment vertical="center"/>
    </xf>
    <xf numFmtId="0" fontId="3" fillId="14" borderId="69" xfId="1" applyFill="1" applyBorder="1">
      <alignment vertical="center"/>
    </xf>
    <xf numFmtId="0" fontId="3" fillId="14" borderId="70" xfId="1" applyFill="1" applyBorder="1">
      <alignment vertical="center"/>
    </xf>
    <xf numFmtId="0" fontId="3" fillId="14" borderId="63" xfId="1" applyFill="1" applyBorder="1">
      <alignment vertical="center"/>
    </xf>
    <xf numFmtId="0" fontId="0" fillId="14" borderId="8" xfId="1" applyFont="1" applyFill="1" applyBorder="1">
      <alignment vertical="center"/>
    </xf>
    <xf numFmtId="0" fontId="0" fillId="14" borderId="12" xfId="1" applyFont="1" applyFill="1" applyBorder="1">
      <alignment vertical="center"/>
    </xf>
    <xf numFmtId="0" fontId="1" fillId="14" borderId="8" xfId="1" applyFont="1" applyFill="1" applyBorder="1">
      <alignment vertical="center"/>
    </xf>
    <xf numFmtId="0" fontId="1" fillId="14" borderId="12" xfId="1" applyFont="1" applyFill="1" applyBorder="1">
      <alignment vertical="center"/>
    </xf>
    <xf numFmtId="0" fontId="1" fillId="14" borderId="34" xfId="1" applyFont="1" applyFill="1" applyBorder="1">
      <alignment vertical="center"/>
    </xf>
    <xf numFmtId="0" fontId="1" fillId="14" borderId="62" xfId="1" applyFont="1" applyFill="1" applyBorder="1">
      <alignment vertical="center"/>
    </xf>
    <xf numFmtId="0" fontId="1" fillId="14" borderId="69" xfId="1" applyFont="1" applyFill="1" applyBorder="1">
      <alignment vertical="center"/>
    </xf>
    <xf numFmtId="0" fontId="1" fillId="14" borderId="70" xfId="1" applyFont="1" applyFill="1" applyBorder="1">
      <alignment vertical="center"/>
    </xf>
    <xf numFmtId="0" fontId="1" fillId="14" borderId="63" xfId="1" applyFont="1" applyFill="1" applyBorder="1">
      <alignment vertical="center"/>
    </xf>
    <xf numFmtId="0" fontId="3" fillId="14" borderId="72" xfId="1" applyFill="1" applyBorder="1">
      <alignment vertical="center"/>
    </xf>
    <xf numFmtId="0" fontId="3" fillId="14" borderId="73" xfId="1" applyFill="1" applyBorder="1">
      <alignment vertical="center"/>
    </xf>
    <xf numFmtId="0" fontId="1" fillId="14" borderId="72" xfId="1" applyFont="1" applyFill="1" applyBorder="1">
      <alignment vertical="center"/>
    </xf>
    <xf numFmtId="0" fontId="1" fillId="14" borderId="73" xfId="1" applyFont="1" applyFill="1" applyBorder="1">
      <alignment vertical="center"/>
    </xf>
    <xf numFmtId="0" fontId="3" fillId="2" borderId="8" xfId="1" applyFill="1" applyBorder="1">
      <alignment vertical="center"/>
    </xf>
    <xf numFmtId="0" fontId="0" fillId="11" borderId="8" xfId="0" applyFill="1" applyBorder="1" applyAlignment="1">
      <alignment horizontal="center" vertical="center"/>
    </xf>
    <xf numFmtId="0" fontId="2" fillId="0" borderId="8" xfId="0" applyFont="1" applyBorder="1" applyAlignment="1">
      <alignment horizontal="center"/>
    </xf>
    <xf numFmtId="0" fontId="0" fillId="0" borderId="8" xfId="0" applyBorder="1" applyAlignment="1">
      <alignment horizontal="center"/>
    </xf>
    <xf numFmtId="0" fontId="0" fillId="8" borderId="8" xfId="0" applyFill="1" applyBorder="1" applyAlignment="1">
      <alignment horizontal="center" vertical="center"/>
    </xf>
    <xf numFmtId="0" fontId="0" fillId="9" borderId="8" xfId="0" applyFill="1" applyBorder="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1" borderId="0" xfId="0" applyFill="1" applyAlignment="1">
      <alignment horizontal="center" vertical="center"/>
    </xf>
    <xf numFmtId="0" fontId="3" fillId="0" borderId="0" xfId="1" applyAlignment="1">
      <alignment horizontal="center" vertical="center"/>
    </xf>
    <xf numFmtId="0" fontId="0" fillId="12" borderId="0" xfId="1" applyFont="1" applyFill="1" applyAlignment="1">
      <alignment horizontal="center" vertical="center"/>
    </xf>
    <xf numFmtId="0" fontId="3" fillId="12" borderId="0" xfId="1" applyFill="1" applyAlignment="1">
      <alignment horizontal="center" vertical="center"/>
    </xf>
    <xf numFmtId="0" fontId="1" fillId="0" borderId="59" xfId="1" applyFont="1" applyBorder="1" applyAlignment="1">
      <alignment horizontal="center" vertical="center"/>
    </xf>
    <xf numFmtId="0" fontId="0" fillId="0" borderId="0" xfId="1" applyFont="1" applyAlignment="1">
      <alignment horizontal="center" vertical="center"/>
    </xf>
    <xf numFmtId="49" fontId="3" fillId="0" borderId="0" xfId="1" applyNumberFormat="1" applyAlignment="1">
      <alignment horizontal="center" vertical="center"/>
    </xf>
    <xf numFmtId="0" fontId="3" fillId="12" borderId="47" xfId="1" applyFill="1" applyBorder="1" applyAlignment="1">
      <alignment horizontal="center" vertical="center"/>
    </xf>
    <xf numFmtId="0" fontId="3" fillId="0" borderId="47" xfId="1" applyBorder="1" applyAlignment="1">
      <alignment horizontal="center" vertical="center"/>
    </xf>
    <xf numFmtId="0" fontId="5" fillId="2" borderId="8" xfId="1" applyFont="1" applyFill="1" applyBorder="1" applyAlignment="1">
      <alignment horizontal="center" vertical="center"/>
    </xf>
    <xf numFmtId="0" fontId="3" fillId="0" borderId="49" xfId="1" applyBorder="1" applyAlignment="1">
      <alignment horizontal="center" vertical="center"/>
    </xf>
    <xf numFmtId="0" fontId="3" fillId="0" borderId="50" xfId="1" applyBorder="1" applyAlignment="1">
      <alignment horizontal="center" vertical="center"/>
    </xf>
    <xf numFmtId="0" fontId="3" fillId="0" borderId="30" xfId="1" applyBorder="1" applyAlignment="1">
      <alignment horizontal="center" vertical="center"/>
    </xf>
    <xf numFmtId="0" fontId="7" fillId="0" borderId="8" xfId="1" applyFont="1" applyBorder="1" applyAlignment="1">
      <alignment horizontal="center" vertical="center"/>
    </xf>
    <xf numFmtId="0" fontId="3" fillId="0" borderId="35" xfId="1" applyBorder="1" applyAlignment="1">
      <alignment horizontal="center" vertical="center" wrapText="1"/>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cellXfs>
  <cellStyles count="2">
    <cellStyle name="Normal" xfId="0" builtinId="0"/>
    <cellStyle name="Normal 2" xfId="1" xr:uid="{FCC5B06D-DF1C-40F9-9D47-5FBE182BD4A4}"/>
  </cellStyles>
  <dxfs count="10">
    <dxf>
      <font>
        <b val="0"/>
        <i val="0"/>
        <strike val="0"/>
        <condense val="0"/>
        <extend val="0"/>
        <outline val="0"/>
        <shadow val="0"/>
        <u val="none"/>
        <vertAlign val="baseline"/>
        <sz val="11"/>
        <color theme="1"/>
        <name val="Arial"/>
        <family val="2"/>
        <scheme val="none"/>
      </font>
      <numFmt numFmtId="30" formatCode="@"/>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30" formatCode="@"/>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30" formatCode="@"/>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30" formatCode="@"/>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30" formatCode="@"/>
      <fill>
        <patternFill patternType="solid">
          <fgColor indexed="64"/>
          <bgColor theme="0"/>
        </patternFill>
      </fill>
      <alignmen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30" formatCode="@"/>
      <fill>
        <patternFill patternType="solid">
          <fgColor indexed="64"/>
          <bgColor theme="0"/>
        </patternFill>
      </fill>
      <alignment horizontal="right" vertical="center" textRotation="0" wrapText="0" indent="0" justifyLastLine="0" shrinkToFit="0" readingOrder="0"/>
    </dxf>
    <dxf>
      <font>
        <b/>
        <i val="0"/>
        <strike val="0"/>
        <condense val="0"/>
        <extend val="0"/>
        <outline val="0"/>
        <shadow val="0"/>
        <u val="none"/>
        <vertAlign val="baseline"/>
        <sz val="11"/>
        <color auto="1"/>
        <name val="Arial"/>
        <family val="2"/>
        <scheme val="none"/>
      </font>
      <numFmt numFmtId="30" formatCode="@"/>
      <fill>
        <patternFill patternType="solid">
          <fgColor indexed="64"/>
          <bgColor theme="0"/>
        </patternFill>
      </fill>
      <alignmen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FF"/>
      <color rgb="FF00C800"/>
      <color rgb="FFFFC8C8"/>
      <color rgb="FFFFFFC8"/>
      <color rgb="FFC8FFC8"/>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24.xml"/><Relationship Id="rId1" Type="http://schemas.microsoft.com/office/2011/relationships/chartStyle" Target="style24.xml"/><Relationship Id="rId4" Type="http://schemas.openxmlformats.org/officeDocument/2006/relationships/chartUserShapes" Target="../drawings/drawing10.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solidFill>
                  <a:schemeClr val="tx1"/>
                </a:solidFill>
              </a:rPr>
              <a:t>Find</a:t>
            </a:r>
            <a:r>
              <a:rPr lang="en-MY" baseline="0">
                <a:solidFill>
                  <a:schemeClr val="tx1"/>
                </a:solidFill>
              </a:rPr>
              <a:t> diH/dCL (gradients)</a:t>
            </a:r>
            <a:endParaRPr lang="en-MY">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lotArea>
      <c:layout>
        <c:manualLayout>
          <c:layoutTarget val="inner"/>
          <c:xMode val="edge"/>
          <c:yMode val="edge"/>
          <c:x val="0.12775273552777597"/>
          <c:y val="0.19321832830804214"/>
          <c:w val="0.83324834998309516"/>
          <c:h val="0.5613498735276844"/>
        </c:manualLayout>
      </c:layout>
      <c:scatterChart>
        <c:scatterStyle val="lineMarker"/>
        <c:varyColors val="0"/>
        <c:ser>
          <c:idx val="0"/>
          <c:order val="0"/>
          <c:tx>
            <c:v>4 inch</c:v>
          </c:tx>
          <c:spPr>
            <a:ln w="25400" cap="rnd">
              <a:noFill/>
              <a:round/>
            </a:ln>
            <a:effectLst/>
          </c:spPr>
          <c:marker>
            <c:symbol val="x"/>
            <c:size val="5"/>
            <c:spPr>
              <a:noFill/>
              <a:ln w="9525">
                <a:solidFill>
                  <a:srgbClr val="00B050"/>
                </a:solidFill>
              </a:ln>
              <a:effectLst/>
            </c:spPr>
          </c:marker>
          <c:trendline>
            <c:spPr>
              <a:ln w="19050" cap="rnd">
                <a:solidFill>
                  <a:srgbClr val="00B050"/>
                </a:solidFill>
                <a:prstDash val="sysDot"/>
              </a:ln>
              <a:effectLst/>
            </c:spPr>
            <c:trendlineType val="linear"/>
            <c:dispRSqr val="1"/>
            <c:dispEq val="1"/>
            <c:trendlineLbl>
              <c:layout>
                <c:manualLayout>
                  <c:x val="0.14983708220846648"/>
                  <c:y val="-0.48220730595436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trendlineLbl>
          </c:trendline>
          <c:errBars>
            <c:errDir val="x"/>
            <c:errBarType val="both"/>
            <c:errValType val="cust"/>
            <c:noEndCap val="0"/>
            <c:plus>
              <c:numRef>
                <c:f>FlightSimData!$T$70:$T$75</c:f>
                <c:numCache>
                  <c:formatCode>General</c:formatCode>
                  <c:ptCount val="6"/>
                  <c:pt idx="0">
                    <c:v>1.8434742482128635E-4</c:v>
                  </c:pt>
                  <c:pt idx="1">
                    <c:v>2.786450451517421E-4</c:v>
                  </c:pt>
                  <c:pt idx="2">
                    <c:v>4.1609543419159544E-4</c:v>
                  </c:pt>
                  <c:pt idx="3">
                    <c:v>6.2884260605154685E-4</c:v>
                  </c:pt>
                  <c:pt idx="4">
                    <c:v>8.7519175307657039E-4</c:v>
                  </c:pt>
                  <c:pt idx="5">
                    <c:v>1.3568422636940872E-3</c:v>
                  </c:pt>
                </c:numCache>
              </c:numRef>
            </c:plus>
            <c:minus>
              <c:numRef>
                <c:f>FlightSimData!$T$70:$T$75</c:f>
                <c:numCache>
                  <c:formatCode>General</c:formatCode>
                  <c:ptCount val="6"/>
                  <c:pt idx="0">
                    <c:v>1.8434742482128635E-4</c:v>
                  </c:pt>
                  <c:pt idx="1">
                    <c:v>2.786450451517421E-4</c:v>
                  </c:pt>
                  <c:pt idx="2">
                    <c:v>4.1609543419159544E-4</c:v>
                  </c:pt>
                  <c:pt idx="3">
                    <c:v>6.2884260605154685E-4</c:v>
                  </c:pt>
                  <c:pt idx="4">
                    <c:v>8.7519175307657039E-4</c:v>
                  </c:pt>
                  <c:pt idx="5">
                    <c:v>1.3568422636940872E-3</c:v>
                  </c:pt>
                </c:numCache>
              </c:numRef>
            </c:minus>
            <c:spPr>
              <a:noFill/>
              <a:ln w="9525" cap="flat" cmpd="sng" algn="ctr">
                <a:solidFill>
                  <a:schemeClr val="tx1">
                    <a:lumMod val="65000"/>
                    <a:lumOff val="35000"/>
                  </a:schemeClr>
                </a:solidFill>
                <a:round/>
              </a:ln>
              <a:effectLst/>
            </c:spPr>
          </c:errBars>
          <c:errBars>
            <c:errDir val="y"/>
            <c:errBarType val="both"/>
            <c:errValType val="fixedVal"/>
            <c:noEndCap val="0"/>
            <c:val val="0"/>
            <c:spPr>
              <a:noFill/>
              <a:ln w="9525" cap="flat" cmpd="sng" algn="ctr">
                <a:solidFill>
                  <a:schemeClr val="tx1">
                    <a:lumMod val="65000"/>
                    <a:lumOff val="35000"/>
                  </a:schemeClr>
                </a:solidFill>
                <a:round/>
              </a:ln>
              <a:effectLst/>
            </c:spPr>
          </c:errBars>
          <c:xVal>
            <c:numRef>
              <c:f>FlightSimData!$S$70:$S$75</c:f>
              <c:numCache>
                <c:formatCode>General</c:formatCode>
                <c:ptCount val="6"/>
                <c:pt idx="0">
                  <c:v>6.2409625365696435E-2</c:v>
                </c:pt>
                <c:pt idx="1">
                  <c:v>8.221695458867774E-2</c:v>
                </c:pt>
                <c:pt idx="2">
                  <c:v>0.10743281591186328</c:v>
                </c:pt>
                <c:pt idx="3">
                  <c:v>0.14154953319607821</c:v>
                </c:pt>
                <c:pt idx="4">
                  <c:v>0.17742188279355167</c:v>
                </c:pt>
                <c:pt idx="5">
                  <c:v>0.23785150003915551</c:v>
                </c:pt>
              </c:numCache>
            </c:numRef>
          </c:xVal>
          <c:yVal>
            <c:numRef>
              <c:f>FlightSimData!$H$70:$H$75</c:f>
              <c:numCache>
                <c:formatCode>General</c:formatCode>
                <c:ptCount val="6"/>
                <c:pt idx="0">
                  <c:v>1.2</c:v>
                </c:pt>
                <c:pt idx="1">
                  <c:v>1.1499999999999999</c:v>
                </c:pt>
                <c:pt idx="2">
                  <c:v>0.99</c:v>
                </c:pt>
                <c:pt idx="3">
                  <c:v>0.8</c:v>
                </c:pt>
                <c:pt idx="4">
                  <c:v>0.53</c:v>
                </c:pt>
                <c:pt idx="5">
                  <c:v>0.08</c:v>
                </c:pt>
              </c:numCache>
            </c:numRef>
          </c:yVal>
          <c:smooth val="0"/>
          <c:extLst>
            <c:ext xmlns:c16="http://schemas.microsoft.com/office/drawing/2014/chart" uri="{C3380CC4-5D6E-409C-BE32-E72D297353CC}">
              <c16:uniqueId val="{00000000-E653-4EE2-853E-C44FB9D7B708}"/>
            </c:ext>
          </c:extLst>
        </c:ser>
        <c:ser>
          <c:idx val="1"/>
          <c:order val="1"/>
          <c:tx>
            <c:v>0 inch</c:v>
          </c:tx>
          <c:spPr>
            <a:ln w="25400" cap="rnd">
              <a:noFill/>
              <a:round/>
            </a:ln>
            <a:effectLst/>
          </c:spPr>
          <c:marker>
            <c:symbol val="x"/>
            <c:size val="5"/>
            <c:spPr>
              <a:noFill/>
              <a:ln w="9525">
                <a:solidFill>
                  <a:schemeClr val="tx1"/>
                </a:solidFill>
              </a:ln>
              <a:effectLst/>
            </c:spPr>
          </c:marker>
          <c:errBars>
            <c:errDir val="y"/>
            <c:errBarType val="both"/>
            <c:errValType val="fixedVal"/>
            <c:noEndCap val="0"/>
            <c:val val="0"/>
            <c:spPr>
              <a:noFill/>
              <a:ln w="9525" cap="flat" cmpd="sng" algn="ctr">
                <a:solidFill>
                  <a:schemeClr val="tx1">
                    <a:lumMod val="65000"/>
                    <a:lumOff val="35000"/>
                  </a:schemeClr>
                </a:solidFill>
                <a:round/>
              </a:ln>
              <a:effectLst/>
            </c:spPr>
          </c:errBars>
          <c:errBars>
            <c:errDir val="x"/>
            <c:errBarType val="both"/>
            <c:errValType val="cust"/>
            <c:noEndCap val="0"/>
            <c:plus>
              <c:numRef>
                <c:f>FlightSimData!$T$76:$T$81</c:f>
                <c:numCache>
                  <c:formatCode>General</c:formatCode>
                  <c:ptCount val="6"/>
                  <c:pt idx="0">
                    <c:v>1.8321976727056968E-4</c:v>
                  </c:pt>
                  <c:pt idx="1">
                    <c:v>2.7991159831664057E-4</c:v>
                  </c:pt>
                  <c:pt idx="2">
                    <c:v>4.195059062029216E-4</c:v>
                  </c:pt>
                  <c:pt idx="3">
                    <c:v>6.2742657388783465E-4</c:v>
                  </c:pt>
                  <c:pt idx="4">
                    <c:v>9.4150199608852489E-4</c:v>
                  </c:pt>
                  <c:pt idx="5">
                    <c:v>1.3554318804332034E-3</c:v>
                  </c:pt>
                </c:numCache>
              </c:numRef>
            </c:plus>
            <c:minus>
              <c:numRef>
                <c:f>FlightSimData!$T$76:$T$81</c:f>
                <c:numCache>
                  <c:formatCode>General</c:formatCode>
                  <c:ptCount val="6"/>
                  <c:pt idx="0">
                    <c:v>1.8321976727056968E-4</c:v>
                  </c:pt>
                  <c:pt idx="1">
                    <c:v>2.7991159831664057E-4</c:v>
                  </c:pt>
                  <c:pt idx="2">
                    <c:v>4.195059062029216E-4</c:v>
                  </c:pt>
                  <c:pt idx="3">
                    <c:v>6.2742657388783465E-4</c:v>
                  </c:pt>
                  <c:pt idx="4">
                    <c:v>9.4150199608852489E-4</c:v>
                  </c:pt>
                  <c:pt idx="5">
                    <c:v>1.3554318804332034E-3</c:v>
                  </c:pt>
                </c:numCache>
              </c:numRef>
            </c:minus>
            <c:spPr>
              <a:noFill/>
              <a:ln w="9525" cap="flat" cmpd="sng" algn="ctr">
                <a:solidFill>
                  <a:schemeClr val="tx1">
                    <a:lumMod val="65000"/>
                    <a:lumOff val="35000"/>
                  </a:schemeClr>
                </a:solidFill>
                <a:round/>
              </a:ln>
              <a:effectLst/>
            </c:spPr>
          </c:errBars>
          <c:xVal>
            <c:numRef>
              <c:f>FlightSimData!$S$76:$S$81</c:f>
              <c:numCache>
                <c:formatCode>General</c:formatCode>
                <c:ptCount val="6"/>
                <c:pt idx="0">
                  <c:v>6.2009239032486112E-2</c:v>
                </c:pt>
                <c:pt idx="1">
                  <c:v>8.230056112471347E-2</c:v>
                </c:pt>
                <c:pt idx="2">
                  <c:v>0.1078925404671665</c:v>
                </c:pt>
                <c:pt idx="3">
                  <c:v>0.14122007857538413</c:v>
                </c:pt>
                <c:pt idx="4">
                  <c:v>0.18625587144305442</c:v>
                </c:pt>
                <c:pt idx="5">
                  <c:v>0.23759837183612512</c:v>
                </c:pt>
              </c:numCache>
            </c:numRef>
          </c:xVal>
          <c:yVal>
            <c:numRef>
              <c:f>FlightSimData!$H$76:$H$81</c:f>
              <c:numCache>
                <c:formatCode>General</c:formatCode>
                <c:ptCount val="6"/>
                <c:pt idx="0">
                  <c:v>1.1299999999999999</c:v>
                </c:pt>
                <c:pt idx="1">
                  <c:v>0.94</c:v>
                </c:pt>
                <c:pt idx="2">
                  <c:v>0.79</c:v>
                </c:pt>
                <c:pt idx="3">
                  <c:v>0.21</c:v>
                </c:pt>
                <c:pt idx="4">
                  <c:v>0.17</c:v>
                </c:pt>
                <c:pt idx="5">
                  <c:v>0.04</c:v>
                </c:pt>
              </c:numCache>
            </c:numRef>
          </c:yVal>
          <c:smooth val="0"/>
          <c:extLst>
            <c:ext xmlns:c16="http://schemas.microsoft.com/office/drawing/2014/chart" uri="{C3380CC4-5D6E-409C-BE32-E72D297353CC}">
              <c16:uniqueId val="{00000001-E653-4EE2-853E-C44FB9D7B708}"/>
            </c:ext>
          </c:extLst>
        </c:ser>
        <c:ser>
          <c:idx val="2"/>
          <c:order val="2"/>
          <c:tx>
            <c:v>-4 inch</c:v>
          </c:tx>
          <c:spPr>
            <a:ln w="25400" cap="rnd">
              <a:noFill/>
              <a:round/>
            </a:ln>
            <a:effectLst/>
          </c:spPr>
          <c:marker>
            <c:symbol val="x"/>
            <c:size val="5"/>
            <c:spPr>
              <a:noFill/>
              <a:ln w="9525">
                <a:solidFill>
                  <a:srgbClr val="FF0000"/>
                </a:solidFill>
              </a:ln>
              <a:effectLst/>
            </c:spPr>
          </c:marker>
          <c:errBars>
            <c:errDir val="x"/>
            <c:errBarType val="both"/>
            <c:errValType val="cust"/>
            <c:noEndCap val="0"/>
            <c:plus>
              <c:numRef>
                <c:f>FlightSimData!$T$82:$T$87</c:f>
                <c:numCache>
                  <c:formatCode>General</c:formatCode>
                  <c:ptCount val="6"/>
                  <c:pt idx="0">
                    <c:v>1.8341764918363687E-4</c:v>
                  </c:pt>
                  <c:pt idx="1">
                    <c:v>2.806921799817942E-4</c:v>
                  </c:pt>
                  <c:pt idx="2">
                    <c:v>4.2536207174647235E-4</c:v>
                  </c:pt>
                  <c:pt idx="3">
                    <c:v>6.3694367523696384E-4</c:v>
                  </c:pt>
                  <c:pt idx="4">
                    <c:v>9.1461876303292609E-4</c:v>
                  </c:pt>
                  <c:pt idx="5">
                    <c:v>1.2089740941278997E-3</c:v>
                  </c:pt>
                </c:numCache>
              </c:numRef>
            </c:plus>
            <c:minus>
              <c:numRef>
                <c:f>FlightSimData!$T$82:$T$87</c:f>
                <c:numCache>
                  <c:formatCode>General</c:formatCode>
                  <c:ptCount val="6"/>
                  <c:pt idx="0">
                    <c:v>1.8341764918363687E-4</c:v>
                  </c:pt>
                  <c:pt idx="1">
                    <c:v>2.806921799817942E-4</c:v>
                  </c:pt>
                  <c:pt idx="2">
                    <c:v>4.2536207174647235E-4</c:v>
                  </c:pt>
                  <c:pt idx="3">
                    <c:v>6.3694367523696384E-4</c:v>
                  </c:pt>
                  <c:pt idx="4">
                    <c:v>9.1461876303292609E-4</c:v>
                  </c:pt>
                  <c:pt idx="5">
                    <c:v>1.2089740941278997E-3</c:v>
                  </c:pt>
                </c:numCache>
              </c:numRef>
            </c:minus>
            <c:spPr>
              <a:noFill/>
              <a:ln w="9525" cap="flat" cmpd="sng" algn="ctr">
                <a:solidFill>
                  <a:schemeClr val="tx1">
                    <a:lumMod val="65000"/>
                    <a:lumOff val="35000"/>
                  </a:schemeClr>
                </a:solidFill>
                <a:round/>
              </a:ln>
              <a:effectLst/>
            </c:spPr>
          </c:errBars>
          <c:errBars>
            <c:errDir val="y"/>
            <c:errBarType val="both"/>
            <c:errValType val="fixedVal"/>
            <c:noEndCap val="0"/>
            <c:val val="0"/>
            <c:spPr>
              <a:noFill/>
              <a:ln w="9525" cap="flat" cmpd="sng" algn="ctr">
                <a:solidFill>
                  <a:schemeClr val="tx1">
                    <a:lumMod val="65000"/>
                    <a:lumOff val="35000"/>
                  </a:schemeClr>
                </a:solidFill>
                <a:round/>
              </a:ln>
              <a:effectLst/>
            </c:spPr>
          </c:errBars>
          <c:xVal>
            <c:numRef>
              <c:f>FlightSimData!$S$82:$S$87</c:f>
              <c:numCache>
                <c:formatCode>General</c:formatCode>
                <c:ptCount val="6"/>
                <c:pt idx="0">
                  <c:v>6.228202265694651E-2</c:v>
                </c:pt>
                <c:pt idx="1">
                  <c:v>8.2846162493322315E-2</c:v>
                </c:pt>
                <c:pt idx="2">
                  <c:v>0.10945456796581098</c:v>
                </c:pt>
                <c:pt idx="3">
                  <c:v>0.14343172176821734</c:v>
                </c:pt>
                <c:pt idx="4">
                  <c:v>0.1827309730516373</c:v>
                </c:pt>
                <c:pt idx="5">
                  <c:v>0.22023141021972498</c:v>
                </c:pt>
              </c:numCache>
            </c:numRef>
          </c:xVal>
          <c:yVal>
            <c:numRef>
              <c:f>FlightSimData!$H$82:$H$87</c:f>
              <c:numCache>
                <c:formatCode>General</c:formatCode>
                <c:ptCount val="6"/>
                <c:pt idx="0">
                  <c:v>1.36</c:v>
                </c:pt>
                <c:pt idx="1">
                  <c:v>1.0900000000000001</c:v>
                </c:pt>
                <c:pt idx="2">
                  <c:v>0.14000000000000001</c:v>
                </c:pt>
                <c:pt idx="3">
                  <c:v>0.37</c:v>
                </c:pt>
                <c:pt idx="4">
                  <c:v>0.36</c:v>
                </c:pt>
                <c:pt idx="5">
                  <c:v>0.04</c:v>
                </c:pt>
              </c:numCache>
            </c:numRef>
          </c:yVal>
          <c:smooth val="0"/>
          <c:extLst>
            <c:ext xmlns:c16="http://schemas.microsoft.com/office/drawing/2014/chart" uri="{C3380CC4-5D6E-409C-BE32-E72D297353CC}">
              <c16:uniqueId val="{00000002-E653-4EE2-853E-C44FB9D7B708}"/>
            </c:ext>
          </c:extLst>
        </c:ser>
        <c:ser>
          <c:idx val="4"/>
          <c:order val="3"/>
          <c:tx>
            <c:v>0 inch without anomaly</c:v>
          </c:tx>
          <c:spPr>
            <a:ln w="25400" cap="rnd">
              <a:noFill/>
              <a:round/>
            </a:ln>
            <a:effectLst/>
          </c:spPr>
          <c:marker>
            <c:symbol val="circle"/>
            <c:size val="6"/>
            <c:spPr>
              <a:noFill/>
              <a:ln w="9525">
                <a:solidFill>
                  <a:schemeClr val="tx1"/>
                </a:solidFill>
              </a:ln>
              <a:effectLst/>
            </c:spPr>
          </c:marker>
          <c:trendline>
            <c:spPr>
              <a:ln w="19050" cap="rnd">
                <a:solidFill>
                  <a:schemeClr val="tx1"/>
                </a:solidFill>
                <a:prstDash val="sysDot"/>
              </a:ln>
              <a:effectLst/>
            </c:spPr>
            <c:trendlineType val="linear"/>
            <c:dispRSqr val="1"/>
            <c:dispEq val="1"/>
            <c:trendlineLbl>
              <c:layout>
                <c:manualLayout>
                  <c:x val="0.10848629896604016"/>
                  <c:y val="-0.379295529441952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rendlineLbl>
          </c:trendline>
          <c:xVal>
            <c:numRef>
              <c:f>(FlightSimData!$S$76:$S$78,FlightSimData!$S$81)</c:f>
              <c:numCache>
                <c:formatCode>General</c:formatCode>
                <c:ptCount val="4"/>
                <c:pt idx="0">
                  <c:v>6.2009239032486112E-2</c:v>
                </c:pt>
                <c:pt idx="1">
                  <c:v>8.230056112471347E-2</c:v>
                </c:pt>
                <c:pt idx="2">
                  <c:v>0.1078925404671665</c:v>
                </c:pt>
                <c:pt idx="3">
                  <c:v>0.23759837183612512</c:v>
                </c:pt>
              </c:numCache>
            </c:numRef>
          </c:xVal>
          <c:yVal>
            <c:numRef>
              <c:f>(FlightSimData!$H$76:$H$78,FlightSimData!$H$81)</c:f>
              <c:numCache>
                <c:formatCode>General</c:formatCode>
                <c:ptCount val="4"/>
                <c:pt idx="0">
                  <c:v>1.1299999999999999</c:v>
                </c:pt>
                <c:pt idx="1">
                  <c:v>0.94</c:v>
                </c:pt>
                <c:pt idx="2">
                  <c:v>0.79</c:v>
                </c:pt>
                <c:pt idx="3">
                  <c:v>0.04</c:v>
                </c:pt>
              </c:numCache>
            </c:numRef>
          </c:yVal>
          <c:smooth val="0"/>
          <c:extLst>
            <c:ext xmlns:c16="http://schemas.microsoft.com/office/drawing/2014/chart" uri="{C3380CC4-5D6E-409C-BE32-E72D297353CC}">
              <c16:uniqueId val="{00000005-E653-4EE2-853E-C44FB9D7B708}"/>
            </c:ext>
          </c:extLst>
        </c:ser>
        <c:ser>
          <c:idx val="3"/>
          <c:order val="4"/>
          <c:tx>
            <c:v>-4 inch without anomaly</c:v>
          </c:tx>
          <c:spPr>
            <a:ln w="25400" cap="rnd">
              <a:noFill/>
              <a:round/>
            </a:ln>
            <a:effectLst/>
          </c:spPr>
          <c:marker>
            <c:symbol val="circle"/>
            <c:size val="6"/>
            <c:spPr>
              <a:noFill/>
              <a:ln w="9525">
                <a:solidFill>
                  <a:srgbClr val="FF0000"/>
                </a:solidFill>
              </a:ln>
              <a:effectLst/>
            </c:spPr>
          </c:marker>
          <c:trendline>
            <c:spPr>
              <a:ln w="19050" cap="rnd">
                <a:solidFill>
                  <a:srgbClr val="FF0000"/>
                </a:solidFill>
                <a:prstDash val="sysDot"/>
              </a:ln>
              <a:effectLst/>
            </c:spPr>
            <c:trendlineType val="linear"/>
            <c:dispRSqr val="1"/>
            <c:dispEq val="1"/>
            <c:trendlineLbl>
              <c:layout>
                <c:manualLayout>
                  <c:x val="0.18971326007967429"/>
                  <c:y val="-0.2612920708455287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trendlineLbl>
          </c:trendline>
          <c:xVal>
            <c:numRef>
              <c:f>(FlightSimData!$S$82:$S$83,FlightSimData!$S$86:$S$87)</c:f>
              <c:numCache>
                <c:formatCode>General</c:formatCode>
                <c:ptCount val="4"/>
                <c:pt idx="0">
                  <c:v>6.228202265694651E-2</c:v>
                </c:pt>
                <c:pt idx="1">
                  <c:v>8.2846162493322315E-2</c:v>
                </c:pt>
                <c:pt idx="2">
                  <c:v>0.1827309730516373</c:v>
                </c:pt>
                <c:pt idx="3">
                  <c:v>0.22023141021972498</c:v>
                </c:pt>
              </c:numCache>
            </c:numRef>
          </c:xVal>
          <c:yVal>
            <c:numRef>
              <c:f>(FlightSimData!$H$82:$H$83,FlightSimData!$H$86:$H$87)</c:f>
              <c:numCache>
                <c:formatCode>General</c:formatCode>
                <c:ptCount val="4"/>
                <c:pt idx="0">
                  <c:v>1.36</c:v>
                </c:pt>
                <c:pt idx="1">
                  <c:v>1.0900000000000001</c:v>
                </c:pt>
                <c:pt idx="2">
                  <c:v>0.36</c:v>
                </c:pt>
                <c:pt idx="3">
                  <c:v>0.04</c:v>
                </c:pt>
              </c:numCache>
            </c:numRef>
          </c:yVal>
          <c:smooth val="0"/>
          <c:extLst>
            <c:ext xmlns:c16="http://schemas.microsoft.com/office/drawing/2014/chart" uri="{C3380CC4-5D6E-409C-BE32-E72D297353CC}">
              <c16:uniqueId val="{00000004-E653-4EE2-853E-C44FB9D7B708}"/>
            </c:ext>
          </c:extLst>
        </c:ser>
        <c:dLbls>
          <c:showLegendKey val="0"/>
          <c:showVal val="0"/>
          <c:showCatName val="0"/>
          <c:showSerName val="0"/>
          <c:showPercent val="0"/>
          <c:showBubbleSize val="0"/>
        </c:dLbls>
        <c:axId val="1795174783"/>
        <c:axId val="1795178623"/>
      </c:scatterChart>
      <c:valAx>
        <c:axId val="179517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600">
                    <a:solidFill>
                      <a:schemeClr val="tx1"/>
                    </a:solidFill>
                  </a:rPr>
                  <a:t>CL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5178623"/>
        <c:crosses val="autoZero"/>
        <c:crossBetween val="midCat"/>
      </c:valAx>
      <c:valAx>
        <c:axId val="1795178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600" b="0">
                    <a:solidFill>
                      <a:schemeClr val="tx1"/>
                    </a:solidFill>
                  </a:rPr>
                  <a:t>Δ</a:t>
                </a:r>
                <a:r>
                  <a:rPr lang="en-MY" sz="1600" b="0">
                    <a:solidFill>
                      <a:schemeClr val="tx1"/>
                    </a:solidFill>
                  </a:rPr>
                  <a:t>iH [deg]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5174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MY">
                <a:solidFill>
                  <a:schemeClr val="tx1"/>
                </a:solidFill>
              </a:rPr>
              <a:t>Drag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8.4188898695245568E-2"/>
          <c:y val="0.16156723952968746"/>
          <c:w val="0.86712684525065575"/>
          <c:h val="0.66658255539470479"/>
        </c:manualLayout>
      </c:layout>
      <c:scatterChart>
        <c:scatterStyle val="lineMarker"/>
        <c:varyColors val="0"/>
        <c:ser>
          <c:idx val="0"/>
          <c:order val="0"/>
          <c:tx>
            <c:v>No tail</c:v>
          </c:tx>
          <c:spPr>
            <a:ln w="6350" cap="rnd">
              <a:solidFill>
                <a:srgbClr val="0000FF"/>
              </a:solidFill>
              <a:round/>
            </a:ln>
            <a:effectLst/>
          </c:spPr>
          <c:marker>
            <c:symbol val="x"/>
            <c:size val="5"/>
            <c:spPr>
              <a:noFill/>
              <a:ln w="9525">
                <a:solidFill>
                  <a:srgbClr val="0000FF"/>
                </a:solidFill>
              </a:ln>
              <a:effectLst/>
            </c:spPr>
          </c:marker>
          <c:xVal>
            <c:numRef>
              <c:f>WindTunnelData!$C$16:$C$23</c:f>
              <c:numCache>
                <c:formatCode>General</c:formatCode>
                <c:ptCount val="8"/>
                <c:pt idx="0">
                  <c:v>-2</c:v>
                </c:pt>
                <c:pt idx="1">
                  <c:v>0</c:v>
                </c:pt>
                <c:pt idx="2">
                  <c:v>2</c:v>
                </c:pt>
                <c:pt idx="3">
                  <c:v>4</c:v>
                </c:pt>
                <c:pt idx="4">
                  <c:v>6</c:v>
                </c:pt>
                <c:pt idx="5">
                  <c:v>8</c:v>
                </c:pt>
                <c:pt idx="6">
                  <c:v>10</c:v>
                </c:pt>
                <c:pt idx="7">
                  <c:v>12</c:v>
                </c:pt>
              </c:numCache>
            </c:numRef>
          </c:xVal>
          <c:yVal>
            <c:numRef>
              <c:f>WindTunnelData!$AL$16:$AL$23</c:f>
              <c:numCache>
                <c:formatCode>General</c:formatCode>
                <c:ptCount val="8"/>
                <c:pt idx="0">
                  <c:v>2.2758414429147815</c:v>
                </c:pt>
                <c:pt idx="1">
                  <c:v>2.1939318023670769</c:v>
                </c:pt>
                <c:pt idx="2">
                  <c:v>2.2906453722381817</c:v>
                </c:pt>
                <c:pt idx="3">
                  <c:v>2.6000322220723797</c:v>
                </c:pt>
                <c:pt idx="4">
                  <c:v>2.9684925153501722</c:v>
                </c:pt>
                <c:pt idx="5">
                  <c:v>3.5571707322725059</c:v>
                </c:pt>
                <c:pt idx="6">
                  <c:v>4.1448666328765009</c:v>
                </c:pt>
                <c:pt idx="7">
                  <c:v>5.2040131114344694</c:v>
                </c:pt>
              </c:numCache>
            </c:numRef>
          </c:yVal>
          <c:smooth val="0"/>
          <c:extLst>
            <c:ext xmlns:c16="http://schemas.microsoft.com/office/drawing/2014/chart" uri="{C3380CC4-5D6E-409C-BE32-E72D297353CC}">
              <c16:uniqueId val="{00000000-0CE2-458A-B1FF-0DBE3FF696A0}"/>
            </c:ext>
          </c:extLst>
        </c:ser>
        <c:ser>
          <c:idx val="1"/>
          <c:order val="1"/>
          <c:tx>
            <c:v>Tail at 1deg</c:v>
          </c:tx>
          <c:spPr>
            <a:ln w="6350" cap="rnd">
              <a:solidFill>
                <a:srgbClr val="FF0000"/>
              </a:solidFill>
              <a:round/>
            </a:ln>
            <a:effectLst/>
          </c:spPr>
          <c:marker>
            <c:symbol val="plus"/>
            <c:size val="5"/>
            <c:spPr>
              <a:noFill/>
              <a:ln w="9525">
                <a:solidFill>
                  <a:srgbClr val="FF0000"/>
                </a:solidFill>
              </a:ln>
              <a:effectLst/>
            </c:spPr>
          </c:marker>
          <c:xVal>
            <c:numRef>
              <c:f>WindTunnelData!$C$28:$C$35</c:f>
              <c:numCache>
                <c:formatCode>General</c:formatCode>
                <c:ptCount val="8"/>
                <c:pt idx="0">
                  <c:v>-2</c:v>
                </c:pt>
                <c:pt idx="1">
                  <c:v>0</c:v>
                </c:pt>
                <c:pt idx="2">
                  <c:v>2</c:v>
                </c:pt>
                <c:pt idx="3">
                  <c:v>4</c:v>
                </c:pt>
                <c:pt idx="4">
                  <c:v>6</c:v>
                </c:pt>
                <c:pt idx="5">
                  <c:v>8</c:v>
                </c:pt>
                <c:pt idx="6">
                  <c:v>10</c:v>
                </c:pt>
                <c:pt idx="7">
                  <c:v>12</c:v>
                </c:pt>
              </c:numCache>
            </c:numRef>
          </c:xVal>
          <c:yVal>
            <c:numRef>
              <c:f>WindTunnelData!$AL$28:$AL$35</c:f>
              <c:numCache>
                <c:formatCode>General</c:formatCode>
                <c:ptCount val="8"/>
                <c:pt idx="0">
                  <c:v>2.4921961979894651</c:v>
                </c:pt>
                <c:pt idx="1">
                  <c:v>2.4506052144067216</c:v>
                </c:pt>
                <c:pt idx="2">
                  <c:v>2.5677219168474168</c:v>
                </c:pt>
                <c:pt idx="3">
                  <c:v>2.8957504922614605</c:v>
                </c:pt>
                <c:pt idx="4">
                  <c:v>3.3649573285637531</c:v>
                </c:pt>
                <c:pt idx="5">
                  <c:v>3.9862266744348114</c:v>
                </c:pt>
                <c:pt idx="6">
                  <c:v>4.9261257741248148</c:v>
                </c:pt>
                <c:pt idx="7">
                  <c:v>5.9919682813584743</c:v>
                </c:pt>
              </c:numCache>
            </c:numRef>
          </c:yVal>
          <c:smooth val="0"/>
          <c:extLst>
            <c:ext xmlns:c16="http://schemas.microsoft.com/office/drawing/2014/chart" uri="{C3380CC4-5D6E-409C-BE32-E72D297353CC}">
              <c16:uniqueId val="{00000001-0CE2-458A-B1FF-0DBE3FF696A0}"/>
            </c:ext>
          </c:extLst>
        </c:ser>
        <c:ser>
          <c:idx val="2"/>
          <c:order val="2"/>
          <c:tx>
            <c:v>Tail at -2deg</c:v>
          </c:tx>
          <c:spPr>
            <a:ln w="6350" cap="rnd">
              <a:solidFill>
                <a:srgbClr val="00C800"/>
              </a:solidFill>
              <a:round/>
            </a:ln>
            <a:effectLst/>
          </c:spPr>
          <c:marker>
            <c:symbol val="circle"/>
            <c:size val="4"/>
            <c:spPr>
              <a:noFill/>
              <a:ln w="12700">
                <a:solidFill>
                  <a:srgbClr val="00C800"/>
                </a:solidFill>
              </a:ln>
              <a:effectLst/>
            </c:spPr>
          </c:marker>
          <c:xVal>
            <c:numRef>
              <c:f>WindTunnelData!$C$40:$C$53</c:f>
              <c:numCache>
                <c:formatCode>General</c:formatCode>
                <c:ptCount val="14"/>
                <c:pt idx="0">
                  <c:v>-2</c:v>
                </c:pt>
                <c:pt idx="1">
                  <c:v>0</c:v>
                </c:pt>
                <c:pt idx="2">
                  <c:v>2</c:v>
                </c:pt>
                <c:pt idx="3">
                  <c:v>4</c:v>
                </c:pt>
                <c:pt idx="4">
                  <c:v>6</c:v>
                </c:pt>
                <c:pt idx="5">
                  <c:v>8</c:v>
                </c:pt>
                <c:pt idx="6">
                  <c:v>10</c:v>
                </c:pt>
                <c:pt idx="7">
                  <c:v>11</c:v>
                </c:pt>
                <c:pt idx="8">
                  <c:v>12</c:v>
                </c:pt>
                <c:pt idx="9">
                  <c:v>13</c:v>
                </c:pt>
                <c:pt idx="10">
                  <c:v>14</c:v>
                </c:pt>
                <c:pt idx="11">
                  <c:v>15</c:v>
                </c:pt>
                <c:pt idx="12">
                  <c:v>16</c:v>
                </c:pt>
                <c:pt idx="13">
                  <c:v>17</c:v>
                </c:pt>
              </c:numCache>
            </c:numRef>
          </c:xVal>
          <c:yVal>
            <c:numRef>
              <c:f>WindTunnelData!$AL$40:$AL$53</c:f>
              <c:numCache>
                <c:formatCode>General</c:formatCode>
                <c:ptCount val="14"/>
                <c:pt idx="0">
                  <c:v>2.7035870159196778</c:v>
                </c:pt>
                <c:pt idx="1">
                  <c:v>2.5585765027127909</c:v>
                </c:pt>
                <c:pt idx="2">
                  <c:v>2.5231073480972968</c:v>
                </c:pt>
                <c:pt idx="3">
                  <c:v>2.8811186618339053</c:v>
                </c:pt>
                <c:pt idx="4">
                  <c:v>3.2081127801671241</c:v>
                </c:pt>
                <c:pt idx="5">
                  <c:v>3.9089218984336433</c:v>
                </c:pt>
                <c:pt idx="6">
                  <c:v>4.7309843002663108</c:v>
                </c:pt>
                <c:pt idx="7">
                  <c:v>5.1747181851410406</c:v>
                </c:pt>
                <c:pt idx="8">
                  <c:v>5.7772526464075806</c:v>
                </c:pt>
                <c:pt idx="9">
                  <c:v>6.3101253543977283</c:v>
                </c:pt>
                <c:pt idx="10">
                  <c:v>8.3025819098066442</c:v>
                </c:pt>
                <c:pt idx="11">
                  <c:v>9.1964272351449825</c:v>
                </c:pt>
                <c:pt idx="12">
                  <c:v>11.110356285183213</c:v>
                </c:pt>
                <c:pt idx="13">
                  <c:v>12.270005433686489</c:v>
                </c:pt>
              </c:numCache>
            </c:numRef>
          </c:yVal>
          <c:smooth val="0"/>
          <c:extLst>
            <c:ext xmlns:c16="http://schemas.microsoft.com/office/drawing/2014/chart" uri="{C3380CC4-5D6E-409C-BE32-E72D297353CC}">
              <c16:uniqueId val="{00000002-0CE2-458A-B1FF-0DBE3FF696A0}"/>
            </c:ext>
          </c:extLst>
        </c:ser>
        <c:dLbls>
          <c:showLegendKey val="0"/>
          <c:showVal val="0"/>
          <c:showCatName val="0"/>
          <c:showSerName val="0"/>
          <c:showPercent val="0"/>
          <c:showBubbleSize val="0"/>
        </c:dLbls>
        <c:axId val="1804130823"/>
        <c:axId val="1907009031"/>
      </c:scatterChart>
      <c:valAx>
        <c:axId val="1804130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solidFill>
                      <a:schemeClr val="tx1"/>
                    </a:solidFill>
                  </a:rPr>
                  <a:t>Angle</a:t>
                </a:r>
                <a:r>
                  <a:rPr lang="en-MY" baseline="0">
                    <a:solidFill>
                      <a:schemeClr val="tx1"/>
                    </a:solidFill>
                  </a:rPr>
                  <a:t> of attack [deg]</a:t>
                </a:r>
                <a:endParaRPr lang="en-MY">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MY"/>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009031"/>
        <c:crosses val="autoZero"/>
        <c:crossBetween val="midCat"/>
        <c:majorUnit val="2"/>
      </c:valAx>
      <c:valAx>
        <c:axId val="1907009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solidFill>
                      <a:schemeClr val="tx1"/>
                    </a:solidFill>
                  </a:rPr>
                  <a:t>Drag.tu [N]</a:t>
                </a:r>
              </a:p>
            </c:rich>
          </c:tx>
          <c:layout>
            <c:manualLayout>
              <c:xMode val="edge"/>
              <c:yMode val="edge"/>
              <c:x val="0.10521660414506635"/>
              <c:y val="0.395148583981880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4130823"/>
        <c:crosses val="autoZero"/>
        <c:crossBetween val="midCat"/>
      </c:valAx>
      <c:spPr>
        <a:noFill/>
        <a:ln>
          <a:noFill/>
        </a:ln>
        <a:effectLst/>
      </c:spPr>
    </c:plotArea>
    <c:legend>
      <c:legendPos val="r"/>
      <c:layout>
        <c:manualLayout>
          <c:xMode val="edge"/>
          <c:yMode val="edge"/>
          <c:x val="0.29142158054806855"/>
          <c:y val="0.17992409152104546"/>
          <c:w val="0.26867439472832855"/>
          <c:h val="0.25350193283289202"/>
        </c:manualLayout>
      </c:layout>
      <c:overlay val="1"/>
      <c:spPr>
        <a:noFill/>
        <a:ln w="6350">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MY"/>
              <a:t>Lift</a:t>
            </a:r>
            <a:r>
              <a:rPr lang="en-MY" baseline="0"/>
              <a:t> coefficient (tunnel)</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MY"/>
        </a:p>
      </c:txPr>
    </c:title>
    <c:autoTitleDeleted val="0"/>
    <c:plotArea>
      <c:layout>
        <c:manualLayout>
          <c:layoutTarget val="inner"/>
          <c:xMode val="edge"/>
          <c:yMode val="edge"/>
          <c:x val="8.4188898695245568E-2"/>
          <c:y val="0.16156723952968746"/>
          <c:w val="0.86712684525065575"/>
          <c:h val="0.66658255539470479"/>
        </c:manualLayout>
      </c:layout>
      <c:scatterChart>
        <c:scatterStyle val="lineMarker"/>
        <c:varyColors val="0"/>
        <c:ser>
          <c:idx val="0"/>
          <c:order val="0"/>
          <c:tx>
            <c:v>No tail</c:v>
          </c:tx>
          <c:spPr>
            <a:ln w="6350" cap="rnd">
              <a:solidFill>
                <a:srgbClr val="0000FF"/>
              </a:solidFill>
              <a:round/>
            </a:ln>
            <a:effectLst/>
          </c:spPr>
          <c:marker>
            <c:symbol val="x"/>
            <c:size val="5"/>
            <c:spPr>
              <a:noFill/>
              <a:ln w="9525">
                <a:solidFill>
                  <a:srgbClr val="0000FF"/>
                </a:solidFill>
              </a:ln>
              <a:effectLst/>
            </c:spPr>
          </c:marker>
          <c:xVal>
            <c:numRef>
              <c:f>WindTunnelData!$C$16:$C$23</c:f>
              <c:numCache>
                <c:formatCode>General</c:formatCode>
                <c:ptCount val="8"/>
                <c:pt idx="0">
                  <c:v>-2</c:v>
                </c:pt>
                <c:pt idx="1">
                  <c:v>0</c:v>
                </c:pt>
                <c:pt idx="2">
                  <c:v>2</c:v>
                </c:pt>
                <c:pt idx="3">
                  <c:v>4</c:v>
                </c:pt>
                <c:pt idx="4">
                  <c:v>6</c:v>
                </c:pt>
                <c:pt idx="5">
                  <c:v>8</c:v>
                </c:pt>
                <c:pt idx="6">
                  <c:v>10</c:v>
                </c:pt>
                <c:pt idx="7">
                  <c:v>12</c:v>
                </c:pt>
              </c:numCache>
            </c:numRef>
          </c:xVal>
          <c:yVal>
            <c:numRef>
              <c:f>WindTunnelData!$AR$16:$AR$23</c:f>
              <c:numCache>
                <c:formatCode>General</c:formatCode>
                <c:ptCount val="8"/>
                <c:pt idx="0">
                  <c:v>-6.4456258732418035E-3</c:v>
                </c:pt>
                <c:pt idx="1">
                  <c:v>0.14153777695741426</c:v>
                </c:pt>
                <c:pt idx="2">
                  <c:v>0.2931967786630465</c:v>
                </c:pt>
                <c:pt idx="3">
                  <c:v>0.44399388531534861</c:v>
                </c:pt>
                <c:pt idx="4">
                  <c:v>0.58690476729879026</c:v>
                </c:pt>
                <c:pt idx="5">
                  <c:v>0.70819621491716822</c:v>
                </c:pt>
                <c:pt idx="6">
                  <c:v>0.8059357272921932</c:v>
                </c:pt>
                <c:pt idx="7">
                  <c:v>0.89375212196339471</c:v>
                </c:pt>
              </c:numCache>
            </c:numRef>
          </c:yVal>
          <c:smooth val="0"/>
          <c:extLst>
            <c:ext xmlns:c16="http://schemas.microsoft.com/office/drawing/2014/chart" uri="{C3380CC4-5D6E-409C-BE32-E72D297353CC}">
              <c16:uniqueId val="{00000000-419C-40D9-AE16-C5667D20A029}"/>
            </c:ext>
          </c:extLst>
        </c:ser>
        <c:ser>
          <c:idx val="1"/>
          <c:order val="1"/>
          <c:tx>
            <c:v>Tail at 1deg</c:v>
          </c:tx>
          <c:spPr>
            <a:ln w="6350" cap="rnd">
              <a:solidFill>
                <a:srgbClr val="FF0000"/>
              </a:solidFill>
              <a:round/>
            </a:ln>
            <a:effectLst/>
          </c:spPr>
          <c:marker>
            <c:symbol val="plus"/>
            <c:size val="5"/>
            <c:spPr>
              <a:noFill/>
              <a:ln w="9525">
                <a:solidFill>
                  <a:srgbClr val="FF0000"/>
                </a:solidFill>
              </a:ln>
              <a:effectLst/>
            </c:spPr>
          </c:marker>
          <c:xVal>
            <c:numRef>
              <c:f>WindTunnelData!$C$28:$C$35</c:f>
              <c:numCache>
                <c:formatCode>General</c:formatCode>
                <c:ptCount val="8"/>
                <c:pt idx="0">
                  <c:v>-2</c:v>
                </c:pt>
                <c:pt idx="1">
                  <c:v>0</c:v>
                </c:pt>
                <c:pt idx="2">
                  <c:v>2</c:v>
                </c:pt>
                <c:pt idx="3">
                  <c:v>4</c:v>
                </c:pt>
                <c:pt idx="4">
                  <c:v>6</c:v>
                </c:pt>
                <c:pt idx="5">
                  <c:v>8</c:v>
                </c:pt>
                <c:pt idx="6">
                  <c:v>10</c:v>
                </c:pt>
                <c:pt idx="7">
                  <c:v>12</c:v>
                </c:pt>
              </c:numCache>
            </c:numRef>
          </c:xVal>
          <c:yVal>
            <c:numRef>
              <c:f>WindTunnelData!$AR$28:$AR$35</c:f>
              <c:numCache>
                <c:formatCode>General</c:formatCode>
                <c:ptCount val="8"/>
                <c:pt idx="0">
                  <c:v>-3.4163728240976306E-2</c:v>
                </c:pt>
                <c:pt idx="1">
                  <c:v>0.14425482068894432</c:v>
                </c:pt>
                <c:pt idx="2">
                  <c:v>0.31525001643484379</c:v>
                </c:pt>
                <c:pt idx="3">
                  <c:v>0.48888270233445053</c:v>
                </c:pt>
                <c:pt idx="4">
                  <c:v>0.66075554681753768</c:v>
                </c:pt>
                <c:pt idx="5">
                  <c:v>0.797245810487758</c:v>
                </c:pt>
                <c:pt idx="6">
                  <c:v>0.91488248873512512</c:v>
                </c:pt>
                <c:pt idx="7">
                  <c:v>1.0145880485941337</c:v>
                </c:pt>
              </c:numCache>
            </c:numRef>
          </c:yVal>
          <c:smooth val="0"/>
          <c:extLst>
            <c:ext xmlns:c16="http://schemas.microsoft.com/office/drawing/2014/chart" uri="{C3380CC4-5D6E-409C-BE32-E72D297353CC}">
              <c16:uniqueId val="{00000001-419C-40D9-AE16-C5667D20A029}"/>
            </c:ext>
          </c:extLst>
        </c:ser>
        <c:ser>
          <c:idx val="2"/>
          <c:order val="2"/>
          <c:tx>
            <c:v>Tail at -2deg</c:v>
          </c:tx>
          <c:spPr>
            <a:ln w="6350" cap="rnd">
              <a:solidFill>
                <a:srgbClr val="00C800"/>
              </a:solidFill>
              <a:round/>
            </a:ln>
            <a:effectLst/>
          </c:spPr>
          <c:marker>
            <c:symbol val="circle"/>
            <c:size val="4"/>
            <c:spPr>
              <a:noFill/>
              <a:ln w="12700">
                <a:solidFill>
                  <a:srgbClr val="00C800"/>
                </a:solidFill>
              </a:ln>
              <a:effectLst/>
            </c:spPr>
          </c:marker>
          <c:xVal>
            <c:numRef>
              <c:f>WindTunnelData!$C$40:$C$53</c:f>
              <c:numCache>
                <c:formatCode>General</c:formatCode>
                <c:ptCount val="14"/>
                <c:pt idx="0">
                  <c:v>-2</c:v>
                </c:pt>
                <c:pt idx="1">
                  <c:v>0</c:v>
                </c:pt>
                <c:pt idx="2">
                  <c:v>2</c:v>
                </c:pt>
                <c:pt idx="3">
                  <c:v>4</c:v>
                </c:pt>
                <c:pt idx="4">
                  <c:v>6</c:v>
                </c:pt>
                <c:pt idx="5">
                  <c:v>8</c:v>
                </c:pt>
                <c:pt idx="6">
                  <c:v>10</c:v>
                </c:pt>
                <c:pt idx="7">
                  <c:v>11</c:v>
                </c:pt>
                <c:pt idx="8">
                  <c:v>12</c:v>
                </c:pt>
                <c:pt idx="9">
                  <c:v>13</c:v>
                </c:pt>
                <c:pt idx="10">
                  <c:v>14</c:v>
                </c:pt>
                <c:pt idx="11">
                  <c:v>15</c:v>
                </c:pt>
                <c:pt idx="12">
                  <c:v>16</c:v>
                </c:pt>
                <c:pt idx="13">
                  <c:v>17</c:v>
                </c:pt>
              </c:numCache>
            </c:numRef>
          </c:xVal>
          <c:yVal>
            <c:numRef>
              <c:f>WindTunnelData!$AR$40:$AR$53</c:f>
              <c:numCache>
                <c:formatCode>General</c:formatCode>
                <c:ptCount val="14"/>
                <c:pt idx="0">
                  <c:v>-8.7447092737698351E-2</c:v>
                </c:pt>
                <c:pt idx="1">
                  <c:v>8.2540221408068826E-2</c:v>
                </c:pt>
                <c:pt idx="2">
                  <c:v>0.26214243904034412</c:v>
                </c:pt>
                <c:pt idx="3">
                  <c:v>0.43629763778991287</c:v>
                </c:pt>
                <c:pt idx="4">
                  <c:v>0.60045981954727967</c:v>
                </c:pt>
                <c:pt idx="5">
                  <c:v>0.74460642929417709</c:v>
                </c:pt>
                <c:pt idx="6">
                  <c:v>0.86720582679788516</c:v>
                </c:pt>
                <c:pt idx="7">
                  <c:v>0.9275156637305122</c:v>
                </c:pt>
                <c:pt idx="8">
                  <c:v>0.97644972322951096</c:v>
                </c:pt>
                <c:pt idx="9">
                  <c:v>1.0196286675179755</c:v>
                </c:pt>
                <c:pt idx="10">
                  <c:v>0.98301034638940821</c:v>
                </c:pt>
                <c:pt idx="11">
                  <c:v>1.0043113460932922</c:v>
                </c:pt>
                <c:pt idx="12">
                  <c:v>0.97407756864181183</c:v>
                </c:pt>
                <c:pt idx="13">
                  <c:v>0.8421202990376434</c:v>
                </c:pt>
              </c:numCache>
            </c:numRef>
          </c:yVal>
          <c:smooth val="0"/>
          <c:extLst>
            <c:ext xmlns:c16="http://schemas.microsoft.com/office/drawing/2014/chart" uri="{C3380CC4-5D6E-409C-BE32-E72D297353CC}">
              <c16:uniqueId val="{00000002-419C-40D9-AE16-C5667D20A029}"/>
            </c:ext>
          </c:extLst>
        </c:ser>
        <c:dLbls>
          <c:showLegendKey val="0"/>
          <c:showVal val="0"/>
          <c:showCatName val="0"/>
          <c:showSerName val="0"/>
          <c:showPercent val="0"/>
          <c:showBubbleSize val="0"/>
        </c:dLbls>
        <c:axId val="1804130823"/>
        <c:axId val="1907009031"/>
      </c:scatterChart>
      <c:valAx>
        <c:axId val="1804130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t>Angle of</a:t>
                </a:r>
                <a:r>
                  <a:rPr lang="en-MY" baseline="0"/>
                  <a:t> attack [deg]</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MY"/>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009031"/>
        <c:crosses val="autoZero"/>
        <c:crossBetween val="midCat"/>
        <c:majorUnit val="2"/>
      </c:valAx>
      <c:valAx>
        <c:axId val="1907009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t>CL.tu</a:t>
                </a:r>
              </a:p>
            </c:rich>
          </c:tx>
          <c:layout>
            <c:manualLayout>
              <c:xMode val="edge"/>
              <c:yMode val="edge"/>
              <c:x val="9.5932809508191455E-2"/>
              <c:y val="0.377910520873020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4130823"/>
        <c:crosses val="autoZero"/>
        <c:crossBetween val="midCat"/>
      </c:valAx>
      <c:spPr>
        <a:noFill/>
        <a:ln>
          <a:noFill/>
        </a:ln>
        <a:effectLst/>
      </c:spPr>
    </c:plotArea>
    <c:legend>
      <c:legendPos val="r"/>
      <c:layout>
        <c:manualLayout>
          <c:xMode val="edge"/>
          <c:yMode val="edge"/>
          <c:x val="0.65594534951056238"/>
          <c:y val="0.43718089825724588"/>
          <c:w val="0.29197221850756166"/>
          <c:h val="0.24342789511286722"/>
        </c:manualLayout>
      </c:layout>
      <c:overlay val="1"/>
      <c:spPr>
        <a:noFill/>
        <a:ln w="6350">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MY"/>
              <a:t>Pitching moment coefficient (tunnel)</a:t>
            </a:r>
          </a:p>
        </c:rich>
      </c:tx>
      <c:layout>
        <c:manualLayout>
          <c:xMode val="edge"/>
          <c:yMode val="edge"/>
          <c:x val="0.2197898758357211"/>
          <c:y val="1.84807042166928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8.4188898695245568E-2"/>
          <c:y val="0.16156723952968746"/>
          <c:w val="0.86712684525065575"/>
          <c:h val="0.66658255539470479"/>
        </c:manualLayout>
      </c:layout>
      <c:scatterChart>
        <c:scatterStyle val="lineMarker"/>
        <c:varyColors val="0"/>
        <c:ser>
          <c:idx val="0"/>
          <c:order val="0"/>
          <c:tx>
            <c:v>No tail</c:v>
          </c:tx>
          <c:spPr>
            <a:ln w="6350" cap="rnd">
              <a:solidFill>
                <a:srgbClr val="0000FF"/>
              </a:solidFill>
              <a:round/>
            </a:ln>
            <a:effectLst/>
          </c:spPr>
          <c:marker>
            <c:symbol val="x"/>
            <c:size val="5"/>
            <c:spPr>
              <a:noFill/>
              <a:ln w="9525">
                <a:solidFill>
                  <a:srgbClr val="0000FF"/>
                </a:solidFill>
              </a:ln>
              <a:effectLst/>
            </c:spPr>
          </c:marker>
          <c:xVal>
            <c:numRef>
              <c:f>WindTunnelData!$C$16:$C$23</c:f>
              <c:numCache>
                <c:formatCode>General</c:formatCode>
                <c:ptCount val="8"/>
                <c:pt idx="0">
                  <c:v>-2</c:v>
                </c:pt>
                <c:pt idx="1">
                  <c:v>0</c:v>
                </c:pt>
                <c:pt idx="2">
                  <c:v>2</c:v>
                </c:pt>
                <c:pt idx="3">
                  <c:v>4</c:v>
                </c:pt>
                <c:pt idx="4">
                  <c:v>6</c:v>
                </c:pt>
                <c:pt idx="5">
                  <c:v>8</c:v>
                </c:pt>
                <c:pt idx="6">
                  <c:v>10</c:v>
                </c:pt>
                <c:pt idx="7">
                  <c:v>12</c:v>
                </c:pt>
              </c:numCache>
            </c:numRef>
          </c:xVal>
          <c:yVal>
            <c:numRef>
              <c:f>WindTunnelData!$AT$16:$AT$23</c:f>
              <c:numCache>
                <c:formatCode>General</c:formatCode>
                <c:ptCount val="8"/>
                <c:pt idx="0">
                  <c:v>-4.1673859512401455E-2</c:v>
                </c:pt>
                <c:pt idx="1">
                  <c:v>-2.1884805740009838E-2</c:v>
                </c:pt>
                <c:pt idx="2">
                  <c:v>5.3859656302393203E-3</c:v>
                </c:pt>
                <c:pt idx="3">
                  <c:v>3.2243722361863812E-2</c:v>
                </c:pt>
                <c:pt idx="4">
                  <c:v>6.4487220734366899E-2</c:v>
                </c:pt>
                <c:pt idx="5">
                  <c:v>9.9686695347377743E-2</c:v>
                </c:pt>
                <c:pt idx="6">
                  <c:v>0.13342522970627554</c:v>
                </c:pt>
                <c:pt idx="7">
                  <c:v>0.16020496843036897</c:v>
                </c:pt>
              </c:numCache>
            </c:numRef>
          </c:yVal>
          <c:smooth val="0"/>
          <c:extLst>
            <c:ext xmlns:c16="http://schemas.microsoft.com/office/drawing/2014/chart" uri="{C3380CC4-5D6E-409C-BE32-E72D297353CC}">
              <c16:uniqueId val="{00000000-5946-4A21-BC03-098560C0303E}"/>
            </c:ext>
          </c:extLst>
        </c:ser>
        <c:ser>
          <c:idx val="1"/>
          <c:order val="1"/>
          <c:tx>
            <c:v>Tail at 1deg</c:v>
          </c:tx>
          <c:spPr>
            <a:ln w="6350" cap="rnd">
              <a:solidFill>
                <a:srgbClr val="FF0000"/>
              </a:solidFill>
              <a:round/>
            </a:ln>
            <a:effectLst/>
          </c:spPr>
          <c:marker>
            <c:symbol val="plus"/>
            <c:size val="5"/>
            <c:spPr>
              <a:noFill/>
              <a:ln w="9525">
                <a:solidFill>
                  <a:srgbClr val="FF0000"/>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WindTunnelData!$C$28:$C$35</c:f>
              <c:numCache>
                <c:formatCode>General</c:formatCode>
                <c:ptCount val="8"/>
                <c:pt idx="0">
                  <c:v>-2</c:v>
                </c:pt>
                <c:pt idx="1">
                  <c:v>0</c:v>
                </c:pt>
                <c:pt idx="2">
                  <c:v>2</c:v>
                </c:pt>
                <c:pt idx="3">
                  <c:v>4</c:v>
                </c:pt>
                <c:pt idx="4">
                  <c:v>6</c:v>
                </c:pt>
                <c:pt idx="5">
                  <c:v>8</c:v>
                </c:pt>
                <c:pt idx="6">
                  <c:v>10</c:v>
                </c:pt>
                <c:pt idx="7">
                  <c:v>12</c:v>
                </c:pt>
              </c:numCache>
            </c:numRef>
          </c:xVal>
          <c:yVal>
            <c:numRef>
              <c:f>WindTunnelData!$AT$28:$AT$35</c:f>
              <c:numCache>
                <c:formatCode>General</c:formatCode>
                <c:ptCount val="8"/>
                <c:pt idx="0">
                  <c:v>2.3045054633011507E-2</c:v>
                </c:pt>
                <c:pt idx="1">
                  <c:v>-8.0687967695357923E-3</c:v>
                </c:pt>
                <c:pt idx="2">
                  <c:v>-3.3867270342740806E-2</c:v>
                </c:pt>
                <c:pt idx="3">
                  <c:v>-6.3311117930999319E-2</c:v>
                </c:pt>
                <c:pt idx="4">
                  <c:v>-8.7932981314157277E-2</c:v>
                </c:pt>
                <c:pt idx="5">
                  <c:v>-0.11105329873243357</c:v>
                </c:pt>
                <c:pt idx="6">
                  <c:v>-0.1226847816502081</c:v>
                </c:pt>
                <c:pt idx="7">
                  <c:v>-0.13590808281224157</c:v>
                </c:pt>
              </c:numCache>
            </c:numRef>
          </c:yVal>
          <c:smooth val="0"/>
          <c:extLst>
            <c:ext xmlns:c16="http://schemas.microsoft.com/office/drawing/2014/chart" uri="{C3380CC4-5D6E-409C-BE32-E72D297353CC}">
              <c16:uniqueId val="{00000001-5946-4A21-BC03-098560C0303E}"/>
            </c:ext>
          </c:extLst>
        </c:ser>
        <c:ser>
          <c:idx val="2"/>
          <c:order val="2"/>
          <c:tx>
            <c:v>Tail at -2deg</c:v>
          </c:tx>
          <c:spPr>
            <a:ln w="6350" cap="rnd">
              <a:solidFill>
                <a:srgbClr val="00C800"/>
              </a:solidFill>
              <a:round/>
            </a:ln>
            <a:effectLst/>
          </c:spPr>
          <c:marker>
            <c:symbol val="circle"/>
            <c:size val="4"/>
            <c:spPr>
              <a:noFill/>
              <a:ln w="12700">
                <a:solidFill>
                  <a:srgbClr val="00C800"/>
                </a:solidFill>
              </a:ln>
              <a:effectLst/>
            </c:spPr>
          </c:marker>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1"/>
            <c:trendlineLbl>
              <c:layout>
                <c:manualLayout>
                  <c:x val="2.3459822259209267E-2"/>
                  <c:y val="0.102003091560415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WindTunnelData!$C$40:$C$53</c:f>
              <c:numCache>
                <c:formatCode>General</c:formatCode>
                <c:ptCount val="14"/>
                <c:pt idx="0">
                  <c:v>-2</c:v>
                </c:pt>
                <c:pt idx="1">
                  <c:v>0</c:v>
                </c:pt>
                <c:pt idx="2">
                  <c:v>2</c:v>
                </c:pt>
                <c:pt idx="3">
                  <c:v>4</c:v>
                </c:pt>
                <c:pt idx="4">
                  <c:v>6</c:v>
                </c:pt>
                <c:pt idx="5">
                  <c:v>8</c:v>
                </c:pt>
                <c:pt idx="6">
                  <c:v>10</c:v>
                </c:pt>
                <c:pt idx="7">
                  <c:v>11</c:v>
                </c:pt>
                <c:pt idx="8">
                  <c:v>12</c:v>
                </c:pt>
                <c:pt idx="9">
                  <c:v>13</c:v>
                </c:pt>
                <c:pt idx="10">
                  <c:v>14</c:v>
                </c:pt>
                <c:pt idx="11">
                  <c:v>15</c:v>
                </c:pt>
                <c:pt idx="12">
                  <c:v>16</c:v>
                </c:pt>
                <c:pt idx="13">
                  <c:v>17</c:v>
                </c:pt>
              </c:numCache>
            </c:numRef>
          </c:xVal>
          <c:yVal>
            <c:numRef>
              <c:f>WindTunnelData!$AT$40:$AT$53</c:f>
              <c:numCache>
                <c:formatCode>General</c:formatCode>
                <c:ptCount val="14"/>
                <c:pt idx="0">
                  <c:v>0.1568417758345613</c:v>
                </c:pt>
                <c:pt idx="1">
                  <c:v>0.11481557905847366</c:v>
                </c:pt>
                <c:pt idx="2">
                  <c:v>8.3442150463202733E-2</c:v>
                </c:pt>
                <c:pt idx="3">
                  <c:v>5.828891600198121E-2</c:v>
                </c:pt>
                <c:pt idx="4">
                  <c:v>4.2615670788985593E-2</c:v>
                </c:pt>
                <c:pt idx="5">
                  <c:v>1.6928975779839026E-2</c:v>
                </c:pt>
                <c:pt idx="6">
                  <c:v>-1.1280049881282473E-2</c:v>
                </c:pt>
                <c:pt idx="7">
                  <c:v>-2.7998571620923302E-2</c:v>
                </c:pt>
                <c:pt idx="8">
                  <c:v>-4.1373537058669294E-2</c:v>
                </c:pt>
                <c:pt idx="9">
                  <c:v>-5.5163174032028854E-2</c:v>
                </c:pt>
                <c:pt idx="10">
                  <c:v>-9.122990617841692E-2</c:v>
                </c:pt>
                <c:pt idx="11">
                  <c:v>-9.7682129225301062E-2</c:v>
                </c:pt>
                <c:pt idx="12">
                  <c:v>-0.11521686172332167</c:v>
                </c:pt>
                <c:pt idx="13">
                  <c:v>-0.19464565141748663</c:v>
                </c:pt>
              </c:numCache>
            </c:numRef>
          </c:yVal>
          <c:smooth val="0"/>
          <c:extLst>
            <c:ext xmlns:c16="http://schemas.microsoft.com/office/drawing/2014/chart" uri="{C3380CC4-5D6E-409C-BE32-E72D297353CC}">
              <c16:uniqueId val="{00000002-5946-4A21-BC03-098560C0303E}"/>
            </c:ext>
          </c:extLst>
        </c:ser>
        <c:dLbls>
          <c:showLegendKey val="0"/>
          <c:showVal val="0"/>
          <c:showCatName val="0"/>
          <c:showSerName val="0"/>
          <c:showPercent val="0"/>
          <c:showBubbleSize val="0"/>
        </c:dLbls>
        <c:axId val="1804130823"/>
        <c:axId val="1907009031"/>
      </c:scatterChart>
      <c:valAx>
        <c:axId val="1804130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t>Angle</a:t>
                </a:r>
                <a:r>
                  <a:rPr lang="en-MY" baseline="0"/>
                  <a:t> of attack [deg]</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MY"/>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009031"/>
        <c:crosses val="autoZero"/>
        <c:crossBetween val="midCat"/>
        <c:majorUnit val="2"/>
      </c:valAx>
      <c:valAx>
        <c:axId val="1907009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t>CM.tu</a:t>
                </a:r>
              </a:p>
            </c:rich>
          </c:tx>
          <c:layout>
            <c:manualLayout>
              <c:xMode val="edge"/>
              <c:yMode val="edge"/>
              <c:x val="7.7375655530861273E-2"/>
              <c:y val="0.24232114956713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4130823"/>
        <c:crosses val="autoZero"/>
        <c:crossBetween val="midCat"/>
      </c:valAx>
      <c:spPr>
        <a:noFill/>
        <a:ln>
          <a:noFill/>
        </a:ln>
        <a:effectLst/>
      </c:spPr>
    </c:plotArea>
    <c:legend>
      <c:legendPos val="r"/>
      <c:layout>
        <c:manualLayout>
          <c:xMode val="edge"/>
          <c:yMode val="edge"/>
          <c:x val="0.72076464604603852"/>
          <c:y val="0.22975517068640172"/>
          <c:w val="0.26500214745884032"/>
          <c:h val="0.19745031764619853"/>
        </c:manualLayout>
      </c:layout>
      <c:overlay val="1"/>
      <c:spPr>
        <a:noFill/>
        <a:ln w="6350">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MY"/>
              <a:t>Drag coefficient</a:t>
            </a:r>
            <a:r>
              <a:rPr lang="en-MY" baseline="0"/>
              <a:t> (tunnel)</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MY"/>
        </a:p>
      </c:txPr>
    </c:title>
    <c:autoTitleDeleted val="0"/>
    <c:plotArea>
      <c:layout>
        <c:manualLayout>
          <c:layoutTarget val="inner"/>
          <c:xMode val="edge"/>
          <c:yMode val="edge"/>
          <c:x val="8.4188898695245568E-2"/>
          <c:y val="0.16156723952968746"/>
          <c:w val="0.86712684525065575"/>
          <c:h val="0.66658255539470479"/>
        </c:manualLayout>
      </c:layout>
      <c:scatterChart>
        <c:scatterStyle val="lineMarker"/>
        <c:varyColors val="0"/>
        <c:ser>
          <c:idx val="0"/>
          <c:order val="0"/>
          <c:tx>
            <c:v>No tail</c:v>
          </c:tx>
          <c:spPr>
            <a:ln w="6350" cap="rnd">
              <a:solidFill>
                <a:srgbClr val="0000FF"/>
              </a:solidFill>
              <a:round/>
            </a:ln>
            <a:effectLst/>
          </c:spPr>
          <c:marker>
            <c:symbol val="x"/>
            <c:size val="5"/>
            <c:spPr>
              <a:noFill/>
              <a:ln w="9525">
                <a:solidFill>
                  <a:srgbClr val="0000FF"/>
                </a:solidFill>
              </a:ln>
              <a:effectLst/>
            </c:spPr>
          </c:marker>
          <c:xVal>
            <c:numRef>
              <c:f>WindTunnelData!$C$16:$C$23</c:f>
              <c:numCache>
                <c:formatCode>General</c:formatCode>
                <c:ptCount val="8"/>
                <c:pt idx="0">
                  <c:v>-2</c:v>
                </c:pt>
                <c:pt idx="1">
                  <c:v>0</c:v>
                </c:pt>
                <c:pt idx="2">
                  <c:v>2</c:v>
                </c:pt>
                <c:pt idx="3">
                  <c:v>4</c:v>
                </c:pt>
                <c:pt idx="4">
                  <c:v>6</c:v>
                </c:pt>
                <c:pt idx="5">
                  <c:v>8</c:v>
                </c:pt>
                <c:pt idx="6">
                  <c:v>10</c:v>
                </c:pt>
                <c:pt idx="7">
                  <c:v>12</c:v>
                </c:pt>
              </c:numCache>
            </c:numRef>
          </c:xVal>
          <c:yVal>
            <c:numRef>
              <c:f>WindTunnelData!$AS$16:$AS$23</c:f>
              <c:numCache>
                <c:formatCode>General</c:formatCode>
                <c:ptCount val="8"/>
                <c:pt idx="0">
                  <c:v>4.7646834670700682E-2</c:v>
                </c:pt>
                <c:pt idx="1">
                  <c:v>4.5993767339842367E-2</c:v>
                </c:pt>
                <c:pt idx="2">
                  <c:v>4.806006800019115E-2</c:v>
                </c:pt>
                <c:pt idx="3">
                  <c:v>5.4698595332074253E-2</c:v>
                </c:pt>
                <c:pt idx="4">
                  <c:v>6.2517651574363592E-2</c:v>
                </c:pt>
                <c:pt idx="5">
                  <c:v>7.5037134474576841E-2</c:v>
                </c:pt>
                <c:pt idx="6">
                  <c:v>8.7647895021055591E-2</c:v>
                </c:pt>
                <c:pt idx="7">
                  <c:v>0.11037422106006498</c:v>
                </c:pt>
              </c:numCache>
            </c:numRef>
          </c:yVal>
          <c:smooth val="0"/>
          <c:extLst>
            <c:ext xmlns:c16="http://schemas.microsoft.com/office/drawing/2014/chart" uri="{C3380CC4-5D6E-409C-BE32-E72D297353CC}">
              <c16:uniqueId val="{00000000-74AC-4918-9314-7B518A9237D4}"/>
            </c:ext>
          </c:extLst>
        </c:ser>
        <c:ser>
          <c:idx val="1"/>
          <c:order val="1"/>
          <c:tx>
            <c:v>Tail at 1deg</c:v>
          </c:tx>
          <c:spPr>
            <a:ln w="6350" cap="rnd">
              <a:solidFill>
                <a:srgbClr val="FF0000"/>
              </a:solidFill>
              <a:round/>
            </a:ln>
            <a:effectLst/>
          </c:spPr>
          <c:marker>
            <c:symbol val="plus"/>
            <c:size val="5"/>
            <c:spPr>
              <a:noFill/>
              <a:ln w="9525">
                <a:solidFill>
                  <a:srgbClr val="FF0000"/>
                </a:solidFill>
              </a:ln>
              <a:effectLst/>
            </c:spPr>
          </c:marker>
          <c:xVal>
            <c:numRef>
              <c:f>WindTunnelData!$C$28:$C$35</c:f>
              <c:numCache>
                <c:formatCode>General</c:formatCode>
                <c:ptCount val="8"/>
                <c:pt idx="0">
                  <c:v>-2</c:v>
                </c:pt>
                <c:pt idx="1">
                  <c:v>0</c:v>
                </c:pt>
                <c:pt idx="2">
                  <c:v>2</c:v>
                </c:pt>
                <c:pt idx="3">
                  <c:v>4</c:v>
                </c:pt>
                <c:pt idx="4">
                  <c:v>6</c:v>
                </c:pt>
                <c:pt idx="5">
                  <c:v>8</c:v>
                </c:pt>
                <c:pt idx="6">
                  <c:v>10</c:v>
                </c:pt>
                <c:pt idx="7">
                  <c:v>12</c:v>
                </c:pt>
              </c:numCache>
            </c:numRef>
          </c:xVal>
          <c:yVal>
            <c:numRef>
              <c:f>WindTunnelData!$AS$28:$AS$35</c:f>
              <c:numCache>
                <c:formatCode>General</c:formatCode>
                <c:ptCount val="8"/>
                <c:pt idx="0">
                  <c:v>5.2064514010058668E-2</c:v>
                </c:pt>
                <c:pt idx="1">
                  <c:v>5.1195636050457106E-2</c:v>
                </c:pt>
                <c:pt idx="2">
                  <c:v>5.3627945647717425E-2</c:v>
                </c:pt>
                <c:pt idx="3">
                  <c:v>6.0527628265447178E-2</c:v>
                </c:pt>
                <c:pt idx="4">
                  <c:v>7.0562226749580473E-2</c:v>
                </c:pt>
                <c:pt idx="5">
                  <c:v>8.3702698245676527E-2</c:v>
                </c:pt>
                <c:pt idx="6">
                  <c:v>0.10363416191011084</c:v>
                </c:pt>
                <c:pt idx="7">
                  <c:v>0.12681018704297853</c:v>
                </c:pt>
              </c:numCache>
            </c:numRef>
          </c:yVal>
          <c:smooth val="0"/>
          <c:extLst>
            <c:ext xmlns:c16="http://schemas.microsoft.com/office/drawing/2014/chart" uri="{C3380CC4-5D6E-409C-BE32-E72D297353CC}">
              <c16:uniqueId val="{00000001-74AC-4918-9314-7B518A9237D4}"/>
            </c:ext>
          </c:extLst>
        </c:ser>
        <c:ser>
          <c:idx val="2"/>
          <c:order val="2"/>
          <c:tx>
            <c:v>Tail at -2deg</c:v>
          </c:tx>
          <c:spPr>
            <a:ln w="6350" cap="rnd">
              <a:solidFill>
                <a:srgbClr val="00C800"/>
              </a:solidFill>
              <a:round/>
            </a:ln>
            <a:effectLst/>
          </c:spPr>
          <c:marker>
            <c:symbol val="circle"/>
            <c:size val="4"/>
            <c:spPr>
              <a:noFill/>
              <a:ln w="12700">
                <a:solidFill>
                  <a:srgbClr val="00C800"/>
                </a:solidFill>
              </a:ln>
              <a:effectLst/>
            </c:spPr>
          </c:marker>
          <c:xVal>
            <c:numRef>
              <c:f>WindTunnelData!$C$40:$C$53</c:f>
              <c:numCache>
                <c:formatCode>General</c:formatCode>
                <c:ptCount val="14"/>
                <c:pt idx="0">
                  <c:v>-2</c:v>
                </c:pt>
                <c:pt idx="1">
                  <c:v>0</c:v>
                </c:pt>
                <c:pt idx="2">
                  <c:v>2</c:v>
                </c:pt>
                <c:pt idx="3">
                  <c:v>4</c:v>
                </c:pt>
                <c:pt idx="4">
                  <c:v>6</c:v>
                </c:pt>
                <c:pt idx="5">
                  <c:v>8</c:v>
                </c:pt>
                <c:pt idx="6">
                  <c:v>10</c:v>
                </c:pt>
                <c:pt idx="7">
                  <c:v>11</c:v>
                </c:pt>
                <c:pt idx="8">
                  <c:v>12</c:v>
                </c:pt>
                <c:pt idx="9">
                  <c:v>13</c:v>
                </c:pt>
                <c:pt idx="10">
                  <c:v>14</c:v>
                </c:pt>
                <c:pt idx="11">
                  <c:v>15</c:v>
                </c:pt>
                <c:pt idx="12">
                  <c:v>16</c:v>
                </c:pt>
                <c:pt idx="13">
                  <c:v>17</c:v>
                </c:pt>
              </c:numCache>
            </c:numRef>
          </c:xVal>
          <c:yVal>
            <c:numRef>
              <c:f>WindTunnelData!$AS$40:$AS$53</c:f>
              <c:numCache>
                <c:formatCode>General</c:formatCode>
                <c:ptCount val="14"/>
                <c:pt idx="0">
                  <c:v>5.6495829589932274E-2</c:v>
                </c:pt>
                <c:pt idx="1">
                  <c:v>5.3465600048717352E-2</c:v>
                </c:pt>
                <c:pt idx="2">
                  <c:v>5.2766865834545311E-2</c:v>
                </c:pt>
                <c:pt idx="3">
                  <c:v>6.0318870180716168E-2</c:v>
                </c:pt>
                <c:pt idx="4">
                  <c:v>6.7309466683820846E-2</c:v>
                </c:pt>
                <c:pt idx="5">
                  <c:v>8.2079454294178761E-2</c:v>
                </c:pt>
                <c:pt idx="6">
                  <c:v>9.9528841821968583E-2</c:v>
                </c:pt>
                <c:pt idx="7">
                  <c:v>0.1090996009579378</c:v>
                </c:pt>
                <c:pt idx="8">
                  <c:v>0.12216654438192021</c:v>
                </c:pt>
                <c:pt idx="9">
                  <c:v>0.13365235653468066</c:v>
                </c:pt>
                <c:pt idx="10">
                  <c:v>0.17623704645931937</c:v>
                </c:pt>
                <c:pt idx="11">
                  <c:v>0.19590425069308523</c:v>
                </c:pt>
                <c:pt idx="12">
                  <c:v>0.23519635676359904</c:v>
                </c:pt>
                <c:pt idx="13">
                  <c:v>0.25855102853948392</c:v>
                </c:pt>
              </c:numCache>
            </c:numRef>
          </c:yVal>
          <c:smooth val="0"/>
          <c:extLst>
            <c:ext xmlns:c16="http://schemas.microsoft.com/office/drawing/2014/chart" uri="{C3380CC4-5D6E-409C-BE32-E72D297353CC}">
              <c16:uniqueId val="{00000002-74AC-4918-9314-7B518A9237D4}"/>
            </c:ext>
          </c:extLst>
        </c:ser>
        <c:dLbls>
          <c:showLegendKey val="0"/>
          <c:showVal val="0"/>
          <c:showCatName val="0"/>
          <c:showSerName val="0"/>
          <c:showPercent val="0"/>
          <c:showBubbleSize val="0"/>
        </c:dLbls>
        <c:axId val="1804130823"/>
        <c:axId val="1907009031"/>
      </c:scatterChart>
      <c:valAx>
        <c:axId val="1804130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t>Angle of</a:t>
                </a:r>
                <a:r>
                  <a:rPr lang="en-MY" baseline="0"/>
                  <a:t> attack [deg]</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MY"/>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009031"/>
        <c:crosses val="autoZero"/>
        <c:crossBetween val="midCat"/>
        <c:majorUnit val="2"/>
      </c:valAx>
      <c:valAx>
        <c:axId val="1907009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t>CD.tu</a:t>
                </a:r>
              </a:p>
            </c:rich>
          </c:tx>
          <c:layout>
            <c:manualLayout>
              <c:xMode val="edge"/>
              <c:yMode val="edge"/>
              <c:x val="9.5932809508191455E-2"/>
              <c:y val="0.377910520873020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4130823"/>
        <c:crosses val="autoZero"/>
        <c:crossBetween val="midCat"/>
      </c:valAx>
      <c:spPr>
        <a:noFill/>
        <a:ln>
          <a:noFill/>
        </a:ln>
        <a:effectLst/>
      </c:spPr>
    </c:plotArea>
    <c:legend>
      <c:legendPos val="r"/>
      <c:layout>
        <c:manualLayout>
          <c:xMode val="edge"/>
          <c:yMode val="edge"/>
          <c:x val="0.25977311460143088"/>
          <c:y val="0.1590146458156157"/>
          <c:w val="0.28806038675067808"/>
          <c:h val="0.24342789511286722"/>
        </c:manualLayout>
      </c:layout>
      <c:overlay val="1"/>
      <c:spPr>
        <a:noFill/>
        <a:ln w="6350">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MY"/>
              <a:t>Fin</a:t>
            </a:r>
            <a:r>
              <a:rPr lang="en-MY" baseline="0"/>
              <a:t>d dCM/diH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184476680187173E-2"/>
          <c:y val="0.13160872361739503"/>
          <c:w val="0.8723846255372939"/>
          <c:h val="0.84096681307724852"/>
        </c:manualLayout>
      </c:layout>
      <c:scatterChart>
        <c:scatterStyle val="lineMarker"/>
        <c:varyColors val="0"/>
        <c:ser>
          <c:idx val="0"/>
          <c:order val="0"/>
          <c:tx>
            <c:v>No tail</c:v>
          </c:tx>
          <c:spPr>
            <a:ln w="6350" cap="rnd">
              <a:solidFill>
                <a:srgbClr val="0000FF"/>
              </a:solidFill>
              <a:round/>
            </a:ln>
            <a:effectLst/>
          </c:spPr>
          <c:marker>
            <c:symbol val="x"/>
            <c:size val="5"/>
            <c:spPr>
              <a:noFill/>
              <a:ln w="9525">
                <a:solidFill>
                  <a:srgbClr val="0000FF"/>
                </a:solidFill>
              </a:ln>
              <a:effectLst/>
            </c:spPr>
          </c:marker>
          <c:errBars>
            <c:errDir val="x"/>
            <c:errBarType val="both"/>
            <c:errValType val="cust"/>
            <c:noEndCap val="0"/>
            <c:plus>
              <c:numRef>
                <c:f>WindTunnelData!$BS$16:$BS$23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WindTunnelData!$BS$16:$BS$23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WindTunnelData!$BU$16:$BU$23</c:f>
                <c:numCache>
                  <c:formatCode>General</c:formatCode>
                  <c:ptCount val="8"/>
                  <c:pt idx="0">
                    <c:v>2.2363966797210764E-4</c:v>
                  </c:pt>
                  <c:pt idx="1">
                    <c:v>8.6461206583688971E-4</c:v>
                  </c:pt>
                  <c:pt idx="2">
                    <c:v>5.8387844546993946E-5</c:v>
                  </c:pt>
                  <c:pt idx="3">
                    <c:v>1.915352088548705E-3</c:v>
                  </c:pt>
                  <c:pt idx="4">
                    <c:v>7.2955973701892764E-5</c:v>
                  </c:pt>
                  <c:pt idx="5">
                    <c:v>-3.7151161937178999E-3</c:v>
                  </c:pt>
                  <c:pt idx="6">
                    <c:v>-7.050945015693426E-3</c:v>
                  </c:pt>
                  <c:pt idx="7">
                    <c:v>-4.0090776284684472E-3</c:v>
                  </c:pt>
                </c:numCache>
              </c:numRef>
            </c:plus>
            <c:minus>
              <c:numRef>
                <c:f>WindTunnelData!$BU$16:$BU$23</c:f>
                <c:numCache>
                  <c:formatCode>General</c:formatCode>
                  <c:ptCount val="8"/>
                  <c:pt idx="0">
                    <c:v>2.2363966797210764E-4</c:v>
                  </c:pt>
                  <c:pt idx="1">
                    <c:v>8.6461206583688971E-4</c:v>
                  </c:pt>
                  <c:pt idx="2">
                    <c:v>5.8387844546993946E-5</c:v>
                  </c:pt>
                  <c:pt idx="3">
                    <c:v>1.915352088548705E-3</c:v>
                  </c:pt>
                  <c:pt idx="4">
                    <c:v>7.2955973701892764E-5</c:v>
                  </c:pt>
                  <c:pt idx="5">
                    <c:v>-3.7151161937178999E-3</c:v>
                  </c:pt>
                  <c:pt idx="6">
                    <c:v>-7.050945015693426E-3</c:v>
                  </c:pt>
                  <c:pt idx="7">
                    <c:v>-4.0090776284684472E-3</c:v>
                  </c:pt>
                </c:numCache>
              </c:numRef>
            </c:minus>
            <c:spPr>
              <a:noFill/>
              <a:ln w="9525" cap="flat" cmpd="sng" algn="ctr">
                <a:solidFill>
                  <a:schemeClr val="tx1">
                    <a:lumMod val="65000"/>
                    <a:lumOff val="35000"/>
                  </a:schemeClr>
                </a:solidFill>
                <a:round/>
              </a:ln>
              <a:effectLst/>
            </c:spPr>
          </c:errBars>
          <c:xVal>
            <c:numRef>
              <c:f>WindTunnelData!$BP$16:$BP$23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xVal>
          <c:yVal>
            <c:numRef>
              <c:f>WindTunnelData!$BR$16:$BR$23</c:f>
              <c:numCache>
                <c:formatCode>General</c:formatCode>
                <c:ptCount val="8"/>
                <c:pt idx="0">
                  <c:v>-4.1673859512401455E-2</c:v>
                </c:pt>
                <c:pt idx="1">
                  <c:v>-2.1884805740009838E-2</c:v>
                </c:pt>
                <c:pt idx="2">
                  <c:v>5.3859656302393203E-3</c:v>
                </c:pt>
                <c:pt idx="3">
                  <c:v>3.2243722361863812E-2</c:v>
                </c:pt>
                <c:pt idx="4">
                  <c:v>6.4487220734366899E-2</c:v>
                </c:pt>
                <c:pt idx="5">
                  <c:v>9.9686695347377743E-2</c:v>
                </c:pt>
                <c:pt idx="6">
                  <c:v>0.13342522970627554</c:v>
                </c:pt>
                <c:pt idx="7">
                  <c:v>0.16020496843036897</c:v>
                </c:pt>
              </c:numCache>
            </c:numRef>
          </c:yVal>
          <c:smooth val="1"/>
          <c:extLst>
            <c:ext xmlns:c16="http://schemas.microsoft.com/office/drawing/2014/chart" uri="{C3380CC4-5D6E-409C-BE32-E72D297353CC}">
              <c16:uniqueId val="{00000000-419C-40D9-AE16-C5667D20A029}"/>
            </c:ext>
          </c:extLst>
        </c:ser>
        <c:ser>
          <c:idx val="1"/>
          <c:order val="1"/>
          <c:tx>
            <c:v>Tail at 1deg</c:v>
          </c:tx>
          <c:spPr>
            <a:ln w="6350" cap="rnd">
              <a:solidFill>
                <a:srgbClr val="FF0000"/>
              </a:solidFill>
              <a:round/>
            </a:ln>
            <a:effectLst/>
          </c:spPr>
          <c:marker>
            <c:symbol val="plus"/>
            <c:size val="5"/>
            <c:spPr>
              <a:noFill/>
              <a:ln w="9525">
                <a:solidFill>
                  <a:srgbClr val="FF0000"/>
                </a:solidFill>
              </a:ln>
              <a:effectLst/>
            </c:spPr>
          </c:marker>
          <c:errBars>
            <c:errDir val="x"/>
            <c:errBarType val="both"/>
            <c:errValType val="cust"/>
            <c:noEndCap val="0"/>
            <c:plus>
              <c:numRef>
                <c:f>WindTunnelData!$BS$28:$BS$35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WindTunnelData!$BS$28:$BS$35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WindTunnelData!$BU$28:$BU$35</c:f>
                <c:numCache>
                  <c:formatCode>General</c:formatCode>
                  <c:ptCount val="8"/>
                  <c:pt idx="0">
                    <c:v>4.0172641158913343E-3</c:v>
                  </c:pt>
                  <c:pt idx="1">
                    <c:v>-4.1914130061115025E-3</c:v>
                  </c:pt>
                  <c:pt idx="2">
                    <c:v>3.2521230441234469E-4</c:v>
                  </c:pt>
                  <c:pt idx="3">
                    <c:v>-1.4380093712747903E-3</c:v>
                  </c:pt>
                  <c:pt idx="4">
                    <c:v>-3.5305348679896559E-3</c:v>
                  </c:pt>
                  <c:pt idx="5">
                    <c:v>-3.1805635220917027E-3</c:v>
                  </c:pt>
                  <c:pt idx="6">
                    <c:v>-1.2153343597605574E-4</c:v>
                  </c:pt>
                  <c:pt idx="7">
                    <c:v>7.446688804081442E-6</c:v>
                  </c:pt>
                </c:numCache>
              </c:numRef>
            </c:plus>
            <c:minus>
              <c:numRef>
                <c:f>WindTunnelData!$BU$28:$BU$35</c:f>
                <c:numCache>
                  <c:formatCode>General</c:formatCode>
                  <c:ptCount val="8"/>
                  <c:pt idx="0">
                    <c:v>4.0172641158913343E-3</c:v>
                  </c:pt>
                  <c:pt idx="1">
                    <c:v>-4.1914130061115025E-3</c:v>
                  </c:pt>
                  <c:pt idx="2">
                    <c:v>3.2521230441234469E-4</c:v>
                  </c:pt>
                  <c:pt idx="3">
                    <c:v>-1.4380093712747903E-3</c:v>
                  </c:pt>
                  <c:pt idx="4">
                    <c:v>-3.5305348679896559E-3</c:v>
                  </c:pt>
                  <c:pt idx="5">
                    <c:v>-3.1805635220917027E-3</c:v>
                  </c:pt>
                  <c:pt idx="6">
                    <c:v>-1.2153343597605574E-4</c:v>
                  </c:pt>
                  <c:pt idx="7">
                    <c:v>7.446688804081442E-6</c:v>
                  </c:pt>
                </c:numCache>
              </c:numRef>
            </c:minus>
            <c:spPr>
              <a:noFill/>
              <a:ln w="9525" cap="flat" cmpd="sng" algn="ctr">
                <a:solidFill>
                  <a:schemeClr val="tx1">
                    <a:lumMod val="65000"/>
                    <a:lumOff val="35000"/>
                  </a:schemeClr>
                </a:solidFill>
                <a:round/>
              </a:ln>
              <a:effectLst/>
            </c:spPr>
          </c:errBars>
          <c:xVal>
            <c:numRef>
              <c:f>WindTunnelData!$BP$28:$BP$35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xVal>
          <c:yVal>
            <c:numRef>
              <c:f>WindTunnelData!$BR$28:$BR$35</c:f>
              <c:numCache>
                <c:formatCode>General</c:formatCode>
                <c:ptCount val="8"/>
                <c:pt idx="0">
                  <c:v>2.1662351355030814E-2</c:v>
                </c:pt>
                <c:pt idx="1">
                  <c:v>-7.5846689633636442E-3</c:v>
                </c:pt>
                <c:pt idx="2">
                  <c:v>-3.1835234122176356E-2</c:v>
                </c:pt>
                <c:pt idx="3">
                  <c:v>-5.9512450855139357E-2</c:v>
                </c:pt>
                <c:pt idx="4">
                  <c:v>-8.2657002435307839E-2</c:v>
                </c:pt>
                <c:pt idx="5">
                  <c:v>-0.10439010080848754</c:v>
                </c:pt>
                <c:pt idx="6">
                  <c:v>-0.11532369475119561</c:v>
                </c:pt>
                <c:pt idx="7">
                  <c:v>-0.12775359784350707</c:v>
                </c:pt>
              </c:numCache>
            </c:numRef>
          </c:yVal>
          <c:smooth val="1"/>
          <c:extLst>
            <c:ext xmlns:c16="http://schemas.microsoft.com/office/drawing/2014/chart" uri="{C3380CC4-5D6E-409C-BE32-E72D297353CC}">
              <c16:uniqueId val="{00000001-419C-40D9-AE16-C5667D20A029}"/>
            </c:ext>
          </c:extLst>
        </c:ser>
        <c:ser>
          <c:idx val="2"/>
          <c:order val="2"/>
          <c:tx>
            <c:v>Tail at -2deg</c:v>
          </c:tx>
          <c:spPr>
            <a:ln w="6350" cap="rnd">
              <a:solidFill>
                <a:srgbClr val="00C800"/>
              </a:solidFill>
              <a:round/>
            </a:ln>
            <a:effectLst/>
          </c:spPr>
          <c:marker>
            <c:symbol val="circle"/>
            <c:size val="4"/>
            <c:spPr>
              <a:noFill/>
              <a:ln w="12700">
                <a:solidFill>
                  <a:srgbClr val="00C800"/>
                </a:solidFill>
              </a:ln>
              <a:effectLst/>
            </c:spPr>
          </c:marker>
          <c:errBars>
            <c:errDir val="x"/>
            <c:errBarType val="both"/>
            <c:errValType val="cust"/>
            <c:noEndCap val="0"/>
            <c:plus>
              <c:numRef>
                <c:f>WindTunnelData!$BS$40:$BS$53</c:f>
                <c:numCache>
                  <c:formatCode>General</c:formatCode>
                  <c:ptCount val="14"/>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numCache>
              </c:numRef>
            </c:plus>
            <c:minus>
              <c:numRef>
                <c:f>WindTunnelData!$BS$40:$BS$53</c:f>
                <c:numCache>
                  <c:formatCode>General</c:formatCode>
                  <c:ptCount val="14"/>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WindTunnelData!$BU$40:$BU$53</c:f>
                <c:numCache>
                  <c:formatCode>General</c:formatCode>
                  <c:ptCount val="14"/>
                  <c:pt idx="0">
                    <c:v>4.7364278585413878E-3</c:v>
                  </c:pt>
                  <c:pt idx="1">
                    <c:v>6.3323903159279785E-3</c:v>
                  </c:pt>
                  <c:pt idx="2">
                    <c:v>-4.4294781404146636E-4</c:v>
                  </c:pt>
                  <c:pt idx="3">
                    <c:v>3.9975303064547947E-3</c:v>
                  </c:pt>
                  <c:pt idx="4">
                    <c:v>-1.2861558453071686E-3</c:v>
                  </c:pt>
                  <c:pt idx="5">
                    <c:v>-1.1109580113901401E-3</c:v>
                  </c:pt>
                  <c:pt idx="6">
                    <c:v>-1.0219520796392702E-3</c:v>
                  </c:pt>
                  <c:pt idx="7">
                    <c:v>-6.3105196491910912E-4</c:v>
                  </c:pt>
                  <c:pt idx="8">
                    <c:v>-5.0651637243475222E-3</c:v>
                  </c:pt>
                  <c:pt idx="9">
                    <c:v>-4.4702440607407292E-3</c:v>
                  </c:pt>
                  <c:pt idx="10">
                    <c:v>2.9044179346147933E-2</c:v>
                  </c:pt>
                  <c:pt idx="11">
                    <c:v>6.6445567406462529E-3</c:v>
                  </c:pt>
                  <c:pt idx="12">
                    <c:v>-4.926141730742929E-3</c:v>
                  </c:pt>
                  <c:pt idx="13">
                    <c:v>6.7897257225345668E-3</c:v>
                  </c:pt>
                </c:numCache>
              </c:numRef>
            </c:plus>
            <c:minus>
              <c:numRef>
                <c:f>WindTunnelData!$BU$40:$BU$53</c:f>
                <c:numCache>
                  <c:formatCode>General</c:formatCode>
                  <c:ptCount val="14"/>
                  <c:pt idx="0">
                    <c:v>4.7364278585413878E-3</c:v>
                  </c:pt>
                  <c:pt idx="1">
                    <c:v>6.3323903159279785E-3</c:v>
                  </c:pt>
                  <c:pt idx="2">
                    <c:v>-4.4294781404146636E-4</c:v>
                  </c:pt>
                  <c:pt idx="3">
                    <c:v>3.9975303064547947E-3</c:v>
                  </c:pt>
                  <c:pt idx="4">
                    <c:v>-1.2861558453071686E-3</c:v>
                  </c:pt>
                  <c:pt idx="5">
                    <c:v>-1.1109580113901401E-3</c:v>
                  </c:pt>
                  <c:pt idx="6">
                    <c:v>-1.0219520796392702E-3</c:v>
                  </c:pt>
                  <c:pt idx="7">
                    <c:v>-6.3105196491910912E-4</c:v>
                  </c:pt>
                  <c:pt idx="8">
                    <c:v>-5.0651637243475222E-3</c:v>
                  </c:pt>
                  <c:pt idx="9">
                    <c:v>-4.4702440607407292E-3</c:v>
                  </c:pt>
                  <c:pt idx="10">
                    <c:v>2.9044179346147933E-2</c:v>
                  </c:pt>
                  <c:pt idx="11">
                    <c:v>6.6445567406462529E-3</c:v>
                  </c:pt>
                  <c:pt idx="12">
                    <c:v>-4.926141730742929E-3</c:v>
                  </c:pt>
                  <c:pt idx="13">
                    <c:v>6.7897257225345668E-3</c:v>
                  </c:pt>
                </c:numCache>
              </c:numRef>
            </c:minus>
            <c:spPr>
              <a:noFill/>
              <a:ln w="9525" cap="flat" cmpd="sng" algn="ctr">
                <a:solidFill>
                  <a:schemeClr val="tx1">
                    <a:lumMod val="65000"/>
                    <a:lumOff val="35000"/>
                  </a:schemeClr>
                </a:solidFill>
                <a:round/>
              </a:ln>
              <a:effectLst/>
            </c:spPr>
          </c:errBars>
          <c:xVal>
            <c:numRef>
              <c:f>WindTunnelData!$BP$40:$BP$53</c:f>
              <c:numCache>
                <c:formatCode>General</c:formatCode>
                <c:ptCount val="14"/>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0.92402972560604368</c:v>
                </c:pt>
                <c:pt idx="11">
                  <c:v>0.94405266532769461</c:v>
                </c:pt>
                <c:pt idx="12">
                  <c:v>0.91563291452330309</c:v>
                </c:pt>
                <c:pt idx="13">
                  <c:v>0.79159308109538473</c:v>
                </c:pt>
              </c:numCache>
            </c:numRef>
          </c:xVal>
          <c:yVal>
            <c:numRef>
              <c:f>WindTunnelData!$BR$40:$BR$53</c:f>
              <c:numCache>
                <c:formatCode>General</c:formatCode>
                <c:ptCount val="14"/>
                <c:pt idx="0">
                  <c:v>0.1474312692844876</c:v>
                </c:pt>
                <c:pt idx="1">
                  <c:v>0.10792664431496524</c:v>
                </c:pt>
                <c:pt idx="2">
                  <c:v>7.8435621435410566E-2</c:v>
                </c:pt>
                <c:pt idx="3">
                  <c:v>5.4791581041862332E-2</c:v>
                </c:pt>
                <c:pt idx="4">
                  <c:v>4.0058730541646458E-2</c:v>
                </c:pt>
                <c:pt idx="5">
                  <c:v>1.5913237233048685E-2</c:v>
                </c:pt>
                <c:pt idx="6">
                  <c:v>-1.0603246888405523E-2</c:v>
                </c:pt>
                <c:pt idx="7">
                  <c:v>-2.6318657323667904E-2</c:v>
                </c:pt>
                <c:pt idx="8">
                  <c:v>-3.8891124835149136E-2</c:v>
                </c:pt>
                <c:pt idx="9">
                  <c:v>-5.1853383590107119E-2</c:v>
                </c:pt>
                <c:pt idx="10">
                  <c:v>-8.5756111807711893E-2</c:v>
                </c:pt>
                <c:pt idx="11">
                  <c:v>-9.1821201471782993E-2</c:v>
                </c:pt>
                <c:pt idx="12">
                  <c:v>-0.10830385001992236</c:v>
                </c:pt>
                <c:pt idx="13">
                  <c:v>-0.18296691233243742</c:v>
                </c:pt>
              </c:numCache>
            </c:numRef>
          </c:yVal>
          <c:smooth val="1"/>
          <c:extLst>
            <c:ext xmlns:c16="http://schemas.microsoft.com/office/drawing/2014/chart" uri="{C3380CC4-5D6E-409C-BE32-E72D297353CC}">
              <c16:uniqueId val="{00000002-419C-40D9-AE16-C5667D20A029}"/>
            </c:ext>
          </c:extLst>
        </c:ser>
        <c:ser>
          <c:idx val="3"/>
          <c:order val="3"/>
          <c:tx>
            <c:v>1</c:v>
          </c:tx>
          <c:spPr>
            <a:ln w="9525" cap="rnd">
              <a:solidFill>
                <a:sysClr val="windowText" lastClr="000000"/>
              </a:solidFill>
              <a:round/>
              <a:headEnd type="arrow" w="sm" len="med"/>
              <a:tailEnd type="arrow" w="sm" len="med"/>
            </a:ln>
            <a:effectLst/>
          </c:spPr>
          <c:marker>
            <c:symbol val="none"/>
          </c:marker>
          <c:xVal>
            <c:numRef>
              <c:f>WindTunnelData!$BQ$81:$BR$81</c:f>
              <c:numCache>
                <c:formatCode>General</c:formatCode>
                <c:ptCount val="2"/>
                <c:pt idx="0">
                  <c:v>0.16</c:v>
                </c:pt>
                <c:pt idx="1">
                  <c:v>0.16</c:v>
                </c:pt>
              </c:numCache>
            </c:numRef>
          </c:xVal>
          <c:yVal>
            <c:numRef>
              <c:f>WindTunnelData!$BQ$82:$BQ$83</c:f>
              <c:numCache>
                <c:formatCode>General</c:formatCode>
                <c:ptCount val="2"/>
                <c:pt idx="0">
                  <c:v>9.2499999999999999E-2</c:v>
                </c:pt>
                <c:pt idx="1">
                  <c:v>-1.2500000000000001E-2</c:v>
                </c:pt>
              </c:numCache>
            </c:numRef>
          </c:yVal>
          <c:smooth val="0"/>
          <c:extLst>
            <c:ext xmlns:c16="http://schemas.microsoft.com/office/drawing/2014/chart" uri="{C3380CC4-5D6E-409C-BE32-E72D297353CC}">
              <c16:uniqueId val="{00000007-9AF5-4E14-A027-1B72CC89DA84}"/>
            </c:ext>
          </c:extLst>
        </c:ser>
        <c:ser>
          <c:idx val="4"/>
          <c:order val="4"/>
          <c:tx>
            <c:v>2</c:v>
          </c:tx>
          <c:spPr>
            <a:ln w="9525" cap="rnd">
              <a:solidFill>
                <a:sysClr val="windowText" lastClr="000000"/>
              </a:solidFill>
              <a:round/>
              <a:headEnd type="arrow" w="sm" len="med"/>
              <a:tailEnd type="arrow" w="sm" len="med"/>
            </a:ln>
            <a:effectLst/>
          </c:spPr>
          <c:marker>
            <c:symbol val="none"/>
          </c:marker>
          <c:xVal>
            <c:numRef>
              <c:f>WindTunnelData!$BQ$86:$BR$86</c:f>
              <c:numCache>
                <c:formatCode>General</c:formatCode>
                <c:ptCount val="2"/>
                <c:pt idx="0">
                  <c:v>0.5</c:v>
                </c:pt>
                <c:pt idx="1">
                  <c:v>0.5</c:v>
                </c:pt>
              </c:numCache>
            </c:numRef>
          </c:xVal>
          <c:yVal>
            <c:numRef>
              <c:f>WindTunnelData!$BQ$87:$BQ$88</c:f>
              <c:numCache>
                <c:formatCode>General</c:formatCode>
                <c:ptCount val="2"/>
                <c:pt idx="0">
                  <c:v>4.7E-2</c:v>
                </c:pt>
                <c:pt idx="1">
                  <c:v>-6.5000000000000002E-2</c:v>
                </c:pt>
              </c:numCache>
            </c:numRef>
          </c:yVal>
          <c:smooth val="0"/>
          <c:extLst>
            <c:ext xmlns:c16="http://schemas.microsoft.com/office/drawing/2014/chart" uri="{C3380CC4-5D6E-409C-BE32-E72D297353CC}">
              <c16:uniqueId val="{00000008-9AF5-4E14-A027-1B72CC89DA84}"/>
            </c:ext>
          </c:extLst>
        </c:ser>
        <c:dLbls>
          <c:showLegendKey val="0"/>
          <c:showVal val="0"/>
          <c:showCatName val="0"/>
          <c:showSerName val="0"/>
          <c:showPercent val="0"/>
          <c:showBubbleSize val="0"/>
        </c:dLbls>
        <c:axId val="1804130823"/>
        <c:axId val="1907009031"/>
      </c:scatterChart>
      <c:valAx>
        <c:axId val="1804130823"/>
        <c:scaling>
          <c:orientation val="minMax"/>
          <c:max val="1"/>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t>C</a:t>
                </a:r>
                <a:r>
                  <a:rPr lang="en-MY" baseline="-25000"/>
                  <a:t>L</a:t>
                </a:r>
                <a:endParaRPr lang="en-MY"/>
              </a:p>
            </c:rich>
          </c:tx>
          <c:layout>
            <c:manualLayout>
              <c:xMode val="edge"/>
              <c:yMode val="edge"/>
              <c:x val="0.90057185904627213"/>
              <c:y val="0.42563357991308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MY"/>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009031"/>
        <c:crosses val="autoZero"/>
        <c:crossBetween val="midCat"/>
        <c:majorUnit val="0.1"/>
      </c:valAx>
      <c:valAx>
        <c:axId val="190700903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t>C</a:t>
                </a:r>
                <a:r>
                  <a:rPr lang="en-MY" baseline="-25000"/>
                  <a:t>M</a:t>
                </a:r>
                <a:endParaRPr lang="en-MY"/>
              </a:p>
            </c:rich>
          </c:tx>
          <c:layout>
            <c:manualLayout>
              <c:xMode val="edge"/>
              <c:yMode val="edge"/>
              <c:x val="3.671763276380296E-3"/>
              <c:y val="0.4517206781750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MY"/>
            </a:p>
          </c:txPr>
        </c:title>
        <c:numFmt formatCode="General" sourceLinked="1"/>
        <c:majorTickMark val="cross"/>
        <c:minorTickMark val="cross"/>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4130823"/>
        <c:crosses val="autoZero"/>
        <c:crossBetween val="midCat"/>
      </c:valAx>
      <c:spPr>
        <a:noFill/>
        <a:ln>
          <a:noFill/>
        </a:ln>
        <a:effectLst/>
      </c:spPr>
    </c:plotArea>
    <c:legend>
      <c:legendPos val="r"/>
      <c:legendEntry>
        <c:idx val="3"/>
        <c:delete val="1"/>
      </c:legendEntry>
      <c:legendEntry>
        <c:idx val="4"/>
        <c:delete val="1"/>
      </c:legendEntry>
      <c:layout>
        <c:manualLayout>
          <c:xMode val="edge"/>
          <c:yMode val="edge"/>
          <c:x val="0.18767957742686564"/>
          <c:y val="0.7994138565685035"/>
          <c:w val="0.21232110069419652"/>
          <c:h val="0.15867419848235942"/>
        </c:manualLayout>
      </c:layout>
      <c:overlay val="1"/>
      <c:spPr>
        <a:solidFill>
          <a:sysClr val="window" lastClr="FFFFFF"/>
        </a:solidFill>
        <a:ln w="6350">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MY"/>
              <a:t>Find K</a:t>
            </a:r>
            <a:r>
              <a:rPr lang="en-MY" baseline="-25000"/>
              <a:t>n</a:t>
            </a:r>
            <a:r>
              <a:rPr lang="en-MY"/>
              <a:t>    (16)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0049031862415595E-2"/>
          <c:y val="8.3069711497928828E-2"/>
          <c:w val="0.89418038149622581"/>
          <c:h val="0.88950567393027169"/>
        </c:manualLayout>
      </c:layout>
      <c:scatterChart>
        <c:scatterStyle val="lineMarker"/>
        <c:varyColors val="0"/>
        <c:ser>
          <c:idx val="0"/>
          <c:order val="0"/>
          <c:tx>
            <c:v>No tail</c:v>
          </c:tx>
          <c:spPr>
            <a:ln w="6350" cap="rnd">
              <a:solidFill>
                <a:srgbClr val="0000FF"/>
              </a:solidFill>
              <a:round/>
            </a:ln>
            <a:effectLst/>
          </c:spPr>
          <c:marker>
            <c:symbol val="x"/>
            <c:size val="5"/>
            <c:spPr>
              <a:noFill/>
              <a:ln w="9525">
                <a:solidFill>
                  <a:srgbClr val="0000FF"/>
                </a:solidFill>
              </a:ln>
              <a:effectLst/>
            </c:spPr>
          </c:marker>
          <c:trendline>
            <c:spPr>
              <a:ln w="19050" cap="rnd">
                <a:solidFill>
                  <a:schemeClr val="accent1"/>
                </a:solidFill>
                <a:prstDash val="sysDot"/>
              </a:ln>
              <a:effectLst/>
            </c:spPr>
            <c:trendlineType val="poly"/>
            <c:order val="6"/>
            <c:dispRSqr val="0"/>
            <c:dispEq val="1"/>
            <c:trendlineLbl>
              <c:layout>
                <c:manualLayout>
                  <c:x val="0.12408672979878005"/>
                  <c:y val="-2.511578117020546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xVal>
          <c:yVal>
            <c:numRef>
              <c:f>WindTunnelData!$CG$16:$CG$23</c:f>
              <c:numCache>
                <c:formatCode>General</c:formatCode>
                <c:ptCount val="8"/>
                <c:pt idx="0">
                  <c:v>-4.1673859512401455E-2</c:v>
                </c:pt>
                <c:pt idx="1">
                  <c:v>-2.1884805740009838E-2</c:v>
                </c:pt>
                <c:pt idx="2">
                  <c:v>5.3859656302393203E-3</c:v>
                </c:pt>
                <c:pt idx="3">
                  <c:v>3.2243722361863812E-2</c:v>
                </c:pt>
                <c:pt idx="4">
                  <c:v>6.4487220734366899E-2</c:v>
                </c:pt>
                <c:pt idx="5">
                  <c:v>9.9686695347377743E-2</c:v>
                </c:pt>
                <c:pt idx="6">
                  <c:v>0.13342522970627554</c:v>
                </c:pt>
                <c:pt idx="7">
                  <c:v>0.16020496843036897</c:v>
                </c:pt>
              </c:numCache>
            </c:numRef>
          </c:yVal>
          <c:smooth val="1"/>
          <c:extLst>
            <c:ext xmlns:c16="http://schemas.microsoft.com/office/drawing/2014/chart" uri="{C3380CC4-5D6E-409C-BE32-E72D297353CC}">
              <c16:uniqueId val="{00000000-419C-40D9-AE16-C5667D20A029}"/>
            </c:ext>
          </c:extLst>
        </c:ser>
        <c:ser>
          <c:idx val="1"/>
          <c:order val="1"/>
          <c:tx>
            <c:v>Tail at 1deg</c:v>
          </c:tx>
          <c:spPr>
            <a:ln w="6350" cap="rnd">
              <a:solidFill>
                <a:srgbClr val="FF0000"/>
              </a:solidFill>
              <a:round/>
            </a:ln>
            <a:effectLst/>
          </c:spPr>
          <c:marker>
            <c:symbol val="plus"/>
            <c:size val="5"/>
            <c:spPr>
              <a:noFill/>
              <a:ln w="9525">
                <a:solidFill>
                  <a:srgbClr val="FF0000"/>
                </a:solidFill>
              </a:ln>
              <a:effectLst/>
            </c:spPr>
          </c:marker>
          <c:x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xVal>
          <c:yVal>
            <c:numRef>
              <c:f>WindTunnelData!$CG$28:$CG$35</c:f>
              <c:numCache>
                <c:formatCode>General</c:formatCode>
                <c:ptCount val="8"/>
                <c:pt idx="0">
                  <c:v>2.1195896891492642E-2</c:v>
                </c:pt>
                <c:pt idx="1">
                  <c:v>-5.6150857690871426E-3</c:v>
                </c:pt>
                <c:pt idx="2">
                  <c:v>-2.7530968022783216E-2</c:v>
                </c:pt>
                <c:pt idx="3">
                  <c:v>-5.2837490878815938E-2</c:v>
                </c:pt>
                <c:pt idx="4">
                  <c:v>-7.3635376576834582E-2</c:v>
                </c:pt>
                <c:pt idx="5">
                  <c:v>-9.3504905134992933E-2</c:v>
                </c:pt>
                <c:pt idx="6">
                  <c:v>-0.10283234669125058</c:v>
                </c:pt>
                <c:pt idx="7">
                  <c:v>-0.11390091992202706</c:v>
                </c:pt>
              </c:numCache>
            </c:numRef>
          </c:yVal>
          <c:smooth val="1"/>
          <c:extLst>
            <c:ext xmlns:c16="http://schemas.microsoft.com/office/drawing/2014/chart" uri="{C3380CC4-5D6E-409C-BE32-E72D297353CC}">
              <c16:uniqueId val="{00000001-419C-40D9-AE16-C5667D20A029}"/>
            </c:ext>
          </c:extLst>
        </c:ser>
        <c:ser>
          <c:idx val="2"/>
          <c:order val="2"/>
          <c:tx>
            <c:v>Tail at -2deg</c:v>
          </c:tx>
          <c:spPr>
            <a:ln w="6350" cap="rnd">
              <a:solidFill>
                <a:srgbClr val="00C800"/>
              </a:solidFill>
              <a:round/>
            </a:ln>
            <a:effectLst/>
          </c:spPr>
          <c:marker>
            <c:symbol val="circle"/>
            <c:size val="4"/>
            <c:spPr>
              <a:noFill/>
              <a:ln w="12700">
                <a:solidFill>
                  <a:srgbClr val="00C800"/>
                </a:solidFill>
              </a:ln>
              <a:effectLst/>
            </c:spPr>
          </c:marker>
          <c:xVal>
            <c:numRef>
              <c:f>WindTunnelData!$CE$40:$CE$53</c:f>
              <c:numCache>
                <c:formatCode>General</c:formatCode>
                <c:ptCount val="14"/>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0.92402972560604368</c:v>
                </c:pt>
                <c:pt idx="11">
                  <c:v>0.94405266532769461</c:v>
                </c:pt>
                <c:pt idx="12">
                  <c:v>0.91563291452330309</c:v>
                </c:pt>
                <c:pt idx="13">
                  <c:v>0.79159308109538473</c:v>
                </c:pt>
              </c:numCache>
            </c:numRef>
          </c:xVal>
          <c:yVal>
            <c:numRef>
              <c:f>WindTunnelData!$CG$40:$CG$53</c:f>
              <c:numCache>
                <c:formatCode>General</c:formatCode>
                <c:ptCount val="14"/>
                <c:pt idx="0">
                  <c:v>0.14623731040379345</c:v>
                </c:pt>
                <c:pt idx="1">
                  <c:v>0.1090536072279603</c:v>
                </c:pt>
                <c:pt idx="2">
                  <c:v>8.2014783226847909E-2</c:v>
                </c:pt>
                <c:pt idx="3">
                  <c:v>6.0748570839426905E-2</c:v>
                </c:pt>
                <c:pt idx="4">
                  <c:v>4.825710868783524E-2</c:v>
                </c:pt>
                <c:pt idx="5">
                  <c:v>2.6079721115416732E-2</c:v>
                </c:pt>
                <c:pt idx="6">
                  <c:v>1.2371478677794014E-3</c:v>
                </c:pt>
                <c:pt idx="7">
                  <c:v>-1.3654822208923355E-2</c:v>
                </c:pt>
                <c:pt idx="8">
                  <c:v>-2.5559168539035008E-2</c:v>
                </c:pt>
                <c:pt idx="9">
                  <c:v>-3.7931883578150444E-2</c:v>
                </c:pt>
                <c:pt idx="10">
                  <c:v>-7.2334580043284108E-2</c:v>
                </c:pt>
                <c:pt idx="11">
                  <c:v>-7.8108836507898224E-2</c:v>
                </c:pt>
                <c:pt idx="12">
                  <c:v>-9.5004281936471383E-2</c:v>
                </c:pt>
                <c:pt idx="13">
                  <c:v>-0.17146902282952695</c:v>
                </c:pt>
              </c:numCache>
            </c:numRef>
          </c:yVal>
          <c:smooth val="1"/>
          <c:extLst>
            <c:ext xmlns:c16="http://schemas.microsoft.com/office/drawing/2014/chart" uri="{C3380CC4-5D6E-409C-BE32-E72D297353CC}">
              <c16:uniqueId val="{00000002-419C-40D9-AE16-C5667D20A029}"/>
            </c:ext>
          </c:extLst>
        </c:ser>
        <c:ser>
          <c:idx val="3"/>
          <c:order val="3"/>
          <c:tx>
            <c:v>tangent 1</c:v>
          </c:tx>
          <c:spPr>
            <a:ln w="3175" cap="rnd">
              <a:solidFill>
                <a:sysClr val="windowText" lastClr="000000"/>
              </a:solidFill>
              <a:round/>
            </a:ln>
            <a:effectLst/>
          </c:spPr>
          <c:marker>
            <c:symbol val="none"/>
          </c:marker>
          <c:xVal>
            <c:numRef>
              <c:f>WindTunnelData!$CE$98:$CF$98</c:f>
              <c:numCache>
                <c:formatCode>General</c:formatCode>
                <c:ptCount val="2"/>
                <c:pt idx="0">
                  <c:v>0.05</c:v>
                </c:pt>
                <c:pt idx="1">
                  <c:v>0.15000000000000002</c:v>
                </c:pt>
              </c:numCache>
            </c:numRef>
          </c:xVal>
          <c:yVal>
            <c:numRef>
              <c:f>WindTunnelData!$CG$98:$CH$98</c:f>
              <c:numCache>
                <c:formatCode>General</c:formatCode>
                <c:ptCount val="2"/>
                <c:pt idx="0">
                  <c:v>8.0000000000000002E-3</c:v>
                </c:pt>
                <c:pt idx="1">
                  <c:v>-8.0000000000000036E-3</c:v>
                </c:pt>
              </c:numCache>
            </c:numRef>
          </c:yVal>
          <c:smooth val="0"/>
          <c:extLst>
            <c:ext xmlns:c16="http://schemas.microsoft.com/office/drawing/2014/chart" uri="{C3380CC4-5D6E-409C-BE32-E72D297353CC}">
              <c16:uniqueId val="{00000005-CA6F-4FAC-9D42-8537C326D4E3}"/>
            </c:ext>
          </c:extLst>
        </c:ser>
        <c:ser>
          <c:idx val="4"/>
          <c:order val="4"/>
          <c:tx>
            <c:v>tangent -2</c:v>
          </c:tx>
          <c:spPr>
            <a:ln w="3175" cap="rnd">
              <a:solidFill>
                <a:sysClr val="windowText" lastClr="000000"/>
              </a:solidFill>
              <a:round/>
            </a:ln>
            <a:effectLst/>
          </c:spPr>
          <c:marker>
            <c:symbol val="none"/>
          </c:marker>
          <c:xVal>
            <c:numRef>
              <c:f>WindTunnelData!$CE$99:$CF$99</c:f>
              <c:numCache>
                <c:formatCode>General</c:formatCode>
                <c:ptCount val="2"/>
                <c:pt idx="0">
                  <c:v>0.76999999999999991</c:v>
                </c:pt>
                <c:pt idx="1">
                  <c:v>0.87</c:v>
                </c:pt>
              </c:numCache>
            </c:numRef>
          </c:xVal>
          <c:yVal>
            <c:numRef>
              <c:f>WindTunnelData!$CG$99:$CH$99</c:f>
              <c:numCache>
                <c:formatCode>General</c:formatCode>
                <c:ptCount val="2"/>
                <c:pt idx="0">
                  <c:v>1.2000000000000011E-2</c:v>
                </c:pt>
                <c:pt idx="1">
                  <c:v>-1.2000000000000011E-2</c:v>
                </c:pt>
              </c:numCache>
            </c:numRef>
          </c:yVal>
          <c:smooth val="0"/>
          <c:extLst>
            <c:ext xmlns:c16="http://schemas.microsoft.com/office/drawing/2014/chart" uri="{C3380CC4-5D6E-409C-BE32-E72D297353CC}">
              <c16:uniqueId val="{00000006-CA6F-4FAC-9D42-8537C326D4E3}"/>
            </c:ext>
          </c:extLst>
        </c:ser>
        <c:ser>
          <c:idx val="5"/>
          <c:order val="5"/>
          <c:tx>
            <c:v>intecept 1</c:v>
          </c:tx>
          <c:spPr>
            <a:ln w="6350" cap="rnd">
              <a:noFill/>
              <a:round/>
            </a:ln>
            <a:effectLst/>
          </c:spPr>
          <c:marker>
            <c:symbol val="x"/>
            <c:size val="5"/>
            <c:spPr>
              <a:noFill/>
              <a:ln w="6350">
                <a:solidFill>
                  <a:sysClr val="windowText" lastClr="000000"/>
                </a:solidFill>
              </a:ln>
              <a:effectLst/>
            </c:spPr>
          </c:marker>
          <c:xVal>
            <c:numRef>
              <c:f>WindTunnelData!$CF$92</c:f>
              <c:numCache>
                <c:formatCode>General</c:formatCode>
                <c:ptCount val="1"/>
                <c:pt idx="0">
                  <c:v>0.1</c:v>
                </c:pt>
              </c:numCache>
            </c:numRef>
          </c:xVal>
          <c:yVal>
            <c:numLit>
              <c:formatCode>General</c:formatCode>
              <c:ptCount val="1"/>
              <c:pt idx="0">
                <c:v>0</c:v>
              </c:pt>
            </c:numLit>
          </c:yVal>
          <c:smooth val="0"/>
          <c:extLst>
            <c:ext xmlns:c16="http://schemas.microsoft.com/office/drawing/2014/chart" uri="{C3380CC4-5D6E-409C-BE32-E72D297353CC}">
              <c16:uniqueId val="{00000007-CA6F-4FAC-9D42-8537C326D4E3}"/>
            </c:ext>
          </c:extLst>
        </c:ser>
        <c:ser>
          <c:idx val="6"/>
          <c:order val="6"/>
          <c:tx>
            <c:v>intercept 2</c:v>
          </c:tx>
          <c:spPr>
            <a:ln w="19050" cap="rnd">
              <a:solidFill>
                <a:schemeClr val="accent1">
                  <a:lumMod val="60000"/>
                </a:schemeClr>
              </a:solidFill>
              <a:round/>
            </a:ln>
            <a:effectLst/>
          </c:spPr>
          <c:marker>
            <c:symbol val="x"/>
            <c:size val="5"/>
            <c:spPr>
              <a:noFill/>
              <a:ln w="6350">
                <a:solidFill>
                  <a:sysClr val="windowText" lastClr="000000"/>
                </a:solidFill>
              </a:ln>
              <a:effectLst/>
            </c:spPr>
          </c:marker>
          <c:xVal>
            <c:numRef>
              <c:f>WindTunnelData!$CF$93</c:f>
              <c:numCache>
                <c:formatCode>General</c:formatCode>
                <c:ptCount val="1"/>
                <c:pt idx="0">
                  <c:v>0.82</c:v>
                </c:pt>
              </c:numCache>
            </c:numRef>
          </c:xVal>
          <c:yVal>
            <c:numLit>
              <c:formatCode>General</c:formatCode>
              <c:ptCount val="1"/>
              <c:pt idx="0">
                <c:v>0</c:v>
              </c:pt>
            </c:numLit>
          </c:yVal>
          <c:smooth val="0"/>
          <c:extLst>
            <c:ext xmlns:c16="http://schemas.microsoft.com/office/drawing/2014/chart" uri="{C3380CC4-5D6E-409C-BE32-E72D297353CC}">
              <c16:uniqueId val="{00000008-CA6F-4FAC-9D42-8537C326D4E3}"/>
            </c:ext>
          </c:extLst>
        </c:ser>
        <c:dLbls>
          <c:showLegendKey val="0"/>
          <c:showVal val="0"/>
          <c:showCatName val="0"/>
          <c:showSerName val="0"/>
          <c:showPercent val="0"/>
          <c:showBubbleSize val="0"/>
        </c:dLbls>
        <c:axId val="1804130823"/>
        <c:axId val="1907009031"/>
      </c:scatterChart>
      <c:valAx>
        <c:axId val="1804130823"/>
        <c:scaling>
          <c:orientation val="minMax"/>
          <c:max val="1"/>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MY" sz="1600"/>
                  <a:t>C</a:t>
                </a:r>
                <a:r>
                  <a:rPr lang="en-MY" sz="1600" baseline="-25000"/>
                  <a:t>L</a:t>
                </a:r>
                <a:endParaRPr lang="en-MY" sz="1600"/>
              </a:p>
            </c:rich>
          </c:tx>
          <c:layout>
            <c:manualLayout>
              <c:xMode val="edge"/>
              <c:yMode val="edge"/>
              <c:x val="0.898146183294391"/>
              <c:y val="0.405247874917247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MY"/>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009031"/>
        <c:crosses val="autoZero"/>
        <c:crossBetween val="midCat"/>
        <c:majorUnit val="0.1"/>
      </c:valAx>
      <c:valAx>
        <c:axId val="190700903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MY" sz="1600"/>
                  <a:t>C</a:t>
                </a:r>
                <a:r>
                  <a:rPr lang="en-MY" sz="1600" baseline="-25000"/>
                  <a:t>M</a:t>
                </a:r>
                <a:endParaRPr lang="en-MY" sz="1600"/>
              </a:p>
            </c:rich>
          </c:tx>
          <c:layout>
            <c:manualLayout>
              <c:xMode val="edge"/>
              <c:yMode val="edge"/>
              <c:x val="3.671763276380296E-3"/>
              <c:y val="0.451720678175073"/>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MY"/>
            </a:p>
          </c:txPr>
        </c:title>
        <c:numFmt formatCode="General" sourceLinked="1"/>
        <c:majorTickMark val="cross"/>
        <c:minorTickMark val="cross"/>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4130823"/>
        <c:crosses val="autoZero"/>
        <c:crossBetween val="midCat"/>
      </c:valAx>
      <c:spPr>
        <a:noFill/>
        <a:ln>
          <a:noFill/>
        </a:ln>
        <a:effectLst/>
      </c:spPr>
    </c:plotArea>
    <c:legend>
      <c:legendPos val="r"/>
      <c:legendEntry>
        <c:idx val="3"/>
        <c:delete val="1"/>
      </c:legendEntry>
      <c:legendEntry>
        <c:idx val="4"/>
        <c:delete val="1"/>
      </c:legendEntry>
      <c:legendEntry>
        <c:idx val="5"/>
        <c:delete val="1"/>
      </c:legendEntry>
      <c:legendEntry>
        <c:idx val="6"/>
        <c:delete val="1"/>
      </c:legendEntry>
      <c:layout>
        <c:manualLayout>
          <c:xMode val="edge"/>
          <c:yMode val="edge"/>
          <c:x val="0.23833920310426787"/>
          <c:y val="0.68855052520072468"/>
          <c:w val="0.12714240536806035"/>
          <c:h val="0.1091023679555596"/>
        </c:manualLayout>
      </c:layout>
      <c:overlay val="1"/>
      <c:spPr>
        <a:solidFill>
          <a:sysClr val="window" lastClr="FFFFFF"/>
        </a:solidFill>
        <a:ln w="6350">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MY"/>
              <a:t>Fin</a:t>
            </a:r>
            <a:r>
              <a:rPr lang="en-MY" baseline="0"/>
              <a:t>d abusolute error in dCM/diH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184476680187173E-2"/>
          <c:y val="0.13160872361739503"/>
          <c:w val="0.8723846255372939"/>
          <c:h val="0.84096681307724852"/>
        </c:manualLayout>
      </c:layout>
      <c:scatterChart>
        <c:scatterStyle val="lineMarker"/>
        <c:varyColors val="0"/>
        <c:ser>
          <c:idx val="0"/>
          <c:order val="0"/>
          <c:tx>
            <c:v>No tail</c:v>
          </c:tx>
          <c:spPr>
            <a:ln w="6350" cap="rnd">
              <a:solidFill>
                <a:srgbClr val="0000FF"/>
              </a:solidFill>
              <a:round/>
            </a:ln>
            <a:effectLst/>
          </c:spPr>
          <c:marker>
            <c:symbol val="x"/>
            <c:size val="5"/>
            <c:spPr>
              <a:noFill/>
              <a:ln w="9525">
                <a:solidFill>
                  <a:srgbClr val="0000FF"/>
                </a:solidFill>
              </a:ln>
              <a:effectLst/>
            </c:spPr>
          </c:marker>
          <c:xVal>
            <c:numRef>
              <c:f>WindTunnelData!$BP$16:$BP$23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xVal>
          <c:yVal>
            <c:numRef>
              <c:f>WindTunnelData!$BR$16:$BR$23</c:f>
              <c:numCache>
                <c:formatCode>General</c:formatCode>
                <c:ptCount val="8"/>
                <c:pt idx="0">
                  <c:v>-4.1673859512401455E-2</c:v>
                </c:pt>
                <c:pt idx="1">
                  <c:v>-2.1884805740009838E-2</c:v>
                </c:pt>
                <c:pt idx="2">
                  <c:v>5.3859656302393203E-3</c:v>
                </c:pt>
                <c:pt idx="3">
                  <c:v>3.2243722361863812E-2</c:v>
                </c:pt>
                <c:pt idx="4">
                  <c:v>6.4487220734366899E-2</c:v>
                </c:pt>
                <c:pt idx="5">
                  <c:v>9.9686695347377743E-2</c:v>
                </c:pt>
                <c:pt idx="6">
                  <c:v>0.13342522970627554</c:v>
                </c:pt>
                <c:pt idx="7">
                  <c:v>0.16020496843036897</c:v>
                </c:pt>
              </c:numCache>
            </c:numRef>
          </c:yVal>
          <c:smooth val="1"/>
          <c:extLst>
            <c:ext xmlns:c16="http://schemas.microsoft.com/office/drawing/2014/chart" uri="{C3380CC4-5D6E-409C-BE32-E72D297353CC}">
              <c16:uniqueId val="{00000000-419C-40D9-AE16-C5667D20A029}"/>
            </c:ext>
          </c:extLst>
        </c:ser>
        <c:ser>
          <c:idx val="1"/>
          <c:order val="1"/>
          <c:tx>
            <c:v>Tail at 1deg</c:v>
          </c:tx>
          <c:spPr>
            <a:ln w="6350" cap="rnd">
              <a:solidFill>
                <a:srgbClr val="FF0000"/>
              </a:solidFill>
              <a:round/>
            </a:ln>
            <a:effectLst/>
          </c:spPr>
          <c:marker>
            <c:symbol val="plus"/>
            <c:size val="5"/>
            <c:spPr>
              <a:noFill/>
              <a:ln w="9525">
                <a:solidFill>
                  <a:srgbClr val="FF0000"/>
                </a:solidFill>
              </a:ln>
              <a:effectLst/>
            </c:spPr>
          </c:marker>
          <c:xVal>
            <c:numRef>
              <c:f>WindTunnelData!$BW$28:$BW$35</c:f>
              <c:numCache>
                <c:formatCode>General</c:formatCode>
                <c:ptCount val="8"/>
                <c:pt idx="0">
                  <c:v>-4.4148167169173358E-2</c:v>
                </c:pt>
                <c:pt idx="1">
                  <c:v>0.12057578854482609</c:v>
                </c:pt>
                <c:pt idx="2">
                  <c:v>0.28014905941268436</c:v>
                </c:pt>
                <c:pt idx="3">
                  <c:v>0.44489542726953041</c:v>
                </c:pt>
                <c:pt idx="4">
                  <c:v>0.60726313840605317</c:v>
                </c:pt>
                <c:pt idx="5">
                  <c:v>0.73595605781072571</c:v>
                </c:pt>
                <c:pt idx="6">
                  <c:v>0.84421981760845533</c:v>
                </c:pt>
                <c:pt idx="7">
                  <c:v>0.93850477676820898</c:v>
                </c:pt>
              </c:numCache>
            </c:numRef>
          </c:xVal>
          <c:yVal>
            <c:numRef>
              <c:f>WindTunnelData!$BX$28:$BX$35</c:f>
              <c:numCache>
                <c:formatCode>General</c:formatCode>
                <c:ptCount val="8"/>
                <c:pt idx="0">
                  <c:v>1.7645087239139479E-2</c:v>
                </c:pt>
                <c:pt idx="1">
                  <c:v>-1.1776081969475147E-2</c:v>
                </c:pt>
                <c:pt idx="2">
                  <c:v>-3.2160446426588704E-2</c:v>
                </c:pt>
                <c:pt idx="3">
                  <c:v>-6.0950460226414149E-2</c:v>
                </c:pt>
                <c:pt idx="4">
                  <c:v>-8.6187537303297493E-2</c:v>
                </c:pt>
                <c:pt idx="5">
                  <c:v>-0.10757066433057924</c:v>
                </c:pt>
                <c:pt idx="6">
                  <c:v>-0.11544522818717166</c:v>
                </c:pt>
                <c:pt idx="7">
                  <c:v>-0.12776104453231116</c:v>
                </c:pt>
              </c:numCache>
            </c:numRef>
          </c:yVal>
          <c:smooth val="1"/>
          <c:extLst>
            <c:ext xmlns:c16="http://schemas.microsoft.com/office/drawing/2014/chart" uri="{C3380CC4-5D6E-409C-BE32-E72D297353CC}">
              <c16:uniqueId val="{00000001-419C-40D9-AE16-C5667D20A029}"/>
            </c:ext>
          </c:extLst>
        </c:ser>
        <c:ser>
          <c:idx val="2"/>
          <c:order val="2"/>
          <c:tx>
            <c:v>Tail at -2deg</c:v>
          </c:tx>
          <c:spPr>
            <a:ln w="6350" cap="rnd">
              <a:solidFill>
                <a:srgbClr val="00C800"/>
              </a:solidFill>
              <a:round/>
            </a:ln>
            <a:effectLst/>
          </c:spPr>
          <c:marker>
            <c:symbol val="circle"/>
            <c:size val="4"/>
            <c:spPr>
              <a:noFill/>
              <a:ln w="12700">
                <a:solidFill>
                  <a:srgbClr val="00C800"/>
                </a:solidFill>
              </a:ln>
              <a:effectLst/>
            </c:spPr>
          </c:marker>
          <c:xVal>
            <c:numRef>
              <c:f>WindTunnelData!$BW$40:$BW$53</c:f>
              <c:numCache>
                <c:formatCode>General</c:formatCode>
                <c:ptCount val="14"/>
                <c:pt idx="0">
                  <c:v>-6.3492585990445605E-2</c:v>
                </c:pt>
                <c:pt idx="1">
                  <c:v>9.5339832824320445E-2</c:v>
                </c:pt>
                <c:pt idx="2">
                  <c:v>0.26173501838295443</c:v>
                </c:pt>
                <c:pt idx="3">
                  <c:v>0.42519690309039215</c:v>
                </c:pt>
                <c:pt idx="4">
                  <c:v>0.57642609216565988</c:v>
                </c:pt>
                <c:pt idx="5">
                  <c:v>0.71671972239760784</c:v>
                </c:pt>
                <c:pt idx="6">
                  <c:v>0.83294215014917827</c:v>
                </c:pt>
                <c:pt idx="7">
                  <c:v>0.89170705260077043</c:v>
                </c:pt>
                <c:pt idx="8">
                  <c:v>0.93973250203862568</c:v>
                </c:pt>
                <c:pt idx="9">
                  <c:v>0.97982176387251574</c:v>
                </c:pt>
                <c:pt idx="10">
                  <c:v>0.96052136186990178</c:v>
                </c:pt>
                <c:pt idx="11">
                  <c:v>0.97942628721705416</c:v>
                </c:pt>
                <c:pt idx="12">
                  <c:v>0.95765738711370096</c:v>
                </c:pt>
                <c:pt idx="13">
                  <c:v>0.83792003358707212</c:v>
                </c:pt>
              </c:numCache>
            </c:numRef>
          </c:xVal>
          <c:yVal>
            <c:numRef>
              <c:f>WindTunnelData!$BX$40:$BX$53</c:f>
              <c:numCache>
                <c:formatCode>General</c:formatCode>
                <c:ptCount val="14"/>
                <c:pt idx="0">
                  <c:v>0.152167697143029</c:v>
                </c:pt>
                <c:pt idx="1">
                  <c:v>0.11425903463089321</c:v>
                </c:pt>
                <c:pt idx="2">
                  <c:v>7.8878569249452038E-2</c:v>
                </c:pt>
                <c:pt idx="3">
                  <c:v>5.878911134831713E-2</c:v>
                </c:pt>
                <c:pt idx="4">
                  <c:v>4.1344886386953626E-2</c:v>
                </c:pt>
                <c:pt idx="5">
                  <c:v>1.7024195244438826E-2</c:v>
                </c:pt>
                <c:pt idx="6">
                  <c:v>-9.5812948087662525E-3</c:v>
                </c:pt>
                <c:pt idx="7">
                  <c:v>-2.5687605358748793E-2</c:v>
                </c:pt>
                <c:pt idx="8">
                  <c:v>-3.3825961110801613E-2</c:v>
                </c:pt>
                <c:pt idx="9">
                  <c:v>-4.7383139529366389E-2</c:v>
                </c:pt>
                <c:pt idx="10">
                  <c:v>-5.671193246156396E-2</c:v>
                </c:pt>
                <c:pt idx="11">
                  <c:v>-8.5176644731136744E-2</c:v>
                </c:pt>
                <c:pt idx="12">
                  <c:v>-0.10337770828917943</c:v>
                </c:pt>
                <c:pt idx="13">
                  <c:v>-0.17617718660990286</c:v>
                </c:pt>
              </c:numCache>
            </c:numRef>
          </c:yVal>
          <c:smooth val="1"/>
          <c:extLst>
            <c:ext xmlns:c16="http://schemas.microsoft.com/office/drawing/2014/chart" uri="{C3380CC4-5D6E-409C-BE32-E72D297353CC}">
              <c16:uniqueId val="{00000002-419C-40D9-AE16-C5667D20A029}"/>
            </c:ext>
          </c:extLst>
        </c:ser>
        <c:ser>
          <c:idx val="3"/>
          <c:order val="3"/>
          <c:tx>
            <c:v>1</c:v>
          </c:tx>
          <c:spPr>
            <a:ln w="6350" cap="rnd">
              <a:solidFill>
                <a:sysClr val="windowText" lastClr="000000"/>
              </a:solidFill>
              <a:round/>
              <a:headEnd type="arrow" w="sm" len="med"/>
              <a:tailEnd type="arrow" w="sm" len="med"/>
            </a:ln>
            <a:effectLst/>
          </c:spPr>
          <c:marker>
            <c:symbol val="none"/>
          </c:marker>
          <c:xVal>
            <c:numRef>
              <c:f>WindTunnelData!$BW$81:$BX$81</c:f>
              <c:numCache>
                <c:formatCode>General</c:formatCode>
                <c:ptCount val="2"/>
                <c:pt idx="0">
                  <c:v>0.16</c:v>
                </c:pt>
                <c:pt idx="1">
                  <c:v>0.16</c:v>
                </c:pt>
              </c:numCache>
            </c:numRef>
          </c:xVal>
          <c:yVal>
            <c:numRef>
              <c:f>WindTunnelData!$BW$82:$BW$83</c:f>
              <c:numCache>
                <c:formatCode>General</c:formatCode>
                <c:ptCount val="2"/>
                <c:pt idx="0">
                  <c:v>0.1</c:v>
                </c:pt>
                <c:pt idx="1">
                  <c:v>-1.7500000000000002E-2</c:v>
                </c:pt>
              </c:numCache>
            </c:numRef>
          </c:yVal>
          <c:smooth val="0"/>
          <c:extLst>
            <c:ext xmlns:c16="http://schemas.microsoft.com/office/drawing/2014/chart" uri="{C3380CC4-5D6E-409C-BE32-E72D297353CC}">
              <c16:uniqueId val="{00000007-9AF5-4E14-A027-1B72CC89DA84}"/>
            </c:ext>
          </c:extLst>
        </c:ser>
        <c:ser>
          <c:idx val="4"/>
          <c:order val="4"/>
          <c:tx>
            <c:v>2</c:v>
          </c:tx>
          <c:spPr>
            <a:ln w="6350" cap="rnd">
              <a:solidFill>
                <a:sysClr val="windowText" lastClr="000000"/>
              </a:solidFill>
              <a:round/>
              <a:headEnd type="arrow" w="sm" len="med"/>
              <a:tailEnd type="arrow" w="sm" len="med"/>
            </a:ln>
            <a:effectLst/>
          </c:spPr>
          <c:marker>
            <c:symbol val="none"/>
          </c:marker>
          <c:xVal>
            <c:numRef>
              <c:f>WindTunnelData!$BW$86:$BX$86</c:f>
              <c:numCache>
                <c:formatCode>General</c:formatCode>
                <c:ptCount val="2"/>
                <c:pt idx="0">
                  <c:v>0.5</c:v>
                </c:pt>
                <c:pt idx="1">
                  <c:v>0.5</c:v>
                </c:pt>
              </c:numCache>
            </c:numRef>
          </c:xVal>
          <c:yVal>
            <c:numRef>
              <c:f>WindTunnelData!$BW$87:$BW$88</c:f>
              <c:numCache>
                <c:formatCode>General</c:formatCode>
                <c:ptCount val="2"/>
                <c:pt idx="0">
                  <c:v>5.0999999999999997E-2</c:v>
                </c:pt>
                <c:pt idx="1">
                  <c:v>-7.0000000000000007E-2</c:v>
                </c:pt>
              </c:numCache>
            </c:numRef>
          </c:yVal>
          <c:smooth val="0"/>
          <c:extLst>
            <c:ext xmlns:c16="http://schemas.microsoft.com/office/drawing/2014/chart" uri="{C3380CC4-5D6E-409C-BE32-E72D297353CC}">
              <c16:uniqueId val="{00000008-9AF5-4E14-A027-1B72CC89DA84}"/>
            </c:ext>
          </c:extLst>
        </c:ser>
        <c:dLbls>
          <c:showLegendKey val="0"/>
          <c:showVal val="0"/>
          <c:showCatName val="0"/>
          <c:showSerName val="0"/>
          <c:showPercent val="0"/>
          <c:showBubbleSize val="0"/>
        </c:dLbls>
        <c:axId val="1804130823"/>
        <c:axId val="1907009031"/>
      </c:scatterChart>
      <c:valAx>
        <c:axId val="1804130823"/>
        <c:scaling>
          <c:orientation val="minMax"/>
          <c:max val="1"/>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t>C</a:t>
                </a:r>
                <a:r>
                  <a:rPr lang="en-MY" baseline="-25000"/>
                  <a:t>L</a:t>
                </a:r>
                <a:endParaRPr lang="en-MY"/>
              </a:p>
            </c:rich>
          </c:tx>
          <c:layout>
            <c:manualLayout>
              <c:xMode val="edge"/>
              <c:yMode val="edge"/>
              <c:x val="0.90057185904627213"/>
              <c:y val="0.42563357991308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MY"/>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009031"/>
        <c:crosses val="autoZero"/>
        <c:crossBetween val="midCat"/>
        <c:majorUnit val="0.1"/>
      </c:valAx>
      <c:valAx>
        <c:axId val="190700903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t>C</a:t>
                </a:r>
                <a:r>
                  <a:rPr lang="en-MY" baseline="-25000"/>
                  <a:t>M</a:t>
                </a:r>
                <a:endParaRPr lang="en-MY"/>
              </a:p>
            </c:rich>
          </c:tx>
          <c:layout>
            <c:manualLayout>
              <c:xMode val="edge"/>
              <c:yMode val="edge"/>
              <c:x val="3.671763276380296E-3"/>
              <c:y val="0.4517206781750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MY"/>
            </a:p>
          </c:txPr>
        </c:title>
        <c:numFmt formatCode="General" sourceLinked="1"/>
        <c:majorTickMark val="cross"/>
        <c:minorTickMark val="cross"/>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4130823"/>
        <c:crosses val="autoZero"/>
        <c:crossBetween val="midCat"/>
      </c:valAx>
      <c:spPr>
        <a:noFill/>
        <a:ln>
          <a:noFill/>
        </a:ln>
        <a:effectLst/>
      </c:spPr>
    </c:plotArea>
    <c:legend>
      <c:legendPos val="r"/>
      <c:legendEntry>
        <c:idx val="3"/>
        <c:delete val="1"/>
      </c:legendEntry>
      <c:legendEntry>
        <c:idx val="4"/>
        <c:delete val="1"/>
      </c:legendEntry>
      <c:layout>
        <c:manualLayout>
          <c:xMode val="edge"/>
          <c:yMode val="edge"/>
          <c:x val="0.17990429569110553"/>
          <c:y val="0.80755366277123353"/>
          <c:w val="0.20406344515873406"/>
          <c:h val="0.15353071885662081"/>
        </c:manualLayout>
      </c:layout>
      <c:overlay val="1"/>
      <c:spPr>
        <a:solidFill>
          <a:sysClr val="window" lastClr="FFFFFF"/>
        </a:solidFill>
        <a:ln w="6350">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C</a:t>
            </a:r>
            <a:r>
              <a:rPr lang="en-US" sz="2000" baseline="-25000">
                <a:solidFill>
                  <a:schemeClr val="tx1"/>
                </a:solidFill>
              </a:rPr>
              <a:t>D</a:t>
            </a:r>
            <a:r>
              <a:rPr lang="en-US" sz="2000" baseline="0">
                <a:solidFill>
                  <a:schemeClr val="tx1"/>
                </a:solidFill>
              </a:rPr>
              <a:t> vs C</a:t>
            </a:r>
            <a:r>
              <a:rPr lang="en-US" sz="2000" baseline="-25000">
                <a:solidFill>
                  <a:schemeClr val="tx1"/>
                </a:solidFill>
              </a:rPr>
              <a:t>L</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2.867140232767084E-2"/>
          <c:y val="3.6975015508149689E-2"/>
          <c:w val="0.9546545897768961"/>
          <c:h val="0.88774055972804544"/>
        </c:manualLayout>
      </c:layout>
      <c:scatterChart>
        <c:scatterStyle val="smoothMarker"/>
        <c:varyColors val="0"/>
        <c:ser>
          <c:idx val="0"/>
          <c:order val="0"/>
          <c:tx>
            <c:v>Flight test</c:v>
          </c:tx>
          <c:spPr>
            <a:ln w="19050" cap="rnd">
              <a:noFill/>
              <a:round/>
            </a:ln>
            <a:effectLst/>
          </c:spPr>
          <c:marker>
            <c:symbol val="x"/>
            <c:size val="6"/>
            <c:spPr>
              <a:noFill/>
              <a:ln w="9525">
                <a:solidFill>
                  <a:schemeClr val="tx1"/>
                </a:solidFill>
              </a:ln>
              <a:effectLst/>
            </c:spPr>
          </c:marker>
          <c:trendline>
            <c:name>Flight test</c:name>
            <c:spPr>
              <a:ln w="9525" cap="rnd">
                <a:solidFill>
                  <a:schemeClr val="tx1"/>
                </a:solidFill>
                <a:prstDash val="solid"/>
              </a:ln>
              <a:effectLst/>
            </c:spPr>
            <c:trendlineType val="poly"/>
            <c:order val="2"/>
            <c:dispRSqr val="0"/>
            <c:dispEq val="0"/>
          </c:trendline>
          <c:errBars>
            <c:errDir val="x"/>
            <c:errBarType val="both"/>
            <c:errValType val="cust"/>
            <c:noEndCap val="0"/>
            <c:pl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plus>
            <c:min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minus>
            <c:spPr>
              <a:noFill/>
              <a:ln w="6350" cap="flat" cmpd="sng" algn="ctr">
                <a:solidFill>
                  <a:schemeClr val="tx1"/>
                </a:solidFill>
                <a:round/>
              </a:ln>
              <a:effectLst/>
            </c:spPr>
          </c:errBars>
          <c:errBars>
            <c:errDir val="y"/>
            <c:errBarType val="both"/>
            <c:errValType val="cust"/>
            <c:noEndCap val="0"/>
            <c:pl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plus>
            <c:min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minus>
            <c:spPr>
              <a:noFill/>
              <a:ln w="6350" cap="flat" cmpd="sng" algn="ctr">
                <a:solidFill>
                  <a:schemeClr val="tx1"/>
                </a:solidFill>
                <a:round/>
              </a:ln>
              <a:effectLst/>
            </c:spPr>
          </c:errBars>
          <c:xVal>
            <c:numRef>
              <c:f>FlightSimData!$AC$52:$AC$64</c:f>
              <c:numCache>
                <c:formatCode>General</c:formatCode>
                <c:ptCount val="13"/>
                <c:pt idx="0">
                  <c:v>0.69409115360927132</c:v>
                </c:pt>
                <c:pt idx="1">
                  <c:v>0.48381889011000306</c:v>
                </c:pt>
                <c:pt idx="2">
                  <c:v>0.37708328669135482</c:v>
                </c:pt>
                <c:pt idx="3">
                  <c:v>0.28905052552919225</c:v>
                </c:pt>
                <c:pt idx="4">
                  <c:v>0.25318284638885724</c:v>
                </c:pt>
                <c:pt idx="5">
                  <c:v>0.22864759801155807</c:v>
                </c:pt>
                <c:pt idx="6">
                  <c:v>0.19319913051511739</c:v>
                </c:pt>
                <c:pt idx="7">
                  <c:v>0.19320402614127932</c:v>
                </c:pt>
                <c:pt idx="8">
                  <c:v>0.18559315542514473</c:v>
                </c:pt>
                <c:pt idx="9">
                  <c:v>0.15875777994754964</c:v>
                </c:pt>
                <c:pt idx="10">
                  <c:v>0.14243763557651026</c:v>
                </c:pt>
                <c:pt idx="11">
                  <c:v>0.13211146280964212</c:v>
                </c:pt>
                <c:pt idx="12">
                  <c:v>0.11727130760031977</c:v>
                </c:pt>
              </c:numCache>
            </c:numRef>
          </c:xVal>
          <c:yVal>
            <c:numRef>
              <c:f>FlightSimData!$AE$52:$AE$64</c:f>
              <c:numCache>
                <c:formatCode>General</c:formatCode>
                <c:ptCount val="13"/>
                <c:pt idx="0">
                  <c:v>3.6284670493903041E-2</c:v>
                </c:pt>
                <c:pt idx="1">
                  <c:v>2.3224846879241843E-2</c:v>
                </c:pt>
                <c:pt idx="2">
                  <c:v>1.9304170652078595E-2</c:v>
                </c:pt>
                <c:pt idx="3">
                  <c:v>1.4770528939999533E-2</c:v>
                </c:pt>
                <c:pt idx="4">
                  <c:v>1.5566759215883231E-2</c:v>
                </c:pt>
                <c:pt idx="5">
                  <c:v>1.3058823472657599E-2</c:v>
                </c:pt>
                <c:pt idx="6">
                  <c:v>1.3993885106919597E-2</c:v>
                </c:pt>
                <c:pt idx="7">
                  <c:v>1.960200339107087E-2</c:v>
                </c:pt>
                <c:pt idx="8">
                  <c:v>1.4098960193129067E-2</c:v>
                </c:pt>
                <c:pt idx="9">
                  <c:v>1.4566911533863951E-2</c:v>
                </c:pt>
                <c:pt idx="10">
                  <c:v>1.364348326922564E-2</c:v>
                </c:pt>
                <c:pt idx="11">
                  <c:v>1.6785980262405555E-2</c:v>
                </c:pt>
                <c:pt idx="12">
                  <c:v>2.1164682034744926E-2</c:v>
                </c:pt>
              </c:numCache>
            </c:numRef>
          </c:yVal>
          <c:smooth val="1"/>
          <c:extLst>
            <c:ext xmlns:c16="http://schemas.microsoft.com/office/drawing/2014/chart" uri="{C3380CC4-5D6E-409C-BE32-E72D297353CC}">
              <c16:uniqueId val="{00000001-E084-4421-B0F6-2B5FD99B4664}"/>
            </c:ext>
          </c:extLst>
        </c:ser>
        <c:ser>
          <c:idx val="1"/>
          <c:order val="1"/>
          <c:tx>
            <c:v>Wind tunnel, No tail</c:v>
          </c:tx>
          <c:spPr>
            <a:ln w="25400" cap="rnd">
              <a:noFill/>
              <a:round/>
            </a:ln>
            <a:effectLst/>
          </c:spPr>
          <c:marker>
            <c:symbol val="circle"/>
            <c:size val="5"/>
            <c:spPr>
              <a:noFill/>
              <a:ln w="9525">
                <a:solidFill>
                  <a:srgbClr val="FF0000"/>
                </a:solidFill>
              </a:ln>
              <a:effectLst/>
            </c:spPr>
          </c:marker>
          <c:trendline>
            <c:name>Wind tunnel, No tail</c:name>
            <c:spPr>
              <a:ln w="19050" cap="rnd">
                <a:solidFill>
                  <a:srgbClr val="FF0000"/>
                </a:solidFill>
                <a:prstDash val="sysDot"/>
              </a:ln>
              <a:effectLst/>
            </c:spPr>
            <c:trendlineType val="poly"/>
            <c:order val="2"/>
            <c:dispRSqr val="0"/>
            <c:dispEq val="0"/>
          </c:trendline>
          <c:errBars>
            <c:errDir val="x"/>
            <c:errBarType val="both"/>
            <c:errValType val="cust"/>
            <c:noEndCap val="0"/>
            <c:pl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errBars>
            <c:errDir val="y"/>
            <c:errBarType val="both"/>
            <c:errValType val="cust"/>
            <c:noEndCap val="0"/>
            <c:pl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plus>
            <c:min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minus>
            <c:spPr>
              <a:noFill/>
              <a:ln w="6350" cap="flat" cmpd="sng" algn="ctr">
                <a:solidFill>
                  <a:srgbClr val="FF0000"/>
                </a:solidFill>
                <a:round/>
              </a:ln>
              <a:effectLst/>
            </c:spPr>
          </c:errBars>
          <c:x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xVal>
          <c:yVal>
            <c:numRef>
              <c:f>WindTunnelData!$CF$16:$CF$23</c:f>
              <c:numCache>
                <c:formatCode>General</c:formatCode>
                <c:ptCount val="8"/>
                <c:pt idx="0">
                  <c:v>2.2788575242373904E-2</c:v>
                </c:pt>
                <c:pt idx="1">
                  <c:v>2.1499657916776167E-2</c:v>
                </c:pt>
                <c:pt idx="2">
                  <c:v>2.4315835428577383E-2</c:v>
                </c:pt>
                <c:pt idx="3">
                  <c:v>3.2029448189546388E-2</c:v>
                </c:pt>
                <c:pt idx="4">
                  <c:v>4.133202828660941E-2</c:v>
                </c:pt>
                <c:pt idx="5">
                  <c:v>5.5182342468022325E-2</c:v>
                </c:pt>
                <c:pt idx="6">
                  <c:v>6.8997923703347813E-2</c:v>
                </c:pt>
                <c:pt idx="7">
                  <c:v>9.2338968303444555E-2</c:v>
                </c:pt>
              </c:numCache>
            </c:numRef>
          </c:yVal>
          <c:smooth val="1"/>
          <c:extLst>
            <c:ext xmlns:c16="http://schemas.microsoft.com/office/drawing/2014/chart" uri="{C3380CC4-5D6E-409C-BE32-E72D297353CC}">
              <c16:uniqueId val="{00000002-E084-4421-B0F6-2B5FD99B4664}"/>
            </c:ext>
          </c:extLst>
        </c:ser>
        <c:ser>
          <c:idx val="2"/>
          <c:order val="2"/>
          <c:tx>
            <c:v>Wind tunnel, ΔiH = +1 deg</c:v>
          </c:tx>
          <c:spPr>
            <a:ln w="25400" cap="rnd">
              <a:noFill/>
              <a:round/>
            </a:ln>
            <a:effectLst/>
          </c:spPr>
          <c:marker>
            <c:symbol val="square"/>
            <c:size val="5"/>
            <c:spPr>
              <a:noFill/>
              <a:ln w="9525">
                <a:solidFill>
                  <a:srgbClr val="0000FF"/>
                </a:solidFill>
              </a:ln>
              <a:effectLst/>
            </c:spPr>
          </c:marker>
          <c:trendline>
            <c:spPr>
              <a:ln w="19050" cap="rnd">
                <a:solidFill>
                  <a:schemeClr val="accent3"/>
                </a:solidFill>
                <a:prstDash val="sysDot"/>
              </a:ln>
              <a:effectLst/>
            </c:spPr>
            <c:trendlineType val="power"/>
            <c:dispRSqr val="0"/>
            <c:dispEq val="0"/>
          </c:trendline>
          <c:trendline>
            <c:name>Wind tunnel, ΔiH = +1 deg</c:name>
            <c:spPr>
              <a:ln w="15875" cap="rnd">
                <a:solidFill>
                  <a:srgbClr val="0000FF"/>
                </a:solidFill>
                <a:prstDash val="dash"/>
              </a:ln>
              <a:effectLst/>
            </c:spPr>
            <c:trendlineType val="poly"/>
            <c:order val="2"/>
            <c:dispRSqr val="0"/>
            <c:dispEq val="0"/>
          </c:trendline>
          <c:errBars>
            <c:errDir val="x"/>
            <c:errBarType val="both"/>
            <c:errValType val="cust"/>
            <c:noEndCap val="0"/>
            <c:pl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rgbClr val="0000FF"/>
                </a:solidFill>
                <a:round/>
              </a:ln>
              <a:effectLst/>
            </c:spPr>
          </c:errBars>
          <c:errBars>
            <c:errDir val="y"/>
            <c:errBarType val="both"/>
            <c:errValType val="cust"/>
            <c:noEndCap val="0"/>
            <c:pl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plus>
            <c:min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minus>
            <c:spPr>
              <a:noFill/>
              <a:ln w="6350" cap="flat" cmpd="sng" algn="ctr">
                <a:solidFill>
                  <a:srgbClr val="0000FF"/>
                </a:solidFill>
                <a:round/>
              </a:ln>
              <a:effectLst/>
            </c:spPr>
          </c:errBars>
          <c:x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xVal>
          <c:yVal>
            <c:numRef>
              <c:f>WindTunnelData!$CF$28:$CF$35</c:f>
              <c:numCache>
                <c:formatCode>General</c:formatCode>
                <c:ptCount val="8"/>
                <c:pt idx="0">
                  <c:v>2.6956112712433488E-2</c:v>
                </c:pt>
                <c:pt idx="1">
                  <c:v>2.639970638136184E-2</c:v>
                </c:pt>
                <c:pt idx="2">
                  <c:v>2.9727485529569567E-2</c:v>
                </c:pt>
                <c:pt idx="3">
                  <c:v>3.8063760025211224E-2</c:v>
                </c:pt>
                <c:pt idx="4">
                  <c:v>5.0115161613790635E-2</c:v>
                </c:pt>
                <c:pt idx="5">
                  <c:v>6.5104790445474028E-2</c:v>
                </c:pt>
                <c:pt idx="6">
                  <c:v>8.6509842313949786E-2</c:v>
                </c:pt>
                <c:pt idx="7">
                  <c:v>0.11084509641167141</c:v>
                </c:pt>
              </c:numCache>
            </c:numRef>
          </c:yVal>
          <c:smooth val="1"/>
          <c:extLst>
            <c:ext xmlns:c16="http://schemas.microsoft.com/office/drawing/2014/chart" uri="{C3380CC4-5D6E-409C-BE32-E72D297353CC}">
              <c16:uniqueId val="{00000003-E084-4421-B0F6-2B5FD99B4664}"/>
            </c:ext>
          </c:extLst>
        </c:ser>
        <c:ser>
          <c:idx val="3"/>
          <c:order val="3"/>
          <c:tx>
            <c:v>Wind tunnel, ΔiH = -2 deg</c:v>
          </c:tx>
          <c:spPr>
            <a:ln w="25400" cap="rnd">
              <a:noFill/>
              <a:round/>
            </a:ln>
            <a:effectLst/>
          </c:spPr>
          <c:marker>
            <c:symbol val="triangle"/>
            <c:size val="6"/>
            <c:spPr>
              <a:noFill/>
              <a:ln w="9525">
                <a:solidFill>
                  <a:srgbClr val="00C800"/>
                </a:solidFill>
              </a:ln>
              <a:effectLst/>
            </c:spPr>
          </c:marker>
          <c:trendline>
            <c:spPr>
              <a:ln w="19050" cap="rnd">
                <a:solidFill>
                  <a:schemeClr val="accent4"/>
                </a:solidFill>
                <a:prstDash val="sysDot"/>
              </a:ln>
              <a:effectLst/>
            </c:spPr>
            <c:trendlineType val="log"/>
            <c:dispRSqr val="0"/>
            <c:dispEq val="0"/>
          </c:trendline>
          <c:errBars>
            <c:errDir val="x"/>
            <c:errBarType val="both"/>
            <c:errValType val="cust"/>
            <c:noEndCap val="0"/>
            <c:pl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plus>
            <c:min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minus>
            <c:spPr>
              <a:noFill/>
              <a:ln w="6350" cap="flat" cmpd="sng" algn="ctr">
                <a:solidFill>
                  <a:srgbClr val="00C800"/>
                </a:solidFill>
                <a:round/>
              </a:ln>
              <a:effectLst/>
            </c:spPr>
          </c:errBars>
          <c:errBars>
            <c:errDir val="y"/>
            <c:errBarType val="both"/>
            <c:errValType val="cust"/>
            <c:noEndCap val="0"/>
            <c:pl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plus>
            <c:min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minus>
            <c:spPr>
              <a:noFill/>
              <a:ln w="6350" cap="flat" cmpd="sng" algn="ctr">
                <a:solidFill>
                  <a:srgbClr val="00C800"/>
                </a:solidFill>
                <a:round/>
              </a:ln>
              <a:effectLst/>
            </c:spPr>
          </c:errBars>
          <c:xVal>
            <c:numRef>
              <c:f>WindTunnelData!$CE$40:$CE$55</c:f>
              <c:numCache>
                <c:formatCode>General</c:formatCode>
                <c:ptCount val="16"/>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0.92402972560604368</c:v>
                </c:pt>
                <c:pt idx="11">
                  <c:v>0.94405266532769461</c:v>
                </c:pt>
                <c:pt idx="12">
                  <c:v>0.91563291452330309</c:v>
                </c:pt>
                <c:pt idx="13">
                  <c:v>0.79159308109538473</c:v>
                </c:pt>
                <c:pt idx="14">
                  <c:v>0.65724995785615525</c:v>
                </c:pt>
                <c:pt idx="15">
                  <c:v>0.68831307821044208</c:v>
                </c:pt>
              </c:numCache>
            </c:numRef>
          </c:xVal>
          <c:yVal>
            <c:numRef>
              <c:f>WindTunnelData!$CF$40:$CF$55</c:f>
              <c:numCache>
                <c:formatCode>General</c:formatCode>
                <c:ptCount val="16"/>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pt idx="10">
                  <c:v>0.15647028767881391</c:v>
                </c:pt>
                <c:pt idx="11">
                  <c:v>0.17551852717518499</c:v>
                </c:pt>
                <c:pt idx="12">
                  <c:v>0.21166032987015967</c:v>
                </c:pt>
                <c:pt idx="13">
                  <c:v>0.23043726091768615</c:v>
                </c:pt>
                <c:pt idx="14">
                  <c:v>0.25517859511307683</c:v>
                </c:pt>
                <c:pt idx="15">
                  <c:v>0.2687050294662755</c:v>
                </c:pt>
              </c:numCache>
            </c:numRef>
          </c:yVal>
          <c:smooth val="1"/>
          <c:extLst>
            <c:ext xmlns:c16="http://schemas.microsoft.com/office/drawing/2014/chart" uri="{C3380CC4-5D6E-409C-BE32-E72D297353CC}">
              <c16:uniqueId val="{00000004-E084-4421-B0F6-2B5FD99B4664}"/>
            </c:ext>
          </c:extLst>
        </c:ser>
        <c:ser>
          <c:idx val="4"/>
          <c:order val="4"/>
          <c:tx>
            <c:v>ΔiH = -2 deg, before stall</c:v>
          </c:tx>
          <c:spPr>
            <a:ln w="25400" cap="rnd">
              <a:noFill/>
              <a:round/>
            </a:ln>
            <a:effectLst/>
          </c:spPr>
          <c:marker>
            <c:symbol val="none"/>
          </c:marker>
          <c:trendline>
            <c:name>Wind tunnel, ΔiH = -2 deg</c:name>
            <c:spPr>
              <a:ln w="15875" cap="rnd">
                <a:solidFill>
                  <a:srgbClr val="00C800"/>
                </a:solidFill>
                <a:prstDash val="lgDashDot"/>
              </a:ln>
              <a:effectLst/>
            </c:spPr>
            <c:trendlineType val="poly"/>
            <c:order val="2"/>
            <c:dispRSqr val="0"/>
            <c:dispEq val="0"/>
          </c:trendline>
          <c:x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xVal>
          <c:yVal>
            <c:numRef>
              <c:f>WindTunnelData!$CF$40:$CF$49</c:f>
              <c:numCache>
                <c:formatCode>General</c:formatCode>
                <c:ptCount val="10"/>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numCache>
            </c:numRef>
          </c:yVal>
          <c:smooth val="1"/>
          <c:extLst>
            <c:ext xmlns:c16="http://schemas.microsoft.com/office/drawing/2014/chart" uri="{C3380CC4-5D6E-409C-BE32-E72D297353CC}">
              <c16:uniqueId val="{0000000A-E084-4421-B0F6-2B5FD99B4664}"/>
            </c:ext>
          </c:extLst>
        </c:ser>
        <c:ser>
          <c:idx val="5"/>
          <c:order val="5"/>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D-E084-4421-B0F6-2B5FD99B4664}"/>
            </c:ext>
          </c:extLst>
        </c:ser>
        <c:ser>
          <c:idx val="6"/>
          <c:order val="6"/>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E-E084-4421-B0F6-2B5FD99B4664}"/>
            </c:ext>
          </c:extLst>
        </c:ser>
        <c:dLbls>
          <c:showLegendKey val="0"/>
          <c:showVal val="0"/>
          <c:showCatName val="0"/>
          <c:showSerName val="0"/>
          <c:showPercent val="0"/>
          <c:showBubbleSize val="0"/>
        </c:dLbls>
        <c:axId val="689813263"/>
        <c:axId val="689819023"/>
      </c:scatterChart>
      <c:valAx>
        <c:axId val="689813263"/>
        <c:scaling>
          <c:orientation val="minMax"/>
          <c:max val="1"/>
          <c:min val="-0.1"/>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L</a:t>
                </a:r>
                <a:endParaRPr lang="en-MY" sz="1800">
                  <a:solidFill>
                    <a:schemeClr val="tx1"/>
                  </a:solidFill>
                </a:endParaRPr>
              </a:p>
            </c:rich>
          </c:tx>
          <c:layout>
            <c:manualLayout>
              <c:xMode val="edge"/>
              <c:yMode val="edge"/>
              <c:x val="0.94070603470603475"/>
              <c:y val="0.8450095299405004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9023"/>
        <c:crosses val="autoZero"/>
        <c:crossBetween val="midCat"/>
        <c:majorUnit val="0.1"/>
        <c:minorUnit val="5.000000000000001E-2"/>
      </c:valAx>
      <c:valAx>
        <c:axId val="689819023"/>
        <c:scaling>
          <c:orientation val="minMax"/>
        </c:scaling>
        <c:delete val="0"/>
        <c:axPos val="l"/>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D</a:t>
                </a:r>
                <a:endParaRPr lang="en-MY" sz="1800">
                  <a:solidFill>
                    <a:schemeClr val="tx1"/>
                  </a:solidFill>
                </a:endParaRPr>
              </a:p>
            </c:rich>
          </c:tx>
          <c:layout>
            <c:manualLayout>
              <c:xMode val="edge"/>
              <c:yMode val="edge"/>
              <c:x val="1.6688089511779458E-3"/>
              <c:y val="0.4451038672420871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3263"/>
        <c:crosses val="autoZero"/>
        <c:crossBetween val="midCat"/>
        <c:majorUnit val="2.0000000000000004E-2"/>
      </c:valAx>
      <c:spPr>
        <a:noFill/>
        <a:ln>
          <a:noFill/>
        </a:ln>
        <a:effectLst/>
      </c:spPr>
    </c:plotArea>
    <c:legend>
      <c:legendPos val="r"/>
      <c:legendEntry>
        <c:idx val="4"/>
        <c:delete val="1"/>
      </c:legendEntry>
      <c:legendEntry>
        <c:idx val="5"/>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6"/>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9"/>
        <c:delete val="1"/>
      </c:legendEntry>
      <c:legendEntry>
        <c:idx val="11"/>
        <c:delete val="1"/>
      </c:legendEntry>
      <c:layout>
        <c:manualLayout>
          <c:xMode val="edge"/>
          <c:yMode val="edge"/>
          <c:x val="0.13538928701861053"/>
          <c:y val="0.29935689484884592"/>
          <c:w val="0.3285066436041113"/>
          <c:h val="0.3383179073627191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C</a:t>
            </a:r>
            <a:r>
              <a:rPr lang="en-US" sz="2000" baseline="-25000">
                <a:solidFill>
                  <a:schemeClr val="tx1"/>
                </a:solidFill>
              </a:rPr>
              <a:t>D</a:t>
            </a:r>
            <a:r>
              <a:rPr lang="en-US" sz="2000" baseline="0">
                <a:solidFill>
                  <a:schemeClr val="tx1"/>
                </a:solidFill>
              </a:rPr>
              <a:t> vs C</a:t>
            </a:r>
            <a:r>
              <a:rPr lang="en-US" sz="2000" baseline="-25000">
                <a:solidFill>
                  <a:schemeClr val="tx1"/>
                </a:solidFill>
              </a:rPr>
              <a:t>L</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2.867140232767084E-2"/>
          <c:y val="3.6975015508149689E-2"/>
          <c:w val="0.9546545897768961"/>
          <c:h val="0.88774055972804544"/>
        </c:manualLayout>
      </c:layout>
      <c:scatterChart>
        <c:scatterStyle val="smoothMarker"/>
        <c:varyColors val="0"/>
        <c:ser>
          <c:idx val="0"/>
          <c:order val="0"/>
          <c:tx>
            <c:v>Flight test</c:v>
          </c:tx>
          <c:spPr>
            <a:ln w="19050" cap="rnd">
              <a:noFill/>
              <a:round/>
            </a:ln>
            <a:effectLst/>
          </c:spPr>
          <c:marker>
            <c:symbol val="x"/>
            <c:size val="6"/>
            <c:spPr>
              <a:noFill/>
              <a:ln w="9525">
                <a:solidFill>
                  <a:schemeClr val="tx1"/>
                </a:solidFill>
              </a:ln>
              <a:effectLst/>
            </c:spPr>
          </c:marker>
          <c:trendline>
            <c:name>Flight test</c:name>
            <c:spPr>
              <a:ln w="9525" cap="rnd">
                <a:solidFill>
                  <a:schemeClr val="tx1"/>
                </a:solidFill>
                <a:prstDash val="solid"/>
              </a:ln>
              <a:effectLst/>
            </c:spPr>
            <c:trendlineType val="poly"/>
            <c:order val="2"/>
            <c:dispRSqr val="0"/>
            <c:dispEq val="0"/>
          </c:trendline>
          <c:errBars>
            <c:errDir val="x"/>
            <c:errBarType val="both"/>
            <c:errValType val="cust"/>
            <c:noEndCap val="0"/>
            <c:pl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plus>
            <c:min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minus>
            <c:spPr>
              <a:noFill/>
              <a:ln w="6350" cap="flat" cmpd="sng" algn="ctr">
                <a:solidFill>
                  <a:schemeClr val="tx1"/>
                </a:solidFill>
                <a:round/>
              </a:ln>
              <a:effectLst/>
            </c:spPr>
          </c:errBars>
          <c:errBars>
            <c:errDir val="y"/>
            <c:errBarType val="both"/>
            <c:errValType val="cust"/>
            <c:noEndCap val="0"/>
            <c:pl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plus>
            <c:min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minus>
            <c:spPr>
              <a:noFill/>
              <a:ln w="6350" cap="flat" cmpd="sng" algn="ctr">
                <a:solidFill>
                  <a:schemeClr val="tx1"/>
                </a:solidFill>
                <a:round/>
              </a:ln>
              <a:effectLst/>
            </c:spPr>
          </c:errBars>
          <c:xVal>
            <c:numRef>
              <c:f>FlightSimData!$AC$52:$AC$64</c:f>
              <c:numCache>
                <c:formatCode>General</c:formatCode>
                <c:ptCount val="13"/>
                <c:pt idx="0">
                  <c:v>0.69409115360927132</c:v>
                </c:pt>
                <c:pt idx="1">
                  <c:v>0.48381889011000306</c:v>
                </c:pt>
                <c:pt idx="2">
                  <c:v>0.37708328669135482</c:v>
                </c:pt>
                <c:pt idx="3">
                  <c:v>0.28905052552919225</c:v>
                </c:pt>
                <c:pt idx="4">
                  <c:v>0.25318284638885724</c:v>
                </c:pt>
                <c:pt idx="5">
                  <c:v>0.22864759801155807</c:v>
                </c:pt>
                <c:pt idx="6">
                  <c:v>0.19319913051511739</c:v>
                </c:pt>
                <c:pt idx="7">
                  <c:v>0.19320402614127932</c:v>
                </c:pt>
                <c:pt idx="8">
                  <c:v>0.18559315542514473</c:v>
                </c:pt>
                <c:pt idx="9">
                  <c:v>0.15875777994754964</c:v>
                </c:pt>
                <c:pt idx="10">
                  <c:v>0.14243763557651026</c:v>
                </c:pt>
                <c:pt idx="11">
                  <c:v>0.13211146280964212</c:v>
                </c:pt>
                <c:pt idx="12">
                  <c:v>0.11727130760031977</c:v>
                </c:pt>
              </c:numCache>
            </c:numRef>
          </c:xVal>
          <c:yVal>
            <c:numRef>
              <c:f>FlightSimData!$AE$52:$AE$64</c:f>
              <c:numCache>
                <c:formatCode>General</c:formatCode>
                <c:ptCount val="13"/>
                <c:pt idx="0">
                  <c:v>3.6284670493903041E-2</c:v>
                </c:pt>
                <c:pt idx="1">
                  <c:v>2.3224846879241843E-2</c:v>
                </c:pt>
                <c:pt idx="2">
                  <c:v>1.9304170652078595E-2</c:v>
                </c:pt>
                <c:pt idx="3">
                  <c:v>1.4770528939999533E-2</c:v>
                </c:pt>
                <c:pt idx="4">
                  <c:v>1.5566759215883231E-2</c:v>
                </c:pt>
                <c:pt idx="5">
                  <c:v>1.3058823472657599E-2</c:v>
                </c:pt>
                <c:pt idx="6">
                  <c:v>1.3993885106919597E-2</c:v>
                </c:pt>
                <c:pt idx="7">
                  <c:v>1.960200339107087E-2</c:v>
                </c:pt>
                <c:pt idx="8">
                  <c:v>1.4098960193129067E-2</c:v>
                </c:pt>
                <c:pt idx="9">
                  <c:v>1.4566911533863951E-2</c:v>
                </c:pt>
                <c:pt idx="10">
                  <c:v>1.364348326922564E-2</c:v>
                </c:pt>
                <c:pt idx="11">
                  <c:v>1.6785980262405555E-2</c:v>
                </c:pt>
                <c:pt idx="12">
                  <c:v>2.1164682034744926E-2</c:v>
                </c:pt>
              </c:numCache>
            </c:numRef>
          </c:yVal>
          <c:smooth val="1"/>
          <c:extLst>
            <c:ext xmlns:c16="http://schemas.microsoft.com/office/drawing/2014/chart" uri="{C3380CC4-5D6E-409C-BE32-E72D297353CC}">
              <c16:uniqueId val="{00000001-7F83-4739-B340-E9FBD6E1E683}"/>
            </c:ext>
          </c:extLst>
        </c:ser>
        <c:ser>
          <c:idx val="1"/>
          <c:order val="1"/>
          <c:tx>
            <c:v>Wind tunnel, No tail</c:v>
          </c:tx>
          <c:spPr>
            <a:ln w="25400" cap="rnd">
              <a:noFill/>
              <a:round/>
            </a:ln>
            <a:effectLst/>
          </c:spPr>
          <c:marker>
            <c:symbol val="circle"/>
            <c:size val="5"/>
            <c:spPr>
              <a:noFill/>
              <a:ln w="9525">
                <a:solidFill>
                  <a:srgbClr val="FF0000"/>
                </a:solidFill>
              </a:ln>
              <a:effectLst/>
            </c:spPr>
          </c:marker>
          <c:trendline>
            <c:name>Wind tunnel, No tail</c:name>
            <c:spPr>
              <a:ln w="19050" cap="rnd">
                <a:solidFill>
                  <a:srgbClr val="FF0000"/>
                </a:solidFill>
                <a:prstDash val="sysDot"/>
              </a:ln>
              <a:effectLst/>
            </c:spPr>
            <c:trendlineType val="poly"/>
            <c:order val="2"/>
            <c:dispRSqr val="0"/>
            <c:dispEq val="0"/>
          </c:trendline>
          <c:errBars>
            <c:errDir val="x"/>
            <c:errBarType val="both"/>
            <c:errValType val="cust"/>
            <c:noEndCap val="0"/>
            <c:pl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errBars>
            <c:errDir val="y"/>
            <c:errBarType val="both"/>
            <c:errValType val="cust"/>
            <c:noEndCap val="0"/>
            <c:pl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plus>
            <c:min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minus>
            <c:spPr>
              <a:noFill/>
              <a:ln w="6350" cap="flat" cmpd="sng" algn="ctr">
                <a:solidFill>
                  <a:srgbClr val="FF0000"/>
                </a:solidFill>
                <a:round/>
              </a:ln>
              <a:effectLst/>
            </c:spPr>
          </c:errBars>
          <c:x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xVal>
          <c:yVal>
            <c:numRef>
              <c:f>WindTunnelData!$CF$16:$CF$23</c:f>
              <c:numCache>
                <c:formatCode>General</c:formatCode>
                <c:ptCount val="8"/>
                <c:pt idx="0">
                  <c:v>2.2788575242373904E-2</c:v>
                </c:pt>
                <c:pt idx="1">
                  <c:v>2.1499657916776167E-2</c:v>
                </c:pt>
                <c:pt idx="2">
                  <c:v>2.4315835428577383E-2</c:v>
                </c:pt>
                <c:pt idx="3">
                  <c:v>3.2029448189546388E-2</c:v>
                </c:pt>
                <c:pt idx="4">
                  <c:v>4.133202828660941E-2</c:v>
                </c:pt>
                <c:pt idx="5">
                  <c:v>5.5182342468022325E-2</c:v>
                </c:pt>
                <c:pt idx="6">
                  <c:v>6.8997923703347813E-2</c:v>
                </c:pt>
                <c:pt idx="7">
                  <c:v>9.2338968303444555E-2</c:v>
                </c:pt>
              </c:numCache>
            </c:numRef>
          </c:yVal>
          <c:smooth val="1"/>
          <c:extLst>
            <c:ext xmlns:c16="http://schemas.microsoft.com/office/drawing/2014/chart" uri="{C3380CC4-5D6E-409C-BE32-E72D297353CC}">
              <c16:uniqueId val="{00000003-7F83-4739-B340-E9FBD6E1E683}"/>
            </c:ext>
          </c:extLst>
        </c:ser>
        <c:ser>
          <c:idx val="2"/>
          <c:order val="2"/>
          <c:tx>
            <c:v>Wind tunnel, ΔiH = +1 deg</c:v>
          </c:tx>
          <c:spPr>
            <a:ln w="25400" cap="rnd">
              <a:noFill/>
              <a:round/>
            </a:ln>
            <a:effectLst/>
          </c:spPr>
          <c:marker>
            <c:symbol val="square"/>
            <c:size val="5"/>
            <c:spPr>
              <a:noFill/>
              <a:ln w="9525">
                <a:solidFill>
                  <a:srgbClr val="0000FF"/>
                </a:solidFill>
              </a:ln>
              <a:effectLst/>
            </c:spPr>
          </c:marker>
          <c:trendline>
            <c:spPr>
              <a:ln w="19050" cap="rnd">
                <a:solidFill>
                  <a:schemeClr val="accent3"/>
                </a:solidFill>
                <a:prstDash val="sysDot"/>
              </a:ln>
              <a:effectLst/>
            </c:spPr>
            <c:trendlineType val="power"/>
            <c:dispRSqr val="0"/>
            <c:dispEq val="0"/>
          </c:trendline>
          <c:trendline>
            <c:name>Wind tunnel, ΔiH = +1 deg</c:name>
            <c:spPr>
              <a:ln w="15875" cap="rnd">
                <a:solidFill>
                  <a:srgbClr val="0000FF"/>
                </a:solidFill>
                <a:prstDash val="dash"/>
              </a:ln>
              <a:effectLst/>
            </c:spPr>
            <c:trendlineType val="poly"/>
            <c:order val="2"/>
            <c:dispRSqr val="0"/>
            <c:dispEq val="0"/>
          </c:trendline>
          <c:errBars>
            <c:errDir val="x"/>
            <c:errBarType val="both"/>
            <c:errValType val="cust"/>
            <c:noEndCap val="0"/>
            <c:pl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rgbClr val="0000FF"/>
                </a:solidFill>
                <a:round/>
              </a:ln>
              <a:effectLst/>
            </c:spPr>
          </c:errBars>
          <c:errBars>
            <c:errDir val="y"/>
            <c:errBarType val="both"/>
            <c:errValType val="cust"/>
            <c:noEndCap val="0"/>
            <c:pl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plus>
            <c:min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minus>
            <c:spPr>
              <a:noFill/>
              <a:ln w="6350" cap="flat" cmpd="sng" algn="ctr">
                <a:solidFill>
                  <a:srgbClr val="0000FF"/>
                </a:solidFill>
                <a:round/>
              </a:ln>
              <a:effectLst/>
            </c:spPr>
          </c:errBars>
          <c:x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xVal>
          <c:yVal>
            <c:numRef>
              <c:f>WindTunnelData!$CF$28:$CF$35</c:f>
              <c:numCache>
                <c:formatCode>General</c:formatCode>
                <c:ptCount val="8"/>
                <c:pt idx="0">
                  <c:v>2.6956112712433488E-2</c:v>
                </c:pt>
                <c:pt idx="1">
                  <c:v>2.639970638136184E-2</c:v>
                </c:pt>
                <c:pt idx="2">
                  <c:v>2.9727485529569567E-2</c:v>
                </c:pt>
                <c:pt idx="3">
                  <c:v>3.8063760025211224E-2</c:v>
                </c:pt>
                <c:pt idx="4">
                  <c:v>5.0115161613790635E-2</c:v>
                </c:pt>
                <c:pt idx="5">
                  <c:v>6.5104790445474028E-2</c:v>
                </c:pt>
                <c:pt idx="6">
                  <c:v>8.6509842313949786E-2</c:v>
                </c:pt>
                <c:pt idx="7">
                  <c:v>0.11084509641167141</c:v>
                </c:pt>
              </c:numCache>
            </c:numRef>
          </c:yVal>
          <c:smooth val="1"/>
          <c:extLst>
            <c:ext xmlns:c16="http://schemas.microsoft.com/office/drawing/2014/chart" uri="{C3380CC4-5D6E-409C-BE32-E72D297353CC}">
              <c16:uniqueId val="{00000006-7F83-4739-B340-E9FBD6E1E683}"/>
            </c:ext>
          </c:extLst>
        </c:ser>
        <c:ser>
          <c:idx val="3"/>
          <c:order val="3"/>
          <c:tx>
            <c:v>Wind tunnel, ΔiH = -2 deg</c:v>
          </c:tx>
          <c:spPr>
            <a:ln w="25400" cap="rnd">
              <a:noFill/>
              <a:round/>
            </a:ln>
            <a:effectLst/>
          </c:spPr>
          <c:marker>
            <c:symbol val="triangle"/>
            <c:size val="6"/>
            <c:spPr>
              <a:noFill/>
              <a:ln w="9525">
                <a:solidFill>
                  <a:srgbClr val="00C800"/>
                </a:solidFill>
              </a:ln>
              <a:effectLst/>
            </c:spPr>
          </c:marker>
          <c:trendline>
            <c:spPr>
              <a:ln w="19050" cap="rnd">
                <a:solidFill>
                  <a:schemeClr val="accent4"/>
                </a:solidFill>
                <a:prstDash val="sysDot"/>
              </a:ln>
              <a:effectLst/>
            </c:spPr>
            <c:trendlineType val="log"/>
            <c:dispRSqr val="0"/>
            <c:dispEq val="0"/>
          </c:trendline>
          <c:errBars>
            <c:errDir val="x"/>
            <c:errBarType val="both"/>
            <c:errValType val="cust"/>
            <c:noEndCap val="0"/>
            <c:pl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plus>
            <c:min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minus>
            <c:spPr>
              <a:noFill/>
              <a:ln w="6350" cap="flat" cmpd="sng" algn="ctr">
                <a:solidFill>
                  <a:srgbClr val="00C800"/>
                </a:solidFill>
                <a:round/>
              </a:ln>
              <a:effectLst/>
            </c:spPr>
          </c:errBars>
          <c:errBars>
            <c:errDir val="y"/>
            <c:errBarType val="both"/>
            <c:errValType val="cust"/>
            <c:noEndCap val="0"/>
            <c:pl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plus>
            <c:min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minus>
            <c:spPr>
              <a:noFill/>
              <a:ln w="6350" cap="flat" cmpd="sng" algn="ctr">
                <a:solidFill>
                  <a:srgbClr val="00C800"/>
                </a:solidFill>
                <a:round/>
              </a:ln>
              <a:effectLst/>
            </c:spPr>
          </c:errBars>
          <c:x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xVal>
          <c:yVal>
            <c:numRef>
              <c:f>WindTunnelData!$CF$40:$CF$49</c:f>
              <c:numCache>
                <c:formatCode>General</c:formatCode>
                <c:ptCount val="10"/>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numCache>
            </c:numRef>
          </c:yVal>
          <c:smooth val="1"/>
          <c:extLst>
            <c:ext xmlns:c16="http://schemas.microsoft.com/office/drawing/2014/chart" uri="{C3380CC4-5D6E-409C-BE32-E72D297353CC}">
              <c16:uniqueId val="{00000008-7F83-4739-B340-E9FBD6E1E683}"/>
            </c:ext>
          </c:extLst>
        </c:ser>
        <c:ser>
          <c:idx val="4"/>
          <c:order val="4"/>
          <c:tx>
            <c:v>ΔiH = -2 deg, before stall</c:v>
          </c:tx>
          <c:spPr>
            <a:ln w="25400" cap="rnd">
              <a:noFill/>
              <a:round/>
            </a:ln>
            <a:effectLst/>
          </c:spPr>
          <c:marker>
            <c:symbol val="none"/>
          </c:marker>
          <c:trendline>
            <c:name>Wind tunnel, ΔiH = -2 deg</c:name>
            <c:spPr>
              <a:ln w="15875" cap="rnd">
                <a:solidFill>
                  <a:srgbClr val="00C800"/>
                </a:solidFill>
                <a:prstDash val="lgDashDot"/>
              </a:ln>
              <a:effectLst/>
            </c:spPr>
            <c:trendlineType val="poly"/>
            <c:order val="2"/>
            <c:dispRSqr val="0"/>
            <c:dispEq val="0"/>
          </c:trendline>
          <c:x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xVal>
          <c:yVal>
            <c:numRef>
              <c:f>WindTunnelData!$CF$40:$CF$49</c:f>
              <c:numCache>
                <c:formatCode>General</c:formatCode>
                <c:ptCount val="10"/>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numCache>
            </c:numRef>
          </c:yVal>
          <c:smooth val="1"/>
          <c:extLst>
            <c:ext xmlns:c16="http://schemas.microsoft.com/office/drawing/2014/chart" uri="{C3380CC4-5D6E-409C-BE32-E72D297353CC}">
              <c16:uniqueId val="{0000000A-7F83-4739-B340-E9FBD6E1E683}"/>
            </c:ext>
          </c:extLst>
        </c:ser>
        <c:ser>
          <c:idx val="5"/>
          <c:order val="5"/>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B-7F83-4739-B340-E9FBD6E1E683}"/>
            </c:ext>
          </c:extLst>
        </c:ser>
        <c:dLbls>
          <c:showLegendKey val="0"/>
          <c:showVal val="0"/>
          <c:showCatName val="0"/>
          <c:showSerName val="0"/>
          <c:showPercent val="0"/>
          <c:showBubbleSize val="0"/>
        </c:dLbls>
        <c:axId val="689813263"/>
        <c:axId val="689819023"/>
        <c:extLst>
          <c:ext xmlns:c15="http://schemas.microsoft.com/office/drawing/2012/chart" uri="{02D57815-91ED-43cb-92C2-25804820EDAC}">
            <c15:filteredScatterSeries>
              <c15:ser>
                <c:idx val="6"/>
                <c:order val="6"/>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C-7F83-4739-B340-E9FBD6E1E683}"/>
                  </c:ext>
                </c:extLst>
              </c15:ser>
            </c15:filteredScatterSeries>
          </c:ext>
        </c:extLst>
      </c:scatterChart>
      <c:valAx>
        <c:axId val="689813263"/>
        <c:scaling>
          <c:orientation val="minMax"/>
          <c:max val="1"/>
          <c:min val="-0.1"/>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L</a:t>
                </a:r>
                <a:endParaRPr lang="en-MY" sz="1800">
                  <a:solidFill>
                    <a:schemeClr val="tx1"/>
                  </a:solidFill>
                </a:endParaRPr>
              </a:p>
            </c:rich>
          </c:tx>
          <c:layout>
            <c:manualLayout>
              <c:xMode val="edge"/>
              <c:yMode val="edge"/>
              <c:x val="0.94070603470603475"/>
              <c:y val="0.8450095299405004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9023"/>
        <c:crosses val="autoZero"/>
        <c:crossBetween val="midCat"/>
        <c:majorUnit val="0.1"/>
        <c:minorUnit val="5.000000000000001E-2"/>
      </c:valAx>
      <c:valAx>
        <c:axId val="689819023"/>
        <c:scaling>
          <c:orientation val="minMax"/>
        </c:scaling>
        <c:delete val="0"/>
        <c:axPos val="l"/>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D</a:t>
                </a:r>
                <a:endParaRPr lang="en-MY" sz="1800">
                  <a:solidFill>
                    <a:schemeClr val="tx1"/>
                  </a:solidFill>
                </a:endParaRPr>
              </a:p>
            </c:rich>
          </c:tx>
          <c:layout>
            <c:manualLayout>
              <c:xMode val="edge"/>
              <c:yMode val="edge"/>
              <c:x val="1.6688089511779458E-3"/>
              <c:y val="0.4451038672420871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3263"/>
        <c:crosses val="autoZero"/>
        <c:crossBetween val="midCat"/>
        <c:majorUnit val="1.0000000000000002E-2"/>
        <c:minorUnit val="5.000000000000001E-3"/>
      </c:valAx>
      <c:spPr>
        <a:noFill/>
        <a:ln>
          <a:noFill/>
        </a:ln>
        <a:effectLst/>
      </c:spPr>
    </c:plotArea>
    <c:legend>
      <c:legendPos val="r"/>
      <c:legendEntry>
        <c:idx val="4"/>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5"/>
        <c:delete val="1"/>
      </c:legendEntry>
      <c:legendEntry>
        <c:idx val="8"/>
        <c:delete val="1"/>
      </c:legendEntry>
      <c:legendEntry>
        <c:idx val="10"/>
        <c:delete val="1"/>
      </c:legendEntry>
      <c:layout>
        <c:manualLayout>
          <c:xMode val="edge"/>
          <c:yMode val="edge"/>
          <c:x val="0.14067231098492153"/>
          <c:y val="0.10124725256507702"/>
          <c:w val="0.3303944977758595"/>
          <c:h val="0.315829539127541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baseline="30000">
                <a:solidFill>
                  <a:schemeClr val="tx1"/>
                </a:solidFill>
              </a:rPr>
              <a:t>L</a:t>
            </a:r>
            <a:r>
              <a:rPr lang="en-US" sz="2000" baseline="0">
                <a:solidFill>
                  <a:schemeClr val="tx1"/>
                </a:solidFill>
              </a:rPr>
              <a:t>/</a:t>
            </a:r>
            <a:r>
              <a:rPr lang="en-US" sz="2000" baseline="-25000">
                <a:solidFill>
                  <a:schemeClr val="tx1"/>
                </a:solidFill>
              </a:rPr>
              <a:t>D</a:t>
            </a:r>
            <a:r>
              <a:rPr lang="en-US" sz="2000" baseline="0">
                <a:solidFill>
                  <a:schemeClr val="tx1"/>
                </a:solidFill>
              </a:rPr>
              <a:t> vs C</a:t>
            </a:r>
            <a:r>
              <a:rPr lang="en-US" sz="2000" baseline="-25000">
                <a:solidFill>
                  <a:schemeClr val="tx1"/>
                </a:solidFill>
              </a:rPr>
              <a:t>L</a:t>
            </a:r>
            <a:endParaRPr lang="en-US" sz="2000">
              <a:solidFill>
                <a:schemeClr val="tx1"/>
              </a:solidFill>
            </a:endParaRPr>
          </a:p>
        </c:rich>
      </c:tx>
      <c:layout>
        <c:manualLayout>
          <c:xMode val="edge"/>
          <c:yMode val="edge"/>
          <c:x val="0.35651860665821478"/>
          <c:y val="1.299947674547147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4.5219836809687101E-2"/>
          <c:y val="3.6975015508149689E-2"/>
          <c:w val="0.91990489257993824"/>
          <c:h val="0.88046131560436713"/>
        </c:manualLayout>
      </c:layout>
      <c:scatterChart>
        <c:scatterStyle val="smoothMarker"/>
        <c:varyColors val="0"/>
        <c:ser>
          <c:idx val="0"/>
          <c:order val="0"/>
          <c:tx>
            <c:v>Flight test</c:v>
          </c:tx>
          <c:spPr>
            <a:ln w="25400" cap="rnd">
              <a:noFill/>
              <a:round/>
            </a:ln>
            <a:effectLst/>
          </c:spPr>
          <c:marker>
            <c:symbol val="x"/>
            <c:size val="6"/>
            <c:spPr>
              <a:noFill/>
              <a:ln w="9525">
                <a:solidFill>
                  <a:schemeClr val="tx1"/>
                </a:solidFill>
              </a:ln>
              <a:effectLst/>
            </c:spPr>
          </c:marker>
          <c:trendline>
            <c:name>Flight test</c:name>
            <c:spPr>
              <a:ln w="9525" cap="rnd">
                <a:solidFill>
                  <a:schemeClr val="tx1"/>
                </a:solidFill>
                <a:prstDash val="solid"/>
              </a:ln>
              <a:effectLst/>
            </c:spPr>
            <c:trendlineType val="poly"/>
            <c:order val="2"/>
            <c:intercept val="0"/>
            <c:dispRSqr val="0"/>
            <c:dispEq val="0"/>
          </c:trendline>
          <c:errBars>
            <c:errDir val="x"/>
            <c:errBarType val="both"/>
            <c:errValType val="cust"/>
            <c:noEndCap val="0"/>
            <c:pl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plus>
            <c:min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minus>
            <c:spPr>
              <a:noFill/>
              <a:ln w="6350" cap="flat" cmpd="sng" algn="ctr">
                <a:solidFill>
                  <a:schemeClr val="tx1"/>
                </a:solidFill>
                <a:round/>
              </a:ln>
              <a:effectLst/>
            </c:spPr>
          </c:errBars>
          <c:errBars>
            <c:errDir val="y"/>
            <c:errBarType val="both"/>
            <c:errValType val="cust"/>
            <c:noEndCap val="0"/>
            <c:plus>
              <c:numRef>
                <c:f>FlightSimData!$AI$52:$AI$64</c:f>
                <c:numCache>
                  <c:formatCode>General</c:formatCode>
                  <c:ptCount val="13"/>
                  <c:pt idx="0">
                    <c:v>4.2583178108615769</c:v>
                  </c:pt>
                  <c:pt idx="1">
                    <c:v>4.1312955786750987</c:v>
                  </c:pt>
                  <c:pt idx="2">
                    <c:v>3.1570535122135959</c:v>
                  </c:pt>
                  <c:pt idx="3">
                    <c:v>2.7714427443401202</c:v>
                  </c:pt>
                  <c:pt idx="4">
                    <c:v>1.8826122516959243</c:v>
                  </c:pt>
                  <c:pt idx="5">
                    <c:v>2.0233519497561425</c:v>
                  </c:pt>
                  <c:pt idx="6">
                    <c:v>1.2361760268607858</c:v>
                  </c:pt>
                  <c:pt idx="7">
                    <c:v>0.70241184753267483</c:v>
                  </c:pt>
                  <c:pt idx="8">
                    <c:v>1.1110512868812885</c:v>
                  </c:pt>
                  <c:pt idx="9">
                    <c:v>0.75211794832872592</c:v>
                  </c:pt>
                  <c:pt idx="10">
                    <c:v>0.6844848582472709</c:v>
                  </c:pt>
                  <c:pt idx="11">
                    <c:v>0.4054293805036997</c:v>
                  </c:pt>
                  <c:pt idx="12">
                    <c:v>0.22173025548363029</c:v>
                  </c:pt>
                </c:numCache>
              </c:numRef>
            </c:plus>
            <c:minus>
              <c:numRef>
                <c:f>FlightSimData!$AI$52:$AI$64</c:f>
                <c:numCache>
                  <c:formatCode>General</c:formatCode>
                  <c:ptCount val="13"/>
                  <c:pt idx="0">
                    <c:v>4.2583178108615769</c:v>
                  </c:pt>
                  <c:pt idx="1">
                    <c:v>4.1312955786750987</c:v>
                  </c:pt>
                  <c:pt idx="2">
                    <c:v>3.1570535122135959</c:v>
                  </c:pt>
                  <c:pt idx="3">
                    <c:v>2.7714427443401202</c:v>
                  </c:pt>
                  <c:pt idx="4">
                    <c:v>1.8826122516959243</c:v>
                  </c:pt>
                  <c:pt idx="5">
                    <c:v>2.0233519497561425</c:v>
                  </c:pt>
                  <c:pt idx="6">
                    <c:v>1.2361760268607858</c:v>
                  </c:pt>
                  <c:pt idx="7">
                    <c:v>0.70241184753267483</c:v>
                  </c:pt>
                  <c:pt idx="8">
                    <c:v>1.1110512868812885</c:v>
                  </c:pt>
                  <c:pt idx="9">
                    <c:v>0.75211794832872592</c:v>
                  </c:pt>
                  <c:pt idx="10">
                    <c:v>0.6844848582472709</c:v>
                  </c:pt>
                  <c:pt idx="11">
                    <c:v>0.4054293805036997</c:v>
                  </c:pt>
                  <c:pt idx="12">
                    <c:v>0.22173025548363029</c:v>
                  </c:pt>
                </c:numCache>
              </c:numRef>
            </c:minus>
            <c:spPr>
              <a:noFill/>
              <a:ln w="6350" cap="flat" cmpd="sng" algn="ctr">
                <a:solidFill>
                  <a:schemeClr val="tx1"/>
                </a:solidFill>
                <a:round/>
              </a:ln>
              <a:effectLst/>
            </c:spPr>
          </c:errBars>
          <c:xVal>
            <c:numRef>
              <c:f>FlightSimData!$AC$52:$AC$64</c:f>
              <c:numCache>
                <c:formatCode>General</c:formatCode>
                <c:ptCount val="13"/>
                <c:pt idx="0">
                  <c:v>0.69409115360927132</c:v>
                </c:pt>
                <c:pt idx="1">
                  <c:v>0.48381889011000306</c:v>
                </c:pt>
                <c:pt idx="2">
                  <c:v>0.37708328669135482</c:v>
                </c:pt>
                <c:pt idx="3">
                  <c:v>0.28905052552919225</c:v>
                </c:pt>
                <c:pt idx="4">
                  <c:v>0.25318284638885724</c:v>
                </c:pt>
                <c:pt idx="5">
                  <c:v>0.22864759801155807</c:v>
                </c:pt>
                <c:pt idx="6">
                  <c:v>0.19319913051511739</c:v>
                </c:pt>
                <c:pt idx="7">
                  <c:v>0.19320402614127932</c:v>
                </c:pt>
                <c:pt idx="8">
                  <c:v>0.18559315542514473</c:v>
                </c:pt>
                <c:pt idx="9">
                  <c:v>0.15875777994754964</c:v>
                </c:pt>
                <c:pt idx="10">
                  <c:v>0.14243763557651026</c:v>
                </c:pt>
                <c:pt idx="11">
                  <c:v>0.13211146280964212</c:v>
                </c:pt>
                <c:pt idx="12">
                  <c:v>0.11727130760031977</c:v>
                </c:pt>
              </c:numCache>
            </c:numRef>
          </c:xVal>
          <c:yVal>
            <c:numRef>
              <c:f>FlightSimData!$AH$52:$AH$64</c:f>
              <c:numCache>
                <c:formatCode>General</c:formatCode>
                <c:ptCount val="13"/>
                <c:pt idx="0">
                  <c:v>19.129046623860077</c:v>
                </c:pt>
                <c:pt idx="1">
                  <c:v>20.831951772411294</c:v>
                </c:pt>
                <c:pt idx="2">
                  <c:v>19.533772959614403</c:v>
                </c:pt>
                <c:pt idx="3">
                  <c:v>19.569409240750005</c:v>
                </c:pt>
                <c:pt idx="4">
                  <c:v>16.264325983183912</c:v>
                </c:pt>
                <c:pt idx="5">
                  <c:v>17.509050374277404</c:v>
                </c:pt>
                <c:pt idx="6">
                  <c:v>13.805968038110136</c:v>
                </c:pt>
                <c:pt idx="7">
                  <c:v>9.8563408181679968</c:v>
                </c:pt>
                <c:pt idx="8">
                  <c:v>13.163605888864838</c:v>
                </c:pt>
                <c:pt idx="9">
                  <c:v>10.898520223623427</c:v>
                </c:pt>
                <c:pt idx="10">
                  <c:v>10.439975830643911</c:v>
                </c:pt>
                <c:pt idx="11">
                  <c:v>7.870345415901828</c:v>
                </c:pt>
                <c:pt idx="12">
                  <c:v>5.5408962633032584</c:v>
                </c:pt>
              </c:numCache>
            </c:numRef>
          </c:yVal>
          <c:smooth val="1"/>
          <c:extLst>
            <c:ext xmlns:c16="http://schemas.microsoft.com/office/drawing/2014/chart" uri="{C3380CC4-5D6E-409C-BE32-E72D297353CC}">
              <c16:uniqueId val="{00000001-7BC8-4662-8ADD-FED2E7B347FC}"/>
            </c:ext>
          </c:extLst>
        </c:ser>
        <c:ser>
          <c:idx val="1"/>
          <c:order val="1"/>
          <c:tx>
            <c:v>Wind tunnel, No tail</c:v>
          </c:tx>
          <c:spPr>
            <a:ln w="25400" cap="rnd">
              <a:noFill/>
              <a:round/>
            </a:ln>
            <a:effectLst/>
          </c:spPr>
          <c:marker>
            <c:symbol val="circle"/>
            <c:size val="5"/>
            <c:spPr>
              <a:noFill/>
              <a:ln w="9525">
                <a:solidFill>
                  <a:srgbClr val="FF0000"/>
                </a:solidFill>
              </a:ln>
              <a:effectLst/>
            </c:spPr>
          </c:marker>
          <c:trendline>
            <c:name>Wind tunnel, No tail</c:name>
            <c:spPr>
              <a:ln w="19050" cap="rnd">
                <a:solidFill>
                  <a:srgbClr val="FF0000"/>
                </a:solidFill>
                <a:prstDash val="sysDot"/>
              </a:ln>
              <a:effectLst/>
            </c:spPr>
            <c:trendlineType val="poly"/>
            <c:order val="2"/>
            <c:intercept val="0"/>
            <c:dispRSqr val="0"/>
            <c:dispEq val="0"/>
          </c:trendline>
          <c:errBars>
            <c:errDir val="x"/>
            <c:errBarType val="both"/>
            <c:errValType val="cust"/>
            <c:noEndCap val="0"/>
            <c:pl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errBars>
            <c:errDir val="y"/>
            <c:errBarType val="both"/>
            <c:errValType val="cust"/>
            <c:noEndCap val="0"/>
            <c:plus>
              <c:numRef>
                <c:f>WindTunnelData!$CM$16:$CM$23</c:f>
                <c:numCache>
                  <c:formatCode>General</c:formatCode>
                  <c:ptCount val="8"/>
                  <c:pt idx="0">
                    <c:v>0.56643064800819953</c:v>
                  </c:pt>
                  <c:pt idx="1">
                    <c:v>2.7614508620802636</c:v>
                  </c:pt>
                  <c:pt idx="2">
                    <c:v>3.2489143686695638</c:v>
                  </c:pt>
                  <c:pt idx="3">
                    <c:v>3.8707686930131913</c:v>
                  </c:pt>
                  <c:pt idx="4">
                    <c:v>3.062872579853241</c:v>
                  </c:pt>
                  <c:pt idx="5">
                    <c:v>1.9461188921103032</c:v>
                  </c:pt>
                  <c:pt idx="6">
                    <c:v>1.7808892866935906</c:v>
                  </c:pt>
                  <c:pt idx="7">
                    <c:v>1.1199519486159824</c:v>
                  </c:pt>
                </c:numCache>
              </c:numRef>
            </c:plus>
            <c:minus>
              <c:numRef>
                <c:f>WindTunnelData!$CM$16:$CM$23</c:f>
                <c:numCache>
                  <c:formatCode>General</c:formatCode>
                  <c:ptCount val="8"/>
                  <c:pt idx="0">
                    <c:v>0.56643064800819953</c:v>
                  </c:pt>
                  <c:pt idx="1">
                    <c:v>2.7614508620802636</c:v>
                  </c:pt>
                  <c:pt idx="2">
                    <c:v>3.2489143686695638</c:v>
                  </c:pt>
                  <c:pt idx="3">
                    <c:v>3.8707686930131913</c:v>
                  </c:pt>
                  <c:pt idx="4">
                    <c:v>3.062872579853241</c:v>
                  </c:pt>
                  <c:pt idx="5">
                    <c:v>1.9461188921103032</c:v>
                  </c:pt>
                  <c:pt idx="6">
                    <c:v>1.7808892866935906</c:v>
                  </c:pt>
                  <c:pt idx="7">
                    <c:v>1.1199519486159824</c:v>
                  </c:pt>
                </c:numCache>
              </c:numRef>
            </c:minus>
            <c:spPr>
              <a:noFill/>
              <a:ln w="6350" cap="flat" cmpd="sng" algn="ctr">
                <a:solidFill>
                  <a:srgbClr val="FF0000"/>
                </a:solidFill>
                <a:round/>
              </a:ln>
              <a:effectLst/>
            </c:spPr>
          </c:errBars>
          <c:x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xVal>
          <c:yVal>
            <c:numRef>
              <c:f>WindTunnelData!$CL$16:$CL$23</c:f>
              <c:numCache>
                <c:formatCode>General</c:formatCode>
                <c:ptCount val="8"/>
                <c:pt idx="0">
                  <c:v>-0.26587394149947463</c:v>
                </c:pt>
                <c:pt idx="1">
                  <c:v>6.1882617321159366</c:v>
                </c:pt>
                <c:pt idx="2">
                  <c:v>11.334382186982426</c:v>
                </c:pt>
                <c:pt idx="3">
                  <c:v>13.030329143561135</c:v>
                </c:pt>
                <c:pt idx="4">
                  <c:v>13.347771791775275</c:v>
                </c:pt>
                <c:pt idx="5">
                  <c:v>12.063722057611235</c:v>
                </c:pt>
                <c:pt idx="6">
                  <c:v>10.979744650169865</c:v>
                </c:pt>
                <c:pt idx="7">
                  <c:v>9.0982930617630835</c:v>
                </c:pt>
              </c:numCache>
            </c:numRef>
          </c:yVal>
          <c:smooth val="1"/>
          <c:extLst>
            <c:ext xmlns:c16="http://schemas.microsoft.com/office/drawing/2014/chart" uri="{C3380CC4-5D6E-409C-BE32-E72D297353CC}">
              <c16:uniqueId val="{00000003-7BC8-4662-8ADD-FED2E7B347FC}"/>
            </c:ext>
          </c:extLst>
        </c:ser>
        <c:ser>
          <c:idx val="2"/>
          <c:order val="2"/>
          <c:tx>
            <c:v>Wind tunnel, ΔiH = +1 deg</c:v>
          </c:tx>
          <c:spPr>
            <a:ln w="25400" cap="rnd">
              <a:noFill/>
              <a:round/>
            </a:ln>
            <a:effectLst/>
          </c:spPr>
          <c:marker>
            <c:symbol val="square"/>
            <c:size val="5"/>
            <c:spPr>
              <a:noFill/>
              <a:ln w="9525">
                <a:solidFill>
                  <a:srgbClr val="0000FF"/>
                </a:solidFill>
              </a:ln>
              <a:effectLst/>
            </c:spPr>
          </c:marker>
          <c:trendline>
            <c:spPr>
              <a:ln w="19050" cap="rnd">
                <a:solidFill>
                  <a:schemeClr val="accent3"/>
                </a:solidFill>
                <a:prstDash val="sysDot"/>
              </a:ln>
              <a:effectLst/>
            </c:spPr>
            <c:trendlineType val="power"/>
            <c:dispRSqr val="0"/>
            <c:dispEq val="0"/>
          </c:trendline>
          <c:trendline>
            <c:name>Wind tunnel, ΔiH = +1 deg</c:name>
            <c:spPr>
              <a:ln w="15875" cap="rnd">
                <a:solidFill>
                  <a:srgbClr val="0000FF"/>
                </a:solidFill>
                <a:prstDash val="dash"/>
              </a:ln>
              <a:effectLst/>
            </c:spPr>
            <c:trendlineType val="poly"/>
            <c:order val="2"/>
            <c:intercept val="0"/>
            <c:dispRSqr val="0"/>
            <c:dispEq val="0"/>
          </c:trendline>
          <c:errBars>
            <c:errDir val="x"/>
            <c:errBarType val="both"/>
            <c:errValType val="cust"/>
            <c:noEndCap val="0"/>
            <c:pl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rgbClr val="0000FF"/>
                </a:solidFill>
                <a:round/>
              </a:ln>
              <a:effectLst/>
            </c:spPr>
          </c:errBars>
          <c:errBars>
            <c:errDir val="y"/>
            <c:errBarType val="both"/>
            <c:errValType val="cust"/>
            <c:noEndCap val="0"/>
            <c:plus>
              <c:numRef>
                <c:f>WindTunnelData!$CM$28:$CM$35</c:f>
                <c:numCache>
                  <c:formatCode>General</c:formatCode>
                  <c:ptCount val="8"/>
                  <c:pt idx="0">
                    <c:v>0.10440338989101065</c:v>
                  </c:pt>
                  <c:pt idx="1">
                    <c:v>1.7863535533044039</c:v>
                  </c:pt>
                  <c:pt idx="2">
                    <c:v>3.301487084931257</c:v>
                  </c:pt>
                  <c:pt idx="3">
                    <c:v>2.9903905913872397</c:v>
                  </c:pt>
                  <c:pt idx="4">
                    <c:v>2.0122875771459339</c:v>
                  </c:pt>
                  <c:pt idx="5">
                    <c:v>1.4608173266281481</c:v>
                  </c:pt>
                  <c:pt idx="6">
                    <c:v>1.2496945698929836</c:v>
                  </c:pt>
                  <c:pt idx="7">
                    <c:v>0.81903707419041938</c:v>
                  </c:pt>
                </c:numCache>
              </c:numRef>
            </c:plus>
            <c:minus>
              <c:numRef>
                <c:f>WindTunnelData!$CM$28:$CM$35</c:f>
                <c:numCache>
                  <c:formatCode>General</c:formatCode>
                  <c:ptCount val="8"/>
                  <c:pt idx="0">
                    <c:v>0.10440338989101065</c:v>
                  </c:pt>
                  <c:pt idx="1">
                    <c:v>1.7863535533044039</c:v>
                  </c:pt>
                  <c:pt idx="2">
                    <c:v>3.301487084931257</c:v>
                  </c:pt>
                  <c:pt idx="3">
                    <c:v>2.9903905913872397</c:v>
                  </c:pt>
                  <c:pt idx="4">
                    <c:v>2.0122875771459339</c:v>
                  </c:pt>
                  <c:pt idx="5">
                    <c:v>1.4608173266281481</c:v>
                  </c:pt>
                  <c:pt idx="6">
                    <c:v>1.2496945698929836</c:v>
                  </c:pt>
                  <c:pt idx="7">
                    <c:v>0.81903707419041938</c:v>
                  </c:pt>
                </c:numCache>
              </c:numRef>
            </c:minus>
            <c:spPr>
              <a:noFill/>
              <a:ln w="6350" cap="flat" cmpd="sng" algn="ctr">
                <a:solidFill>
                  <a:srgbClr val="0000FF"/>
                </a:solidFill>
                <a:round/>
              </a:ln>
              <a:effectLst/>
            </c:spPr>
          </c:errBars>
          <c:x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xVal>
          <c:yVal>
            <c:numRef>
              <c:f>WindTunnelData!$CL$28:$CL$35</c:f>
              <c:numCache>
                <c:formatCode>General</c:formatCode>
                <c:ptCount val="8"/>
                <c:pt idx="0">
                  <c:v>-1.1913403423226232</c:v>
                </c:pt>
                <c:pt idx="1">
                  <c:v>5.1364030148206785</c:v>
                </c:pt>
                <c:pt idx="2">
                  <c:v>9.9683848186215513</c:v>
                </c:pt>
                <c:pt idx="3">
                  <c:v>12.073156721511602</c:v>
                </c:pt>
                <c:pt idx="4">
                  <c:v>12.393658805194175</c:v>
                </c:pt>
                <c:pt idx="5">
                  <c:v>11.510843621962541</c:v>
                </c:pt>
                <c:pt idx="6">
                  <c:v>9.9409444799362845</c:v>
                </c:pt>
                <c:pt idx="7">
                  <c:v>8.604014038983367</c:v>
                </c:pt>
              </c:numCache>
            </c:numRef>
          </c:yVal>
          <c:smooth val="1"/>
          <c:extLst>
            <c:ext xmlns:c16="http://schemas.microsoft.com/office/drawing/2014/chart" uri="{C3380CC4-5D6E-409C-BE32-E72D297353CC}">
              <c16:uniqueId val="{00000006-7BC8-4662-8ADD-FED2E7B347FC}"/>
            </c:ext>
          </c:extLst>
        </c:ser>
        <c:ser>
          <c:idx val="3"/>
          <c:order val="3"/>
          <c:tx>
            <c:v>Wind tunnel, ΔiH = -2 deg</c:v>
          </c:tx>
          <c:spPr>
            <a:ln w="25400" cap="rnd">
              <a:noFill/>
              <a:round/>
            </a:ln>
            <a:effectLst/>
          </c:spPr>
          <c:marker>
            <c:symbol val="none"/>
          </c:marker>
          <c:trendline>
            <c:spPr>
              <a:ln w="19050" cap="rnd">
                <a:solidFill>
                  <a:schemeClr val="accent4"/>
                </a:solidFill>
                <a:prstDash val="sysDot"/>
              </a:ln>
              <a:effectLst/>
            </c:spPr>
            <c:trendlineType val="log"/>
            <c:dispRSqr val="0"/>
            <c:dispEq val="0"/>
          </c:trendline>
          <c:errBars>
            <c:errDir val="x"/>
            <c:errBarType val="both"/>
            <c:errValType val="cust"/>
            <c:noEndCap val="0"/>
            <c:pl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plus>
            <c:min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minus>
            <c:spPr>
              <a:noFill/>
              <a:ln w="6350" cap="flat" cmpd="sng" algn="ctr">
                <a:solidFill>
                  <a:srgbClr val="00C800"/>
                </a:solidFill>
                <a:round/>
              </a:ln>
              <a:effectLst/>
            </c:spPr>
          </c:errBars>
          <c:errBars>
            <c:errDir val="y"/>
            <c:errBarType val="both"/>
            <c:errValType val="cust"/>
            <c:noEndCap val="0"/>
            <c:plus>
              <c:numRef>
                <c:f>WindTunnelData!$CM$40:$CM$55</c:f>
                <c:numCache>
                  <c:formatCode>General</c:formatCode>
                  <c:ptCount val="16"/>
                  <c:pt idx="0">
                    <c:v>-6.5212158463694131E-2</c:v>
                  </c:pt>
                  <c:pt idx="1">
                    <c:v>1.4904080438115295</c:v>
                  </c:pt>
                  <c:pt idx="2">
                    <c:v>2.812013510584678</c:v>
                  </c:pt>
                  <c:pt idx="3">
                    <c:v>2.7749938019111342</c:v>
                  </c:pt>
                  <c:pt idx="4">
                    <c:v>1.9050142249725326</c:v>
                  </c:pt>
                  <c:pt idx="5">
                    <c:v>1.9421564544017589</c:v>
                  </c:pt>
                  <c:pt idx="6">
                    <c:v>1.3624719495324507</c:v>
                  </c:pt>
                  <c:pt idx="7">
                    <c:v>1.2155340871594373</c:v>
                  </c:pt>
                  <c:pt idx="8">
                    <c:v>1.10039398199849</c:v>
                  </c:pt>
                  <c:pt idx="9">
                    <c:v>0.95026322627934745</c:v>
                  </c:pt>
                  <c:pt idx="10">
                    <c:v>1.4167684582584024</c:v>
                  </c:pt>
                  <c:pt idx="11">
                    <c:v>1.0145008635634449</c:v>
                  </c:pt>
                  <c:pt idx="12">
                    <c:v>0.77460013252193205</c:v>
                  </c:pt>
                  <c:pt idx="13">
                    <c:v>0.83960294625771736</c:v>
                  </c:pt>
                  <c:pt idx="14">
                    <c:v>0.68001679727385844</c:v>
                  </c:pt>
                  <c:pt idx="15">
                    <c:v>0.72303199446261579</c:v>
                  </c:pt>
                </c:numCache>
              </c:numRef>
            </c:plus>
            <c:minus>
              <c:numRef>
                <c:f>WindTunnelData!$CM$40:$CM$55</c:f>
                <c:numCache>
                  <c:formatCode>General</c:formatCode>
                  <c:ptCount val="16"/>
                  <c:pt idx="0">
                    <c:v>-6.5212158463694131E-2</c:v>
                  </c:pt>
                  <c:pt idx="1">
                    <c:v>1.4904080438115295</c:v>
                  </c:pt>
                  <c:pt idx="2">
                    <c:v>2.812013510584678</c:v>
                  </c:pt>
                  <c:pt idx="3">
                    <c:v>2.7749938019111342</c:v>
                  </c:pt>
                  <c:pt idx="4">
                    <c:v>1.9050142249725326</c:v>
                  </c:pt>
                  <c:pt idx="5">
                    <c:v>1.9421564544017589</c:v>
                  </c:pt>
                  <c:pt idx="6">
                    <c:v>1.3624719495324507</c:v>
                  </c:pt>
                  <c:pt idx="7">
                    <c:v>1.2155340871594373</c:v>
                  </c:pt>
                  <c:pt idx="8">
                    <c:v>1.10039398199849</c:v>
                  </c:pt>
                  <c:pt idx="9">
                    <c:v>0.95026322627934745</c:v>
                  </c:pt>
                  <c:pt idx="10">
                    <c:v>1.4167684582584024</c:v>
                  </c:pt>
                  <c:pt idx="11">
                    <c:v>1.0145008635634449</c:v>
                  </c:pt>
                  <c:pt idx="12">
                    <c:v>0.77460013252193205</c:v>
                  </c:pt>
                  <c:pt idx="13">
                    <c:v>0.83960294625771736</c:v>
                  </c:pt>
                  <c:pt idx="14">
                    <c:v>0.68001679727385844</c:v>
                  </c:pt>
                  <c:pt idx="15">
                    <c:v>0.72303199446261579</c:v>
                  </c:pt>
                </c:numCache>
              </c:numRef>
            </c:minus>
            <c:spPr>
              <a:noFill/>
              <a:ln w="6350" cap="flat" cmpd="sng" algn="ctr">
                <a:solidFill>
                  <a:srgbClr val="00C800"/>
                </a:solidFill>
                <a:round/>
              </a:ln>
              <a:effectLst/>
            </c:spPr>
          </c:errBars>
          <c:x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xVal>
          <c:yVal>
            <c:numRef>
              <c:f>WindTunnelData!$CL$40:$CL$55</c:f>
              <c:numCache>
                <c:formatCode>General</c:formatCode>
                <c:ptCount val="16"/>
                <c:pt idx="0">
                  <c:v>-2.6339964257917359</c:v>
                </c:pt>
                <c:pt idx="1">
                  <c:v>2.7369801026529648</c:v>
                </c:pt>
                <c:pt idx="2">
                  <c:v>8.6425683609778012</c:v>
                </c:pt>
                <c:pt idx="3">
                  <c:v>11.017998509262856</c:v>
                </c:pt>
                <c:pt idx="4">
                  <c:v>12.257034988493089</c:v>
                </c:pt>
                <c:pt idx="5">
                  <c:v>11.198304113965557</c:v>
                </c:pt>
                <c:pt idx="6">
                  <c:v>9.9990946842123023</c:v>
                </c:pt>
                <c:pt idx="7">
                  <c:v>9.4813408662010144</c:v>
                </c:pt>
                <c:pt idx="8">
                  <c:v>8.7022957650960215</c:v>
                </c:pt>
                <c:pt idx="9">
                  <c:v>8.1630986266833379</c:v>
                </c:pt>
                <c:pt idx="10">
                  <c:v>5.9054644770820435</c:v>
                </c:pt>
                <c:pt idx="11">
                  <c:v>5.3786496532382362</c:v>
                </c:pt>
                <c:pt idx="12">
                  <c:v>4.3259543018050968</c:v>
                </c:pt>
                <c:pt idx="13">
                  <c:v>3.4351783124958573</c:v>
                </c:pt>
                <c:pt idx="14">
                  <c:v>2.5756469015941925</c:v>
                </c:pt>
                <c:pt idx="15">
                  <c:v>2.5615935793149363</c:v>
                </c:pt>
              </c:numCache>
            </c:numRef>
          </c:yVal>
          <c:smooth val="1"/>
          <c:extLst>
            <c:ext xmlns:c16="http://schemas.microsoft.com/office/drawing/2014/chart" uri="{C3380CC4-5D6E-409C-BE32-E72D297353CC}">
              <c16:uniqueId val="{00000008-7BC8-4662-8ADD-FED2E7B347FC}"/>
            </c:ext>
          </c:extLst>
        </c:ser>
        <c:ser>
          <c:idx val="4"/>
          <c:order val="4"/>
          <c:tx>
            <c:v>Wind tunnel, ΔiH = -2 deg</c:v>
          </c:tx>
          <c:spPr>
            <a:ln w="25400" cap="rnd">
              <a:noFill/>
              <a:round/>
            </a:ln>
            <a:effectLst/>
          </c:spPr>
          <c:marker>
            <c:symbol val="triangle"/>
            <c:size val="6"/>
            <c:spPr>
              <a:noFill/>
              <a:ln w="9525">
                <a:solidFill>
                  <a:srgbClr val="00C800"/>
                </a:solidFill>
              </a:ln>
              <a:effectLst/>
            </c:spPr>
          </c:marker>
          <c:trendline>
            <c:name>Wind tunnel, ΔiH = -2 deg</c:name>
            <c:spPr>
              <a:ln w="15875" cap="rnd">
                <a:solidFill>
                  <a:srgbClr val="00C800"/>
                </a:solidFill>
                <a:prstDash val="lgDashDot"/>
              </a:ln>
              <a:effectLst/>
            </c:spPr>
            <c:trendlineType val="poly"/>
            <c:order val="2"/>
            <c:intercept val="0"/>
            <c:dispRSqr val="0"/>
            <c:dispEq val="0"/>
          </c:trendline>
          <c:x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xVal>
          <c:yVal>
            <c:numRef>
              <c:f>WindTunnelData!$CL$40:$CL$55</c:f>
              <c:numCache>
                <c:formatCode>General</c:formatCode>
                <c:ptCount val="16"/>
                <c:pt idx="0">
                  <c:v>-2.6339964257917359</c:v>
                </c:pt>
                <c:pt idx="1">
                  <c:v>2.7369801026529648</c:v>
                </c:pt>
                <c:pt idx="2">
                  <c:v>8.6425683609778012</c:v>
                </c:pt>
                <c:pt idx="3">
                  <c:v>11.017998509262856</c:v>
                </c:pt>
                <c:pt idx="4">
                  <c:v>12.257034988493089</c:v>
                </c:pt>
                <c:pt idx="5">
                  <c:v>11.198304113965557</c:v>
                </c:pt>
                <c:pt idx="6">
                  <c:v>9.9990946842123023</c:v>
                </c:pt>
                <c:pt idx="7">
                  <c:v>9.4813408662010144</c:v>
                </c:pt>
                <c:pt idx="8">
                  <c:v>8.7022957650960215</c:v>
                </c:pt>
                <c:pt idx="9">
                  <c:v>8.1630986266833379</c:v>
                </c:pt>
                <c:pt idx="10">
                  <c:v>5.9054644770820435</c:v>
                </c:pt>
                <c:pt idx="11">
                  <c:v>5.3786496532382362</c:v>
                </c:pt>
                <c:pt idx="12">
                  <c:v>4.3259543018050968</c:v>
                </c:pt>
                <c:pt idx="13">
                  <c:v>3.4351783124958573</c:v>
                </c:pt>
                <c:pt idx="14">
                  <c:v>2.5756469015941925</c:v>
                </c:pt>
                <c:pt idx="15">
                  <c:v>2.5615935793149363</c:v>
                </c:pt>
              </c:numCache>
            </c:numRef>
          </c:yVal>
          <c:smooth val="1"/>
          <c:extLst>
            <c:ext xmlns:c16="http://schemas.microsoft.com/office/drawing/2014/chart" uri="{C3380CC4-5D6E-409C-BE32-E72D297353CC}">
              <c16:uniqueId val="{0000000A-7BC8-4662-8ADD-FED2E7B347FC}"/>
            </c:ext>
          </c:extLst>
        </c:ser>
        <c:ser>
          <c:idx val="5"/>
          <c:order val="5"/>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B-7BC8-4662-8ADD-FED2E7B347FC}"/>
            </c:ext>
          </c:extLst>
        </c:ser>
        <c:ser>
          <c:idx val="6"/>
          <c:order val="6"/>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xmlns:c15="http://schemas.microsoft.com/office/drawing/2012/chart">
            <c:ext xmlns:c16="http://schemas.microsoft.com/office/drawing/2014/chart" uri="{C3380CC4-5D6E-409C-BE32-E72D297353CC}">
              <c16:uniqueId val="{0000000C-7BC8-4662-8ADD-FED2E7B347FC}"/>
            </c:ext>
          </c:extLst>
        </c:ser>
        <c:ser>
          <c:idx val="7"/>
          <c:order val="7"/>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6-42AD-4363-9F06-DC67430F98B5}"/>
            </c:ext>
          </c:extLst>
        </c:ser>
        <c:dLbls>
          <c:showLegendKey val="0"/>
          <c:showVal val="0"/>
          <c:showCatName val="0"/>
          <c:showSerName val="0"/>
          <c:showPercent val="0"/>
          <c:showBubbleSize val="0"/>
        </c:dLbls>
        <c:axId val="689813263"/>
        <c:axId val="689819023"/>
        <c:extLst/>
      </c:scatterChart>
      <c:valAx>
        <c:axId val="689813263"/>
        <c:scaling>
          <c:orientation val="minMax"/>
          <c:max val="1"/>
          <c:min val="-0.1"/>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L</a:t>
                </a:r>
                <a:endParaRPr lang="en-MY" sz="1800">
                  <a:solidFill>
                    <a:schemeClr val="tx1"/>
                  </a:solidFill>
                </a:endParaRPr>
              </a:p>
            </c:rich>
          </c:tx>
          <c:layout>
            <c:manualLayout>
              <c:xMode val="edge"/>
              <c:yMode val="edge"/>
              <c:x val="0.94070598969507346"/>
              <c:y val="0.6900932932526369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9023"/>
        <c:crosses val="autoZero"/>
        <c:crossBetween val="midCat"/>
        <c:majorUnit val="0.1"/>
        <c:minorUnit val="5.000000000000001E-2"/>
      </c:valAx>
      <c:valAx>
        <c:axId val="689819023"/>
        <c:scaling>
          <c:orientation val="minMax"/>
          <c:max val="25"/>
        </c:scaling>
        <c:delete val="0"/>
        <c:axPos val="l"/>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b="0" i="0" u="none" strike="noStrike" kern="1200" baseline="30000">
                    <a:solidFill>
                      <a:schemeClr val="tx1"/>
                    </a:solidFill>
                  </a:rPr>
                  <a:t>L</a:t>
                </a:r>
                <a:r>
                  <a:rPr lang="en-US" sz="1800" b="0" i="0" u="none" strike="noStrike" kern="1200" baseline="0">
                    <a:solidFill>
                      <a:schemeClr val="tx1"/>
                    </a:solidFill>
                  </a:rPr>
                  <a:t>/</a:t>
                </a:r>
                <a:r>
                  <a:rPr lang="en-US" sz="1800" b="0" i="0" u="none" strike="noStrike" kern="1200" baseline="-25000">
                    <a:solidFill>
                      <a:schemeClr val="tx1"/>
                    </a:solidFill>
                  </a:rPr>
                  <a:t>D</a:t>
                </a:r>
                <a:r>
                  <a:rPr lang="en-US" sz="1800" b="0" i="0" u="none" strike="noStrike" kern="1200" baseline="0">
                    <a:solidFill>
                      <a:schemeClr val="tx1"/>
                    </a:solidFill>
                  </a:rPr>
                  <a:t> </a:t>
                </a:r>
                <a:endParaRPr lang="en-MY" sz="1800">
                  <a:solidFill>
                    <a:schemeClr val="tx1"/>
                  </a:solidFill>
                </a:endParaRPr>
              </a:p>
            </c:rich>
          </c:tx>
          <c:layout>
            <c:manualLayout>
              <c:xMode val="edge"/>
              <c:yMode val="edge"/>
              <c:x val="1.6688197693609033E-3"/>
              <c:y val="0.35261442218838046"/>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3263"/>
        <c:crosses val="autoZero"/>
        <c:crossBetween val="midCat"/>
        <c:majorUnit val="2.5"/>
      </c:valAx>
      <c:spPr>
        <a:noFill/>
        <a:ln>
          <a:noFill/>
        </a:ln>
        <a:effectLst/>
      </c:spPr>
    </c:plotArea>
    <c:legend>
      <c:legendPos val="r"/>
      <c:legendEntry>
        <c:idx val="3"/>
        <c:delete val="1"/>
      </c:legendEntry>
      <c:legendEntry>
        <c:idx val="5"/>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6"/>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7"/>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10"/>
        <c:delete val="1"/>
      </c:legendEntry>
      <c:legendEntry>
        <c:idx val="12"/>
        <c:delete val="1"/>
      </c:legendEntry>
      <c:layout>
        <c:manualLayout>
          <c:xMode val="edge"/>
          <c:yMode val="edge"/>
          <c:x val="0.29062882009179036"/>
          <c:y val="0.61331365220244638"/>
          <c:w val="0.32193794755162491"/>
          <c:h val="0.3861771971606736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MY" sz="1600">
                <a:solidFill>
                  <a:schemeClr val="tx1"/>
                </a:solidFill>
              </a:rPr>
              <a:t>Find x</a:t>
            </a:r>
            <a:r>
              <a:rPr lang="en-MY" sz="1600" baseline="-25000">
                <a:solidFill>
                  <a:schemeClr val="tx1"/>
                </a:solidFill>
              </a:rPr>
              <a:t>np</a:t>
            </a:r>
            <a:r>
              <a:rPr lang="en-MY" sz="1600" baseline="0">
                <a:solidFill>
                  <a:schemeClr val="tx1"/>
                </a:solidFill>
              </a:rPr>
              <a:t> and </a:t>
            </a:r>
            <a:r>
              <a:rPr lang="el-GR" sz="1600" baseline="0">
                <a:solidFill>
                  <a:schemeClr val="tx1"/>
                </a:solidFill>
              </a:rPr>
              <a:t>η</a:t>
            </a:r>
            <a:r>
              <a:rPr lang="en-MY" sz="1600" baseline="-25000">
                <a:solidFill>
                  <a:schemeClr val="tx1"/>
                </a:solidFill>
              </a:rPr>
              <a:t>H</a:t>
            </a:r>
            <a:r>
              <a:rPr lang="en-MY" sz="1600" baseline="0">
                <a:solidFill>
                  <a:schemeClr val="tx1"/>
                </a:solidFill>
              </a:rPr>
              <a:t>a</a:t>
            </a:r>
            <a:r>
              <a:rPr lang="en-MY" sz="1600" baseline="-25000">
                <a:solidFill>
                  <a:schemeClr val="tx1"/>
                </a:solidFill>
              </a:rPr>
              <a:t>H</a:t>
            </a:r>
            <a:endParaRPr lang="en-MY"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MY"/>
        </a:p>
      </c:txPr>
    </c:title>
    <c:autoTitleDeleted val="0"/>
    <c:plotArea>
      <c:layout/>
      <c:scatterChart>
        <c:scatterStyle val="lineMarker"/>
        <c:varyColors val="0"/>
        <c:ser>
          <c:idx val="0"/>
          <c:order val="0"/>
          <c:tx>
            <c:v>plot</c:v>
          </c:tx>
          <c:spPr>
            <a:ln w="25400" cap="rnd">
              <a:noFill/>
              <a:round/>
            </a:ln>
            <a:effectLst/>
          </c:spPr>
          <c:marker>
            <c:symbol val="x"/>
            <c:size val="5"/>
            <c:spPr>
              <a:noFill/>
              <a:ln w="9525">
                <a:solidFill>
                  <a:schemeClr val="accent1"/>
                </a:solidFill>
              </a:ln>
              <a:effectLst/>
            </c:spPr>
          </c:marker>
          <c:dPt>
            <c:idx val="0"/>
            <c:marker>
              <c:symbol val="x"/>
              <c:size val="5"/>
              <c:spPr>
                <a:noFill/>
                <a:ln w="9525">
                  <a:solidFill>
                    <a:srgbClr val="00B050"/>
                  </a:solidFill>
                </a:ln>
                <a:effectLst/>
              </c:spPr>
            </c:marker>
            <c:bubble3D val="0"/>
            <c:extLst>
              <c:ext xmlns:c16="http://schemas.microsoft.com/office/drawing/2014/chart" uri="{C3380CC4-5D6E-409C-BE32-E72D297353CC}">
                <c16:uniqueId val="{00000002-EE02-4376-9312-E787DE9ED50B}"/>
              </c:ext>
            </c:extLst>
          </c:dPt>
          <c:dPt>
            <c:idx val="6"/>
            <c:marker>
              <c:symbol val="x"/>
              <c:size val="5"/>
              <c:spPr>
                <a:noFill/>
                <a:ln w="9525">
                  <a:solidFill>
                    <a:schemeClr val="tx1"/>
                  </a:solidFill>
                </a:ln>
                <a:effectLst/>
              </c:spPr>
            </c:marker>
            <c:bubble3D val="0"/>
            <c:extLst>
              <c:ext xmlns:c16="http://schemas.microsoft.com/office/drawing/2014/chart" uri="{C3380CC4-5D6E-409C-BE32-E72D297353CC}">
                <c16:uniqueId val="{00000003-EE02-4376-9312-E787DE9ED50B}"/>
              </c:ext>
            </c:extLst>
          </c:dPt>
          <c:dPt>
            <c:idx val="12"/>
            <c:marker>
              <c:symbol val="x"/>
              <c:size val="5"/>
              <c:spPr>
                <a:noFill/>
                <a:ln w="9525">
                  <a:solidFill>
                    <a:srgbClr val="FF0000"/>
                  </a:solidFill>
                </a:ln>
                <a:effectLst/>
              </c:spPr>
            </c:marker>
            <c:bubble3D val="0"/>
            <c:extLst>
              <c:ext xmlns:c16="http://schemas.microsoft.com/office/drawing/2014/chart" uri="{C3380CC4-5D6E-409C-BE32-E72D297353CC}">
                <c16:uniqueId val="{00000001-EE02-4376-9312-E787DE9ED50B}"/>
              </c:ext>
            </c:extLst>
          </c:dPt>
          <c:trendline>
            <c:spPr>
              <a:ln w="19050" cap="rnd">
                <a:solidFill>
                  <a:schemeClr val="tx1"/>
                </a:solidFill>
                <a:prstDash val="sysDot"/>
              </a:ln>
              <a:effectLst/>
            </c:spPr>
            <c:trendlineType val="linear"/>
            <c:dispRSqr val="1"/>
            <c:dispEq val="1"/>
            <c:trendlineLbl>
              <c:layout>
                <c:manualLayout>
                  <c:x val="0.10745974989945505"/>
                  <c:y val="-0.129030683659602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rendlineLbl>
          </c:trendline>
          <c:errBars>
            <c:errDir val="y"/>
            <c:errBarType val="both"/>
            <c:errValType val="cust"/>
            <c:noEndCap val="0"/>
            <c:plus>
              <c:numRef>
                <c:f>FlightSimData!$U$90:$U$92</c:f>
                <c:numCache>
                  <c:formatCode>General</c:formatCode>
                  <c:ptCount val="3"/>
                  <c:pt idx="0">
                    <c:v>1E-3</c:v>
                  </c:pt>
                  <c:pt idx="1">
                    <c:v>6.9999999999999999E-4</c:v>
                  </c:pt>
                  <c:pt idx="2">
                    <c:v>5.9999999999999995E-4</c:v>
                  </c:pt>
                </c:numCache>
              </c:numRef>
            </c:plus>
            <c:minus>
              <c:numRef>
                <c:f>FlightSimData!$U$90:$U$92</c:f>
                <c:numCache>
                  <c:formatCode>General</c:formatCode>
                  <c:ptCount val="3"/>
                  <c:pt idx="0">
                    <c:v>1E-3</c:v>
                  </c:pt>
                  <c:pt idx="1">
                    <c:v>6.9999999999999999E-4</c:v>
                  </c:pt>
                  <c:pt idx="2">
                    <c:v>5.9999999999999995E-4</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0"/>
            <c:spPr>
              <a:noFill/>
              <a:ln w="9525" cap="flat" cmpd="sng" algn="ctr">
                <a:solidFill>
                  <a:schemeClr val="tx1">
                    <a:lumMod val="65000"/>
                    <a:lumOff val="35000"/>
                  </a:schemeClr>
                </a:solidFill>
                <a:round/>
              </a:ln>
              <a:effectLst/>
            </c:spPr>
          </c:errBars>
          <c:xVal>
            <c:numRef>
              <c:f>FlightSimData!$Q$70:$Q$87</c:f>
              <c:numCache>
                <c:formatCode>General</c:formatCode>
                <c:ptCount val="18"/>
                <c:pt idx="0">
                  <c:v>10.118337485224503</c:v>
                </c:pt>
                <c:pt idx="6">
                  <c:v>10.118529301239633</c:v>
                </c:pt>
                <c:pt idx="12">
                  <c:v>10.117986089507911</c:v>
                </c:pt>
              </c:numCache>
            </c:numRef>
          </c:xVal>
          <c:yVal>
            <c:numRef>
              <c:f>FlightSimData!$U$70:$U$87</c:f>
              <c:numCache>
                <c:formatCode>General</c:formatCode>
                <c:ptCount val="18"/>
                <c:pt idx="0">
                  <c:v>-6.5107999999999997</c:v>
                </c:pt>
                <c:pt idx="6">
                  <c:v>-6.0275999999999996</c:v>
                </c:pt>
                <c:pt idx="12">
                  <c:v>-8.0366999999999997</c:v>
                </c:pt>
              </c:numCache>
            </c:numRef>
          </c:yVal>
          <c:smooth val="0"/>
          <c:extLst>
            <c:ext xmlns:c16="http://schemas.microsoft.com/office/drawing/2014/chart" uri="{C3380CC4-5D6E-409C-BE32-E72D297353CC}">
              <c16:uniqueId val="{00000000-EE02-4376-9312-E787DE9ED50B}"/>
            </c:ext>
          </c:extLst>
        </c:ser>
        <c:dLbls>
          <c:showLegendKey val="0"/>
          <c:showVal val="0"/>
          <c:showCatName val="0"/>
          <c:showSerName val="0"/>
          <c:showPercent val="0"/>
          <c:showBubbleSize val="0"/>
        </c:dLbls>
        <c:axId val="629969135"/>
        <c:axId val="629969615"/>
      </c:scatterChart>
      <c:valAx>
        <c:axId val="62996913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MY" sz="1600">
                    <a:solidFill>
                      <a:schemeClr val="tx1"/>
                    </a:solidFill>
                  </a:rPr>
                  <a:t>x</a:t>
                </a:r>
                <a:r>
                  <a:rPr lang="en-MY" sz="1600" baseline="-25000">
                    <a:solidFill>
                      <a:schemeClr val="tx1"/>
                    </a:solidFill>
                  </a:rPr>
                  <a:t>cg</a:t>
                </a:r>
                <a:endParaRPr lang="en-MY" sz="1600">
                  <a:solidFill>
                    <a:schemeClr val="tx1"/>
                  </a:solidFill>
                </a:endParaRPr>
              </a:p>
            </c:rich>
          </c:tx>
          <c:layout>
            <c:manualLayout>
              <c:xMode val="edge"/>
              <c:yMode val="edge"/>
              <c:x val="0.90441247759990862"/>
              <c:y val="0.243035985501656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MY"/>
            </a:p>
          </c:txPr>
        </c:title>
        <c:numFmt formatCode="General" sourceLinked="1"/>
        <c:majorTickMark val="none"/>
        <c:minorTickMark val="none"/>
        <c:tickLblPos val="high"/>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9969615"/>
        <c:crosses val="autoZero"/>
        <c:crossBetween val="midCat"/>
      </c:valAx>
      <c:valAx>
        <c:axId val="629969615"/>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MY" sz="1600" b="0" i="0" u="none" strike="noStrike" kern="1200" baseline="0">
                    <a:solidFill>
                      <a:schemeClr val="tx1"/>
                    </a:solidFill>
                  </a:rPr>
                  <a:t>diH/dCL</a:t>
                </a:r>
                <a:endParaRPr lang="en-MY" sz="1600">
                  <a:solidFill>
                    <a:schemeClr val="tx1"/>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MY"/>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9969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Wind tunnel: Cl vs AoA (Tarek)</a:t>
            </a:r>
            <a:endParaRPr lang="en-US"/>
          </a:p>
        </c:rich>
      </c:tx>
      <c:layout>
        <c:manualLayout>
          <c:xMode val="edge"/>
          <c:yMode val="edge"/>
          <c:x val="0.28135658526435842"/>
          <c:y val="5.26718423569838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Cl vs AoA test1  </c:v>
          </c:tx>
          <c:spPr>
            <a:ln w="25400" cap="rnd">
              <a:solidFill>
                <a:schemeClr val="accent3">
                  <a:lumMod val="60000"/>
                  <a:lumOff val="40000"/>
                </a:schemeClr>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1065834407202306"/>
                  <c:y val="8.45115576739810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WindTunnelData!$C$16:$C$23</c:f>
              <c:numCache>
                <c:formatCode>General</c:formatCode>
                <c:ptCount val="8"/>
                <c:pt idx="0">
                  <c:v>-2</c:v>
                </c:pt>
                <c:pt idx="1">
                  <c:v>0</c:v>
                </c:pt>
                <c:pt idx="2">
                  <c:v>2</c:v>
                </c:pt>
                <c:pt idx="3">
                  <c:v>4</c:v>
                </c:pt>
                <c:pt idx="4">
                  <c:v>6</c:v>
                </c:pt>
                <c:pt idx="5">
                  <c:v>8</c:v>
                </c:pt>
                <c:pt idx="6">
                  <c:v>10</c:v>
                </c:pt>
                <c:pt idx="7">
                  <c:v>12</c:v>
                </c:pt>
              </c:numCache>
            </c:numRef>
          </c:xVal>
          <c:y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yVal>
          <c:smooth val="0"/>
          <c:extLst>
            <c:ext xmlns:c16="http://schemas.microsoft.com/office/drawing/2014/chart" uri="{C3380CC4-5D6E-409C-BE32-E72D297353CC}">
              <c16:uniqueId val="{00000000-3BAA-8440-B3FD-4E1D65DE82E0}"/>
            </c:ext>
          </c:extLst>
        </c:ser>
        <c:ser>
          <c:idx val="1"/>
          <c:order val="1"/>
          <c:tx>
            <c:v>Cl vs AoA test2 </c:v>
          </c:tx>
          <c:spPr>
            <a:ln w="25400" cap="rnd">
              <a:solidFill>
                <a:schemeClr val="accent4"/>
              </a:solidFill>
              <a:round/>
            </a:ln>
            <a:effectLst/>
          </c:spPr>
          <c:marker>
            <c:symbol val="circle"/>
            <c:size val="5"/>
            <c:spPr>
              <a:solidFill>
                <a:schemeClr val="accent2"/>
              </a:solidFill>
              <a:ln w="9525">
                <a:solidFill>
                  <a:schemeClr val="tx1"/>
                </a:solidFill>
              </a:ln>
              <a:effectLst/>
            </c:spPr>
          </c:marker>
          <c:trendline>
            <c:spPr>
              <a:ln w="19050" cap="rnd">
                <a:solidFill>
                  <a:schemeClr val="accent2"/>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WindTunnelData!$C$28:$C$35</c:f>
              <c:numCache>
                <c:formatCode>General</c:formatCode>
                <c:ptCount val="8"/>
                <c:pt idx="0">
                  <c:v>-2</c:v>
                </c:pt>
                <c:pt idx="1">
                  <c:v>0</c:v>
                </c:pt>
                <c:pt idx="2">
                  <c:v>2</c:v>
                </c:pt>
                <c:pt idx="3">
                  <c:v>4</c:v>
                </c:pt>
                <c:pt idx="4">
                  <c:v>6</c:v>
                </c:pt>
                <c:pt idx="5">
                  <c:v>8</c:v>
                </c:pt>
                <c:pt idx="6">
                  <c:v>10</c:v>
                </c:pt>
                <c:pt idx="7">
                  <c:v>12</c:v>
                </c:pt>
              </c:numCache>
            </c:numRef>
          </c:xVal>
          <c:y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yVal>
          <c:smooth val="0"/>
          <c:extLst>
            <c:ext xmlns:c16="http://schemas.microsoft.com/office/drawing/2014/chart" uri="{C3380CC4-5D6E-409C-BE32-E72D297353CC}">
              <c16:uniqueId val="{00000001-3BAA-8440-B3FD-4E1D65DE82E0}"/>
            </c:ext>
          </c:extLst>
        </c:ser>
        <c:ser>
          <c:idx val="2"/>
          <c:order val="2"/>
          <c:tx>
            <c:v>Cl vs AoA test3</c:v>
          </c:tx>
          <c:spPr>
            <a:ln w="25400" cap="rnd">
              <a:solidFill>
                <a:schemeClr val="accent5"/>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5.1296294256924176E-2"/>
                  <c:y val="0.319304147986286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WindTunnelData!$C$40:$C$49</c:f>
              <c:numCache>
                <c:formatCode>General</c:formatCode>
                <c:ptCount val="10"/>
                <c:pt idx="0">
                  <c:v>-2</c:v>
                </c:pt>
                <c:pt idx="1">
                  <c:v>0</c:v>
                </c:pt>
                <c:pt idx="2">
                  <c:v>2</c:v>
                </c:pt>
                <c:pt idx="3">
                  <c:v>4</c:v>
                </c:pt>
                <c:pt idx="4">
                  <c:v>6</c:v>
                </c:pt>
                <c:pt idx="5">
                  <c:v>8</c:v>
                </c:pt>
                <c:pt idx="6">
                  <c:v>10</c:v>
                </c:pt>
                <c:pt idx="7">
                  <c:v>11</c:v>
                </c:pt>
                <c:pt idx="8">
                  <c:v>12</c:v>
                </c:pt>
                <c:pt idx="9">
                  <c:v>13</c:v>
                </c:pt>
              </c:numCache>
            </c:numRef>
          </c:xVal>
          <c:y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yVal>
          <c:smooth val="0"/>
          <c:extLst>
            <c:ext xmlns:c16="http://schemas.microsoft.com/office/drawing/2014/chart" uri="{C3380CC4-5D6E-409C-BE32-E72D297353CC}">
              <c16:uniqueId val="{00000002-2BFC-694C-A409-4602D98C62C6}"/>
            </c:ext>
          </c:extLst>
        </c:ser>
        <c:dLbls>
          <c:showLegendKey val="0"/>
          <c:showVal val="0"/>
          <c:showCatName val="0"/>
          <c:showSerName val="0"/>
          <c:showPercent val="0"/>
          <c:showBubbleSize val="0"/>
        </c:dLbls>
        <c:axId val="903219488"/>
        <c:axId val="830166960"/>
      </c:scatterChart>
      <c:valAx>
        <c:axId val="903219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Angle</a:t>
                </a:r>
                <a:r>
                  <a:rPr lang="en-US" baseline="0"/>
                  <a:t> of attack (degrees)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166960"/>
        <c:crosses val="autoZero"/>
        <c:crossBetween val="midCat"/>
      </c:valAx>
      <c:valAx>
        <c:axId val="83016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Coefficient</a:t>
                </a:r>
                <a:r>
                  <a:rPr lang="en-US" baseline="0"/>
                  <a:t> of lift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194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pre-stall</a:t>
            </a:r>
            <a:r>
              <a:rPr lang="en-US" baseline="0"/>
              <a:t> </a:t>
            </a:r>
            <a:r>
              <a:rPr lang="en-US"/>
              <a:t>Cl vs AoA test3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Until stall Cl vs AoA test3</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0.0702x + 0.098</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WindTunnelData!$C$40:$C$49</c:f>
              <c:numCache>
                <c:formatCode>General</c:formatCode>
                <c:ptCount val="10"/>
                <c:pt idx="0">
                  <c:v>-2</c:v>
                </c:pt>
                <c:pt idx="1">
                  <c:v>0</c:v>
                </c:pt>
                <c:pt idx="2">
                  <c:v>2</c:v>
                </c:pt>
                <c:pt idx="3">
                  <c:v>4</c:v>
                </c:pt>
                <c:pt idx="4">
                  <c:v>6</c:v>
                </c:pt>
                <c:pt idx="5">
                  <c:v>8</c:v>
                </c:pt>
                <c:pt idx="6">
                  <c:v>10</c:v>
                </c:pt>
                <c:pt idx="7">
                  <c:v>11</c:v>
                </c:pt>
                <c:pt idx="8">
                  <c:v>12</c:v>
                </c:pt>
                <c:pt idx="9">
                  <c:v>13</c:v>
                </c:pt>
              </c:numCache>
            </c:numRef>
          </c:xVal>
          <c:y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yVal>
          <c:smooth val="0"/>
          <c:extLst>
            <c:ext xmlns:c16="http://schemas.microsoft.com/office/drawing/2014/chart" uri="{C3380CC4-5D6E-409C-BE32-E72D297353CC}">
              <c16:uniqueId val="{00000000-BB7C-DE47-B69C-6DFCEF55A00E}"/>
            </c:ext>
          </c:extLst>
        </c:ser>
        <c:dLbls>
          <c:showLegendKey val="0"/>
          <c:showVal val="0"/>
          <c:showCatName val="0"/>
          <c:showSerName val="0"/>
          <c:showPercent val="0"/>
          <c:showBubbleSize val="0"/>
        </c:dLbls>
        <c:axId val="891554640"/>
        <c:axId val="851642912"/>
      </c:scatterChart>
      <c:valAx>
        <c:axId val="891554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AoA</a:t>
                </a:r>
                <a:r>
                  <a:rPr lang="en-US" baseline="0"/>
                  <a:t> (deg)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42912"/>
        <c:crosses val="autoZero"/>
        <c:crossBetween val="midCat"/>
      </c:valAx>
      <c:valAx>
        <c:axId val="85164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5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C</a:t>
            </a:r>
            <a:r>
              <a:rPr lang="en-US" sz="2000" baseline="-25000">
                <a:solidFill>
                  <a:schemeClr val="tx1"/>
                </a:solidFill>
              </a:rPr>
              <a:t>D</a:t>
            </a:r>
            <a:r>
              <a:rPr lang="en-US" sz="2000" baseline="0">
                <a:solidFill>
                  <a:schemeClr val="tx1"/>
                </a:solidFill>
              </a:rPr>
              <a:t> vs C</a:t>
            </a:r>
            <a:r>
              <a:rPr lang="en-US" sz="2000" baseline="-25000">
                <a:solidFill>
                  <a:schemeClr val="tx1"/>
                </a:solidFill>
              </a:rPr>
              <a:t>L</a:t>
            </a:r>
            <a:r>
              <a:rPr lang="en-US" sz="2000" baseline="30000">
                <a:solidFill>
                  <a:schemeClr val="tx1"/>
                </a:solidFill>
              </a:rPr>
              <a:t>2</a:t>
            </a:r>
            <a:endParaRPr lang="en-US" sz="2000">
              <a:solidFill>
                <a:schemeClr val="tx1"/>
              </a:solidFill>
            </a:endParaRPr>
          </a:p>
        </c:rich>
      </c:tx>
      <c:layout>
        <c:manualLayout>
          <c:xMode val="edge"/>
          <c:yMode val="edge"/>
          <c:x val="0.4323578935499563"/>
          <c:y val="8.0282357899172947E-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2.867140232767084E-2"/>
          <c:y val="1.7495924524616773E-2"/>
          <c:w val="0.92565026460984123"/>
          <c:h val="0.92566057988485684"/>
        </c:manualLayout>
      </c:layout>
      <c:scatterChart>
        <c:scatterStyle val="smoothMarker"/>
        <c:varyColors val="0"/>
        <c:ser>
          <c:idx val="0"/>
          <c:order val="0"/>
          <c:tx>
            <c:v>Flight test</c:v>
          </c:tx>
          <c:spPr>
            <a:ln w="19050" cap="rnd">
              <a:noFill/>
              <a:round/>
            </a:ln>
            <a:effectLst/>
          </c:spPr>
          <c:marker>
            <c:symbol val="x"/>
            <c:size val="6"/>
            <c:spPr>
              <a:noFill/>
              <a:ln w="9525">
                <a:solidFill>
                  <a:schemeClr val="tx1"/>
                </a:solidFill>
              </a:ln>
              <a:effectLst/>
            </c:spPr>
          </c:marker>
          <c:trendline>
            <c:name>Flight test</c:name>
            <c:spPr>
              <a:ln w="9525" cap="rnd">
                <a:solidFill>
                  <a:schemeClr val="tx1"/>
                </a:solidFill>
                <a:prstDash val="solid"/>
              </a:ln>
              <a:effectLst/>
            </c:spPr>
            <c:trendlineType val="linear"/>
            <c:forward val="0.55000000000000004"/>
            <c:backward val="0.11500000000000002"/>
            <c:dispRSqr val="0"/>
            <c:dispEq val="0"/>
          </c:trendline>
          <c:errBars>
            <c:errDir val="x"/>
            <c:errBarType val="both"/>
            <c:errValType val="cust"/>
            <c:noEndCap val="0"/>
            <c:plus>
              <c:numRef>
                <c:f>FlightSimData!$AL$52:$AL$64</c:f>
                <c:numCache>
                  <c:formatCode>General</c:formatCode>
                  <c:ptCount val="13"/>
                  <c:pt idx="0">
                    <c:v>1.9280837929631048E-2</c:v>
                  </c:pt>
                  <c:pt idx="1">
                    <c:v>7.8076942741713961E-3</c:v>
                  </c:pt>
                  <c:pt idx="2">
                    <c:v>4.0654881615254188E-3</c:v>
                  </c:pt>
                  <c:pt idx="3">
                    <c:v>2.0904366746878275E-3</c:v>
                  </c:pt>
                  <c:pt idx="4">
                    <c:v>1.5095765315562969E-3</c:v>
                  </c:pt>
                  <c:pt idx="5">
                    <c:v>1.1628226131684064E-3</c:v>
                  </c:pt>
                  <c:pt idx="6">
                    <c:v>7.664162344572672E-4</c:v>
                  </c:pt>
                  <c:pt idx="7">
                    <c:v>7.6645505743412558E-4</c:v>
                  </c:pt>
                  <c:pt idx="8">
                    <c:v>6.8958737308804003E-4</c:v>
                  </c:pt>
                  <c:pt idx="9">
                    <c:v>4.6942371251121269E-4</c:v>
                  </c:pt>
                  <c:pt idx="10">
                    <c:v>3.6931973021985356E-4</c:v>
                  </c:pt>
                  <c:pt idx="11">
                    <c:v>2.974360702955162E-4</c:v>
                  </c:pt>
                  <c:pt idx="12">
                    <c:v>2.2032038735451034E-4</c:v>
                  </c:pt>
                </c:numCache>
              </c:numRef>
            </c:plus>
            <c:minus>
              <c:numRef>
                <c:f>FlightSimData!$AL$52:$AL$64</c:f>
                <c:numCache>
                  <c:formatCode>General</c:formatCode>
                  <c:ptCount val="13"/>
                  <c:pt idx="0">
                    <c:v>1.9280837929631048E-2</c:v>
                  </c:pt>
                  <c:pt idx="1">
                    <c:v>7.8076942741713961E-3</c:v>
                  </c:pt>
                  <c:pt idx="2">
                    <c:v>4.0654881615254188E-3</c:v>
                  </c:pt>
                  <c:pt idx="3">
                    <c:v>2.0904366746878275E-3</c:v>
                  </c:pt>
                  <c:pt idx="4">
                    <c:v>1.5095765315562969E-3</c:v>
                  </c:pt>
                  <c:pt idx="5">
                    <c:v>1.1628226131684064E-3</c:v>
                  </c:pt>
                  <c:pt idx="6">
                    <c:v>7.664162344572672E-4</c:v>
                  </c:pt>
                  <c:pt idx="7">
                    <c:v>7.6645505743412558E-4</c:v>
                  </c:pt>
                  <c:pt idx="8">
                    <c:v>6.8958737308804003E-4</c:v>
                  </c:pt>
                  <c:pt idx="9">
                    <c:v>4.6942371251121269E-4</c:v>
                  </c:pt>
                  <c:pt idx="10">
                    <c:v>3.6931973021985356E-4</c:v>
                  </c:pt>
                  <c:pt idx="11">
                    <c:v>2.974360702955162E-4</c:v>
                  </c:pt>
                  <c:pt idx="12">
                    <c:v>2.2032038735451034E-4</c:v>
                  </c:pt>
                </c:numCache>
              </c:numRef>
            </c:minus>
            <c:spPr>
              <a:noFill/>
              <a:ln w="6350" cap="flat" cmpd="sng" algn="ctr">
                <a:solidFill>
                  <a:schemeClr val="tx1"/>
                </a:solidFill>
                <a:round/>
              </a:ln>
              <a:effectLst/>
            </c:spPr>
          </c:errBars>
          <c:errBars>
            <c:errDir val="y"/>
            <c:errBarType val="both"/>
            <c:errValType val="cust"/>
            <c:noEndCap val="0"/>
            <c:pl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plus>
            <c:min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minus>
            <c:spPr>
              <a:noFill/>
              <a:ln w="6350" cap="flat" cmpd="sng" algn="ctr">
                <a:solidFill>
                  <a:schemeClr val="tx1"/>
                </a:solidFill>
                <a:round/>
              </a:ln>
              <a:effectLst/>
            </c:spPr>
          </c:errBars>
          <c:xVal>
            <c:numRef>
              <c:f>FlightSimData!$AK$52:$AK$64</c:f>
              <c:numCache>
                <c:formatCode>General</c:formatCode>
                <c:ptCount val="13"/>
                <c:pt idx="0">
                  <c:v>0.48176252951864906</c:v>
                </c:pt>
                <c:pt idx="1">
                  <c:v>0.23408071842727521</c:v>
                </c:pt>
                <c:pt idx="2">
                  <c:v>0.1421918051019545</c:v>
                </c:pt>
                <c:pt idx="3">
                  <c:v>8.3550206308702218E-2</c:v>
                </c:pt>
                <c:pt idx="4">
                  <c:v>6.4101553705563682E-2</c:v>
                </c:pt>
                <c:pt idx="5">
                  <c:v>5.227972407645505E-2</c:v>
                </c:pt>
                <c:pt idx="6">
                  <c:v>3.7325904031797363E-2</c:v>
                </c:pt>
                <c:pt idx="7">
                  <c:v>3.7327795717200143E-2</c:v>
                </c:pt>
                <c:pt idx="8">
                  <c:v>3.4444819340661931E-2</c:v>
                </c:pt>
                <c:pt idx="9">
                  <c:v>2.5204032693874594E-2</c:v>
                </c:pt>
                <c:pt idx="10">
                  <c:v>2.0288480028626741E-2</c:v>
                </c:pt>
                <c:pt idx="11">
                  <c:v>1.7453438605703451E-2</c:v>
                </c:pt>
                <c:pt idx="12">
                  <c:v>1.3752559586288817E-2</c:v>
                </c:pt>
              </c:numCache>
            </c:numRef>
          </c:xVal>
          <c:yVal>
            <c:numRef>
              <c:f>FlightSimData!$AE$52:$AE$64</c:f>
              <c:numCache>
                <c:formatCode>General</c:formatCode>
                <c:ptCount val="13"/>
                <c:pt idx="0">
                  <c:v>3.6284670493903041E-2</c:v>
                </c:pt>
                <c:pt idx="1">
                  <c:v>2.3224846879241843E-2</c:v>
                </c:pt>
                <c:pt idx="2">
                  <c:v>1.9304170652078595E-2</c:v>
                </c:pt>
                <c:pt idx="3">
                  <c:v>1.4770528939999533E-2</c:v>
                </c:pt>
                <c:pt idx="4">
                  <c:v>1.5566759215883231E-2</c:v>
                </c:pt>
                <c:pt idx="5">
                  <c:v>1.3058823472657599E-2</c:v>
                </c:pt>
                <c:pt idx="6">
                  <c:v>1.3993885106919597E-2</c:v>
                </c:pt>
                <c:pt idx="7">
                  <c:v>1.960200339107087E-2</c:v>
                </c:pt>
                <c:pt idx="8">
                  <c:v>1.4098960193129067E-2</c:v>
                </c:pt>
                <c:pt idx="9">
                  <c:v>1.4566911533863951E-2</c:v>
                </c:pt>
                <c:pt idx="10">
                  <c:v>1.364348326922564E-2</c:v>
                </c:pt>
                <c:pt idx="11">
                  <c:v>1.6785980262405555E-2</c:v>
                </c:pt>
                <c:pt idx="12">
                  <c:v>2.1164682034744926E-2</c:v>
                </c:pt>
              </c:numCache>
            </c:numRef>
          </c:yVal>
          <c:smooth val="1"/>
          <c:extLst>
            <c:ext xmlns:c16="http://schemas.microsoft.com/office/drawing/2014/chart" uri="{C3380CC4-5D6E-409C-BE32-E72D297353CC}">
              <c16:uniqueId val="{00000001-DAB7-48D1-8FF7-5477369B3A88}"/>
            </c:ext>
          </c:extLst>
        </c:ser>
        <c:ser>
          <c:idx val="1"/>
          <c:order val="1"/>
          <c:tx>
            <c:v>Wind tunnel, No tail</c:v>
          </c:tx>
          <c:spPr>
            <a:ln w="25400" cap="rnd">
              <a:noFill/>
              <a:round/>
            </a:ln>
            <a:effectLst/>
          </c:spPr>
          <c:marker>
            <c:symbol val="circle"/>
            <c:size val="5"/>
            <c:spPr>
              <a:noFill/>
              <a:ln w="9525">
                <a:solidFill>
                  <a:srgbClr val="FF0000"/>
                </a:solidFill>
              </a:ln>
              <a:effectLst/>
            </c:spPr>
          </c:marker>
          <c:errBars>
            <c:errDir val="x"/>
            <c:errBarType val="both"/>
            <c:errValType val="cust"/>
            <c:noEndCap val="0"/>
            <c:plus>
              <c:numRef>
                <c:f>WindTunnelData!$CP$16:$CP$23</c:f>
                <c:numCache>
                  <c:formatCode>General</c:formatCode>
                  <c:ptCount val="8"/>
                  <c:pt idx="0">
                    <c:v>-1.7987668549181409E-4</c:v>
                  </c:pt>
                  <c:pt idx="1">
                    <c:v>4.1621141492175868E-3</c:v>
                  </c:pt>
                  <c:pt idx="2">
                    <c:v>6.3013608593957366E-3</c:v>
                  </c:pt>
                  <c:pt idx="3">
                    <c:v>1.2266644816616743E-2</c:v>
                  </c:pt>
                  <c:pt idx="4">
                    <c:v>1.6992904023442536E-2</c:v>
                  </c:pt>
                  <c:pt idx="5">
                    <c:v>1.9578434667812859E-2</c:v>
                  </c:pt>
                  <c:pt idx="6">
                    <c:v>3.2693914316626889E-2</c:v>
                  </c:pt>
                  <c:pt idx="7">
                    <c:v>3.0116078202704163E-2</c:v>
                  </c:pt>
                </c:numCache>
              </c:numRef>
            </c:plus>
            <c:minus>
              <c:numRef>
                <c:f>WindTunnelData!$CP$16:$CP$23</c:f>
                <c:numCache>
                  <c:formatCode>General</c:formatCode>
                  <c:ptCount val="8"/>
                  <c:pt idx="0">
                    <c:v>-1.7987668549181409E-4</c:v>
                  </c:pt>
                  <c:pt idx="1">
                    <c:v>4.1621141492175868E-3</c:v>
                  </c:pt>
                  <c:pt idx="2">
                    <c:v>6.3013608593957366E-3</c:v>
                  </c:pt>
                  <c:pt idx="3">
                    <c:v>1.2266644816616743E-2</c:v>
                  </c:pt>
                  <c:pt idx="4">
                    <c:v>1.6992904023442536E-2</c:v>
                  </c:pt>
                  <c:pt idx="5">
                    <c:v>1.9578434667812859E-2</c:v>
                  </c:pt>
                  <c:pt idx="6">
                    <c:v>3.2693914316626889E-2</c:v>
                  </c:pt>
                  <c:pt idx="7">
                    <c:v>3.0116078202704163E-2</c:v>
                  </c:pt>
                </c:numCache>
              </c:numRef>
            </c:minus>
            <c:spPr>
              <a:noFill/>
              <a:ln w="6350" cap="flat" cmpd="sng" algn="ctr">
                <a:solidFill>
                  <a:srgbClr val="FF0000"/>
                </a:solidFill>
                <a:round/>
              </a:ln>
              <a:effectLst/>
            </c:spPr>
          </c:errBars>
          <c:errBars>
            <c:errDir val="y"/>
            <c:errBarType val="both"/>
            <c:errValType val="cust"/>
            <c:noEndCap val="0"/>
            <c:pl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plus>
            <c:min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minus>
            <c:spPr>
              <a:noFill/>
              <a:ln w="6350" cap="flat" cmpd="sng" algn="ctr">
                <a:solidFill>
                  <a:srgbClr val="FF0000"/>
                </a:solidFill>
                <a:round/>
              </a:ln>
              <a:effectLst/>
            </c:spPr>
          </c:errBars>
          <c:xVal>
            <c:numRef>
              <c:f>WindTunnelData!$CO$16:$CO$23</c:f>
              <c:numCache>
                <c:formatCode>General</c:formatCode>
                <c:ptCount val="8"/>
                <c:pt idx="0">
                  <c:v>3.6710127684499752E-5</c:v>
                </c:pt>
                <c:pt idx="1">
                  <c:v>1.7701107821622902E-2</c:v>
                </c:pt>
                <c:pt idx="2">
                  <c:v>7.5958100559847155E-2</c:v>
                </c:pt>
                <c:pt idx="3">
                  <c:v>0.17418457182643937</c:v>
                </c:pt>
                <c:pt idx="4">
                  <c:v>0.30436238711384245</c:v>
                </c:pt>
                <c:pt idx="5">
                  <c:v>0.44316240412800617</c:v>
                </c:pt>
                <c:pt idx="6">
                  <c:v>0.57392682557037045</c:v>
                </c:pt>
                <c:pt idx="7">
                  <c:v>0.70581336713223275</c:v>
                </c:pt>
              </c:numCache>
            </c:numRef>
          </c:xVal>
          <c:yVal>
            <c:numRef>
              <c:f>WindTunnelData!$CF$16:$CF$23</c:f>
              <c:numCache>
                <c:formatCode>General</c:formatCode>
                <c:ptCount val="8"/>
                <c:pt idx="0">
                  <c:v>2.2788575242373904E-2</c:v>
                </c:pt>
                <c:pt idx="1">
                  <c:v>2.1499657916776167E-2</c:v>
                </c:pt>
                <c:pt idx="2">
                  <c:v>2.4315835428577383E-2</c:v>
                </c:pt>
                <c:pt idx="3">
                  <c:v>3.2029448189546388E-2</c:v>
                </c:pt>
                <c:pt idx="4">
                  <c:v>4.133202828660941E-2</c:v>
                </c:pt>
                <c:pt idx="5">
                  <c:v>5.5182342468022325E-2</c:v>
                </c:pt>
                <c:pt idx="6">
                  <c:v>6.8997923703347813E-2</c:v>
                </c:pt>
                <c:pt idx="7">
                  <c:v>9.2338968303444555E-2</c:v>
                </c:pt>
              </c:numCache>
            </c:numRef>
          </c:yVal>
          <c:smooth val="1"/>
          <c:extLst>
            <c:ext xmlns:c16="http://schemas.microsoft.com/office/drawing/2014/chart" uri="{C3380CC4-5D6E-409C-BE32-E72D297353CC}">
              <c16:uniqueId val="{00000002-DAB7-48D1-8FF7-5477369B3A88}"/>
            </c:ext>
          </c:extLst>
        </c:ser>
        <c:ser>
          <c:idx val="2"/>
          <c:order val="2"/>
          <c:tx>
            <c:v>Wind tunnel, ΔiH = +1 deg</c:v>
          </c:tx>
          <c:spPr>
            <a:ln w="25400" cap="rnd">
              <a:noFill/>
              <a:round/>
            </a:ln>
            <a:effectLst/>
          </c:spPr>
          <c:marker>
            <c:symbol val="square"/>
            <c:size val="5"/>
            <c:spPr>
              <a:noFill/>
              <a:ln w="9525">
                <a:solidFill>
                  <a:srgbClr val="0000FF"/>
                </a:solidFill>
              </a:ln>
              <a:effectLst/>
            </c:spPr>
          </c:marker>
          <c:errBars>
            <c:errDir val="x"/>
            <c:errBarType val="both"/>
            <c:errValType val="cust"/>
            <c:noEndCap val="0"/>
            <c:plus>
              <c:numRef>
                <c:f>WindTunnelData!$CP$28:$CP$35</c:f>
                <c:numCache>
                  <c:formatCode>General</c:formatCode>
                  <c:ptCount val="8"/>
                  <c:pt idx="0">
                    <c:v>-7.7293432230337829E-4</c:v>
                  </c:pt>
                  <c:pt idx="1">
                    <c:v>4.074424996413006E-3</c:v>
                  </c:pt>
                  <c:pt idx="2">
                    <c:v>9.5929310640025401E-3</c:v>
                  </c:pt>
                  <c:pt idx="3">
                    <c:v>1.3468771394686845E-2</c:v>
                  </c:pt>
                  <c:pt idx="4">
                    <c:v>1.7201120181636755E-2</c:v>
                  </c:pt>
                  <c:pt idx="5">
                    <c:v>2.0166657741494422E-2</c:v>
                  </c:pt>
                  <c:pt idx="6">
                    <c:v>2.7123591579250761E-2</c:v>
                  </c:pt>
                  <c:pt idx="7">
                    <c:v>2.90081063280553E-2</c:v>
                  </c:pt>
                </c:numCache>
              </c:numRef>
            </c:plus>
            <c:minus>
              <c:numRef>
                <c:f>WindTunnelData!$CP$28:$CP$35</c:f>
                <c:numCache>
                  <c:formatCode>General</c:formatCode>
                  <c:ptCount val="8"/>
                  <c:pt idx="0">
                    <c:v>-7.7293432230337829E-4</c:v>
                  </c:pt>
                  <c:pt idx="1">
                    <c:v>4.074424996413006E-3</c:v>
                  </c:pt>
                  <c:pt idx="2">
                    <c:v>9.5929310640025401E-3</c:v>
                  </c:pt>
                  <c:pt idx="3">
                    <c:v>1.3468771394686845E-2</c:v>
                  </c:pt>
                  <c:pt idx="4">
                    <c:v>1.7201120181636755E-2</c:v>
                  </c:pt>
                  <c:pt idx="5">
                    <c:v>2.0166657741494422E-2</c:v>
                  </c:pt>
                  <c:pt idx="6">
                    <c:v>2.7123591579250761E-2</c:v>
                  </c:pt>
                  <c:pt idx="7">
                    <c:v>2.90081063280553E-2</c:v>
                  </c:pt>
                </c:numCache>
              </c:numRef>
            </c:minus>
            <c:spPr>
              <a:noFill/>
              <a:ln w="6350" cap="flat" cmpd="sng" algn="ctr">
                <a:solidFill>
                  <a:srgbClr val="0000FF"/>
                </a:solidFill>
                <a:round/>
              </a:ln>
              <a:effectLst/>
            </c:spPr>
          </c:errBars>
          <c:errBars>
            <c:errDir val="y"/>
            <c:errBarType val="both"/>
            <c:errValType val="cust"/>
            <c:noEndCap val="0"/>
            <c:pl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plus>
            <c:min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minus>
            <c:spPr>
              <a:noFill/>
              <a:ln w="6350" cap="flat" cmpd="sng" algn="ctr">
                <a:solidFill>
                  <a:srgbClr val="0000FF"/>
                </a:solidFill>
                <a:round/>
              </a:ln>
              <a:effectLst/>
            </c:spPr>
          </c:errBars>
          <c:xVal>
            <c:numRef>
              <c:f>WindTunnelData!$CO$28:$CO$35</c:f>
              <c:numCache>
                <c:formatCode>General</c:formatCode>
                <c:ptCount val="8"/>
                <c:pt idx="0">
                  <c:v>1.0313028652228519E-3</c:v>
                </c:pt>
                <c:pt idx="1">
                  <c:v>1.838723292881074E-2</c:v>
                </c:pt>
                <c:pt idx="2">
                  <c:v>8.7814441381012756E-2</c:v>
                </c:pt>
                <c:pt idx="3">
                  <c:v>0.21118596371272536</c:v>
                </c:pt>
                <c:pt idx="4">
                  <c:v>0.38577789794566658</c:v>
                </c:pt>
                <c:pt idx="5">
                  <c:v>0.56161693963587322</c:v>
                </c:pt>
                <c:pt idx="6">
                  <c:v>0.73958200789637407</c:v>
                </c:pt>
                <c:pt idx="7">
                  <c:v>0.90956803941810604</c:v>
                </c:pt>
              </c:numCache>
            </c:numRef>
          </c:xVal>
          <c:yVal>
            <c:numRef>
              <c:f>WindTunnelData!$CF$28:$CF$35</c:f>
              <c:numCache>
                <c:formatCode>General</c:formatCode>
                <c:ptCount val="8"/>
                <c:pt idx="0">
                  <c:v>2.6956112712433488E-2</c:v>
                </c:pt>
                <c:pt idx="1">
                  <c:v>2.639970638136184E-2</c:v>
                </c:pt>
                <c:pt idx="2">
                  <c:v>2.9727485529569567E-2</c:v>
                </c:pt>
                <c:pt idx="3">
                  <c:v>3.8063760025211224E-2</c:v>
                </c:pt>
                <c:pt idx="4">
                  <c:v>5.0115161613790635E-2</c:v>
                </c:pt>
                <c:pt idx="5">
                  <c:v>6.5104790445474028E-2</c:v>
                </c:pt>
                <c:pt idx="6">
                  <c:v>8.6509842313949786E-2</c:v>
                </c:pt>
                <c:pt idx="7">
                  <c:v>0.11084509641167141</c:v>
                </c:pt>
              </c:numCache>
            </c:numRef>
          </c:yVal>
          <c:smooth val="1"/>
          <c:extLst>
            <c:ext xmlns:c16="http://schemas.microsoft.com/office/drawing/2014/chart" uri="{C3380CC4-5D6E-409C-BE32-E72D297353CC}">
              <c16:uniqueId val="{00000003-DAB7-48D1-8FF7-5477369B3A88}"/>
            </c:ext>
          </c:extLst>
        </c:ser>
        <c:ser>
          <c:idx val="3"/>
          <c:order val="3"/>
          <c:tx>
            <c:v>Wind tunnel, ΔiH = -2 deg</c:v>
          </c:tx>
          <c:spPr>
            <a:ln w="25400" cap="rnd">
              <a:noFill/>
              <a:round/>
            </a:ln>
            <a:effectLst/>
          </c:spPr>
          <c:marker>
            <c:symbol val="triangle"/>
            <c:size val="6"/>
            <c:spPr>
              <a:noFill/>
              <a:ln w="9525">
                <a:solidFill>
                  <a:srgbClr val="00C800"/>
                </a:solidFill>
              </a:ln>
              <a:effectLst/>
            </c:spPr>
          </c:marker>
          <c:errBars>
            <c:errDir val="x"/>
            <c:errBarType val="both"/>
            <c:errValType val="cust"/>
            <c:noEndCap val="0"/>
            <c:plus>
              <c:numRef>
                <c:f>WindTunnelData!$CP$40:$CP$49</c:f>
                <c:numCache>
                  <c:formatCode>General</c:formatCode>
                  <c:ptCount val="10"/>
                  <c:pt idx="0">
                    <c:v>-3.0755527828746332E-3</c:v>
                  </c:pt>
                  <c:pt idx="1">
                    <c:v>2.754681372571643E-3</c:v>
                  </c:pt>
                  <c:pt idx="2">
                    <c:v>7.5506764411252363E-3</c:v>
                  </c:pt>
                  <c:pt idx="3">
                    <c:v>1.2366853186980532E-2</c:v>
                  </c:pt>
                  <c:pt idx="4">
                    <c:v>1.3539444323238772E-2</c:v>
                  </c:pt>
                  <c:pt idx="5">
                    <c:v>2.3503201312401939E-2</c:v>
                  </c:pt>
                  <c:pt idx="6">
                    <c:v>2.8969101842351536E-2</c:v>
                  </c:pt>
                  <c:pt idx="7">
                    <c:v>3.4599652857075107E-2</c:v>
                  </c:pt>
                  <c:pt idx="8">
                    <c:v>4.0146879710192984E-2</c:v>
                  </c:pt>
                  <c:pt idx="9">
                    <c:v>4.0965758464212763E-2</c:v>
                  </c:pt>
                </c:numCache>
              </c:numRef>
            </c:plus>
            <c:minus>
              <c:numRef>
                <c:f>WindTunnelData!$CP$40:$CP$49</c:f>
                <c:numCache>
                  <c:formatCode>General</c:formatCode>
                  <c:ptCount val="10"/>
                  <c:pt idx="0">
                    <c:v>-3.0755527828746332E-3</c:v>
                  </c:pt>
                  <c:pt idx="1">
                    <c:v>2.754681372571643E-3</c:v>
                  </c:pt>
                  <c:pt idx="2">
                    <c:v>7.5506764411252363E-3</c:v>
                  </c:pt>
                  <c:pt idx="3">
                    <c:v>1.2366853186980532E-2</c:v>
                  </c:pt>
                  <c:pt idx="4">
                    <c:v>1.3539444323238772E-2</c:v>
                  </c:pt>
                  <c:pt idx="5">
                    <c:v>2.3503201312401939E-2</c:v>
                  </c:pt>
                  <c:pt idx="6">
                    <c:v>2.8969101842351536E-2</c:v>
                  </c:pt>
                  <c:pt idx="7">
                    <c:v>3.4599652857075107E-2</c:v>
                  </c:pt>
                  <c:pt idx="8">
                    <c:v>4.0146879710192984E-2</c:v>
                  </c:pt>
                  <c:pt idx="9">
                    <c:v>4.0965758464212763E-2</c:v>
                  </c:pt>
                </c:numCache>
              </c:numRef>
            </c:minus>
            <c:spPr>
              <a:noFill/>
              <a:ln w="6350" cap="flat" cmpd="sng" algn="ctr">
                <a:solidFill>
                  <a:srgbClr val="00C800"/>
                </a:solidFill>
                <a:round/>
              </a:ln>
              <a:effectLst/>
            </c:spPr>
          </c:errBars>
          <c:errBars>
            <c:errDir val="y"/>
            <c:errBarType val="both"/>
            <c:errValType val="cust"/>
            <c:noEndCap val="0"/>
            <c:pl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plus>
            <c:min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minus>
            <c:spPr>
              <a:noFill/>
              <a:ln w="6350" cap="flat" cmpd="sng" algn="ctr">
                <a:solidFill>
                  <a:srgbClr val="00C800"/>
                </a:solidFill>
                <a:round/>
              </a:ln>
              <a:effectLst/>
            </c:spPr>
          </c:errBars>
          <c:xVal>
            <c:numRef>
              <c:f>WindTunnelData!$CO$40:$CO$49</c:f>
              <c:numCache>
                <c:formatCode>General</c:formatCode>
                <c:ptCount val="10"/>
                <c:pt idx="0">
                  <c:v>6.7568839233843325E-3</c:v>
                </c:pt>
                <c:pt idx="1">
                  <c:v>6.0198679694221944E-3</c:v>
                </c:pt>
                <c:pt idx="2">
                  <c:v>6.0719806514543742E-2</c:v>
                </c:pt>
                <c:pt idx="3">
                  <c:v>0.16819823355559885</c:v>
                </c:pt>
                <c:pt idx="4">
                  <c:v>0.31858374268546819</c:v>
                </c:pt>
                <c:pt idx="5">
                  <c:v>0.48990206584504381</c:v>
                </c:pt>
                <c:pt idx="6">
                  <c:v>0.66450779791405501</c:v>
                </c:pt>
                <c:pt idx="7">
                  <c:v>0.76014809679287387</c:v>
                </c:pt>
                <c:pt idx="8">
                  <c:v>0.84247200917877185</c:v>
                </c:pt>
                <c:pt idx="9">
                  <c:v>0.91862821870019251</c:v>
                </c:pt>
              </c:numCache>
            </c:numRef>
          </c:xVal>
          <c:yVal>
            <c:numRef>
              <c:f>WindTunnelData!$CF$40:$CF$49</c:f>
              <c:numCache>
                <c:formatCode>General</c:formatCode>
                <c:ptCount val="10"/>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numCache>
            </c:numRef>
          </c:yVal>
          <c:smooth val="1"/>
          <c:extLst>
            <c:ext xmlns:c16="http://schemas.microsoft.com/office/drawing/2014/chart" uri="{C3380CC4-5D6E-409C-BE32-E72D297353CC}">
              <c16:uniqueId val="{00000004-DAB7-48D1-8FF7-5477369B3A88}"/>
            </c:ext>
          </c:extLst>
        </c:ser>
        <c:ser>
          <c:idx val="4"/>
          <c:order val="4"/>
          <c:tx>
            <c:v>ΔiH = -2 deg, before stall</c:v>
          </c:tx>
          <c:spPr>
            <a:ln w="25400" cap="rnd">
              <a:noFill/>
              <a:round/>
            </a:ln>
            <a:effectLst/>
          </c:spPr>
          <c:marker>
            <c:symbol val="none"/>
          </c:marker>
          <c:trendline>
            <c:name>Wind tunnel, ΔiH = -2 deg</c:name>
            <c:spPr>
              <a:ln w="15875" cap="rnd">
                <a:solidFill>
                  <a:srgbClr val="00C800"/>
                </a:solidFill>
                <a:prstDash val="lgDashDot"/>
              </a:ln>
              <a:effectLst/>
            </c:spPr>
            <c:trendlineType val="linear"/>
            <c:forward val="0.5"/>
            <c:backward val="0.15000000000000002"/>
            <c:dispRSqr val="0"/>
            <c:dispEq val="0"/>
          </c:trendline>
          <c:xVal>
            <c:numRef>
              <c:f>WindTunnelData!$CO$42:$CO$45</c:f>
              <c:numCache>
                <c:formatCode>General</c:formatCode>
                <c:ptCount val="4"/>
                <c:pt idx="0">
                  <c:v>6.0719806514543742E-2</c:v>
                </c:pt>
                <c:pt idx="1">
                  <c:v>0.16819823355559885</c:v>
                </c:pt>
                <c:pt idx="2">
                  <c:v>0.31858374268546819</c:v>
                </c:pt>
                <c:pt idx="3">
                  <c:v>0.48990206584504381</c:v>
                </c:pt>
              </c:numCache>
            </c:numRef>
          </c:xVal>
          <c:yVal>
            <c:numRef>
              <c:f>WindTunnelData!$CF$42:$CF$45</c:f>
              <c:numCache>
                <c:formatCode>General</c:formatCode>
                <c:ptCount val="4"/>
                <c:pt idx="0">
                  <c:v>2.8511650982190752E-2</c:v>
                </c:pt>
                <c:pt idx="1">
                  <c:v>3.722271147320718E-2</c:v>
                </c:pt>
                <c:pt idx="2">
                  <c:v>4.6049654823073619E-2</c:v>
                </c:pt>
                <c:pt idx="3">
                  <c:v>6.2503218024203694E-2</c:v>
                </c:pt>
              </c:numCache>
            </c:numRef>
          </c:yVal>
          <c:smooth val="1"/>
          <c:extLst>
            <c:ext xmlns:c16="http://schemas.microsoft.com/office/drawing/2014/chart" uri="{C3380CC4-5D6E-409C-BE32-E72D297353CC}">
              <c16:uniqueId val="{00000006-DAB7-48D1-8FF7-5477369B3A88}"/>
            </c:ext>
          </c:extLst>
        </c:ser>
        <c:ser>
          <c:idx val="5"/>
          <c:order val="5"/>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7-DAB7-48D1-8FF7-5477369B3A88}"/>
            </c:ext>
          </c:extLst>
        </c:ser>
        <c:ser>
          <c:idx val="7"/>
          <c:order val="7"/>
          <c:tx>
            <c:v>  ΔiH = +1 deg</c:v>
          </c:tx>
          <c:spPr>
            <a:ln w="25400" cap="rnd">
              <a:noFill/>
              <a:round/>
            </a:ln>
            <a:effectLst/>
          </c:spPr>
          <c:marker>
            <c:symbol val="none"/>
          </c:marker>
          <c:trendline>
            <c:name>Wind tunnel, ΔiH = +1 deg</c:name>
            <c:spPr>
              <a:ln w="15875" cap="rnd">
                <a:solidFill>
                  <a:srgbClr val="0000FF"/>
                </a:solidFill>
                <a:prstDash val="dash"/>
              </a:ln>
              <a:effectLst/>
            </c:spPr>
            <c:trendlineType val="linear"/>
            <c:forward val="0.45"/>
            <c:backward val="0.12000000000000001"/>
            <c:dispRSqr val="0"/>
            <c:dispEq val="0"/>
          </c:trendline>
          <c:xVal>
            <c:numRef>
              <c:f>WindTunnelData!$CO$29:$CO$33</c:f>
              <c:numCache>
                <c:formatCode>General</c:formatCode>
                <c:ptCount val="5"/>
                <c:pt idx="0">
                  <c:v>1.838723292881074E-2</c:v>
                </c:pt>
                <c:pt idx="1">
                  <c:v>8.7814441381012756E-2</c:v>
                </c:pt>
                <c:pt idx="2">
                  <c:v>0.21118596371272536</c:v>
                </c:pt>
                <c:pt idx="3">
                  <c:v>0.38577789794566658</c:v>
                </c:pt>
                <c:pt idx="4">
                  <c:v>0.56161693963587322</c:v>
                </c:pt>
              </c:numCache>
            </c:numRef>
          </c:xVal>
          <c:yVal>
            <c:numRef>
              <c:f>WindTunnelData!$CF$29:$CF$33</c:f>
              <c:numCache>
                <c:formatCode>General</c:formatCode>
                <c:ptCount val="5"/>
                <c:pt idx="0">
                  <c:v>2.639970638136184E-2</c:v>
                </c:pt>
                <c:pt idx="1">
                  <c:v>2.9727485529569567E-2</c:v>
                </c:pt>
                <c:pt idx="2">
                  <c:v>3.8063760025211224E-2</c:v>
                </c:pt>
                <c:pt idx="3">
                  <c:v>5.0115161613790635E-2</c:v>
                </c:pt>
                <c:pt idx="4">
                  <c:v>6.5104790445474028E-2</c:v>
                </c:pt>
              </c:numCache>
            </c:numRef>
          </c:yVal>
          <c:smooth val="1"/>
          <c:extLst>
            <c:ext xmlns:c16="http://schemas.microsoft.com/office/drawing/2014/chart" uri="{C3380CC4-5D6E-409C-BE32-E72D297353CC}">
              <c16:uniqueId val="{00000009-DAB7-48D1-8FF7-5477369B3A88}"/>
            </c:ext>
          </c:extLst>
        </c:ser>
        <c:ser>
          <c:idx val="8"/>
          <c:order val="8"/>
          <c:tx>
            <c:v>no tail</c:v>
          </c:tx>
          <c:spPr>
            <a:ln w="25400" cap="rnd">
              <a:noFill/>
              <a:round/>
            </a:ln>
            <a:effectLst/>
          </c:spPr>
          <c:marker>
            <c:symbol val="none"/>
          </c:marker>
          <c:trendline>
            <c:name>Wind tunnel, No tail</c:name>
            <c:spPr>
              <a:ln w="19050" cap="rnd">
                <a:solidFill>
                  <a:srgbClr val="FF0000"/>
                </a:solidFill>
                <a:prstDash val="sysDot"/>
              </a:ln>
              <a:effectLst/>
            </c:spPr>
            <c:trendlineType val="linear"/>
            <c:forward val="0.70000000000000007"/>
            <c:backward val="0.12000000000000001"/>
            <c:dispRSqr val="0"/>
            <c:dispEq val="0"/>
          </c:trendline>
          <c:xVal>
            <c:numRef>
              <c:f>WindTunnelData!$CO$17:$CO$20</c:f>
              <c:numCache>
                <c:formatCode>General</c:formatCode>
                <c:ptCount val="4"/>
                <c:pt idx="0">
                  <c:v>1.7701107821622902E-2</c:v>
                </c:pt>
                <c:pt idx="1">
                  <c:v>7.5958100559847155E-2</c:v>
                </c:pt>
                <c:pt idx="2">
                  <c:v>0.17418457182643937</c:v>
                </c:pt>
                <c:pt idx="3">
                  <c:v>0.30436238711384245</c:v>
                </c:pt>
              </c:numCache>
            </c:numRef>
          </c:xVal>
          <c:yVal>
            <c:numRef>
              <c:f>WindTunnelData!$CF$17:$CF$20</c:f>
              <c:numCache>
                <c:formatCode>General</c:formatCode>
                <c:ptCount val="4"/>
                <c:pt idx="0">
                  <c:v>2.1499657916776167E-2</c:v>
                </c:pt>
                <c:pt idx="1">
                  <c:v>2.4315835428577383E-2</c:v>
                </c:pt>
                <c:pt idx="2">
                  <c:v>3.2029448189546388E-2</c:v>
                </c:pt>
                <c:pt idx="3">
                  <c:v>4.133202828660941E-2</c:v>
                </c:pt>
              </c:numCache>
            </c:numRef>
          </c:yVal>
          <c:smooth val="1"/>
          <c:extLst>
            <c:ext xmlns:c16="http://schemas.microsoft.com/office/drawing/2014/chart" uri="{C3380CC4-5D6E-409C-BE32-E72D297353CC}">
              <c16:uniqueId val="{0000000B-DAB7-48D1-8FF7-5477369B3A88}"/>
            </c:ext>
          </c:extLst>
        </c:ser>
        <c:dLbls>
          <c:showLegendKey val="0"/>
          <c:showVal val="0"/>
          <c:showCatName val="0"/>
          <c:showSerName val="0"/>
          <c:showPercent val="0"/>
          <c:showBubbleSize val="0"/>
        </c:dLbls>
        <c:axId val="689813263"/>
        <c:axId val="689819023"/>
        <c:extLst>
          <c:ext xmlns:c15="http://schemas.microsoft.com/office/drawing/2012/chart" uri="{02D57815-91ED-43cb-92C2-25804820EDAC}">
            <c15:filteredScatterSeries>
              <c15:ser>
                <c:idx val="6"/>
                <c:order val="6"/>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C-DAB7-48D1-8FF7-5477369B3A88}"/>
                  </c:ext>
                </c:extLst>
              </c15:ser>
            </c15:filteredScatterSeries>
          </c:ext>
        </c:extLst>
      </c:scatterChart>
      <c:valAx>
        <c:axId val="689813263"/>
        <c:scaling>
          <c:orientation val="minMax"/>
          <c:max val="1"/>
          <c:min val="-0.1"/>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L</a:t>
                </a:r>
                <a:r>
                  <a:rPr lang="en-MY" sz="1800" baseline="30000">
                    <a:solidFill>
                      <a:schemeClr val="tx1"/>
                    </a:solidFill>
                  </a:rPr>
                  <a:t>2</a:t>
                </a:r>
                <a:endParaRPr lang="en-MY" sz="1800">
                  <a:solidFill>
                    <a:schemeClr val="tx1"/>
                  </a:solidFill>
                </a:endParaRPr>
              </a:p>
            </c:rich>
          </c:tx>
          <c:layout>
            <c:manualLayout>
              <c:xMode val="edge"/>
              <c:yMode val="edge"/>
              <c:x val="0.93321322078503111"/>
              <c:y val="0.8631893314312311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9023"/>
        <c:crosses val="autoZero"/>
        <c:crossBetween val="midCat"/>
        <c:majorUnit val="0.1"/>
        <c:minorUnit val="5.000000000000001E-2"/>
      </c:valAx>
      <c:valAx>
        <c:axId val="689819023"/>
        <c:scaling>
          <c:orientation val="minMax"/>
          <c:max val="0.13"/>
        </c:scaling>
        <c:delete val="0"/>
        <c:axPos val="l"/>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D</a:t>
                </a:r>
                <a:endParaRPr lang="en-MY" sz="1800">
                  <a:solidFill>
                    <a:schemeClr val="tx1"/>
                  </a:solidFill>
                </a:endParaRPr>
              </a:p>
            </c:rich>
          </c:tx>
          <c:layout>
            <c:manualLayout>
              <c:xMode val="edge"/>
              <c:yMode val="edge"/>
              <c:x val="1.6688089511779458E-3"/>
              <c:y val="0.4451038672420871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3263"/>
        <c:crosses val="autoZero"/>
        <c:crossBetween val="midCat"/>
        <c:majorUnit val="1.0000000000000002E-2"/>
        <c:minorUnit val="5.000000000000001E-3"/>
      </c:valAx>
      <c:spPr>
        <a:noFill/>
        <a:ln>
          <a:noFill/>
        </a:ln>
        <a:effectLst/>
      </c:spPr>
    </c:plotArea>
    <c:legend>
      <c:legendPos val="r"/>
      <c:legendEntry>
        <c:idx val="4"/>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5"/>
        <c:delete val="1"/>
      </c:legendEntry>
      <c:legendEntry>
        <c:idx val="6"/>
        <c:delete val="1"/>
      </c:legendEntry>
      <c:legendEntry>
        <c:idx val="7"/>
        <c:delete val="1"/>
      </c:legendEntry>
      <c:layout>
        <c:manualLayout>
          <c:xMode val="edge"/>
          <c:yMode val="edge"/>
          <c:x val="0.14086588328657648"/>
          <c:y val="0.10385268005617916"/>
          <c:w val="0.33390931216247144"/>
          <c:h val="0.392035880061916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519417463583039E-2"/>
          <c:y val="1.7824054118418444E-2"/>
          <c:w val="0.93220205830918512"/>
          <c:h val="0.88774055972804544"/>
        </c:manualLayout>
      </c:layout>
      <c:scatterChart>
        <c:scatterStyle val="smoothMarker"/>
        <c:varyColors val="0"/>
        <c:ser>
          <c:idx val="1"/>
          <c:order val="0"/>
          <c:tx>
            <c:v>Wind tunnel, No tail</c:v>
          </c:tx>
          <c:spPr>
            <a:ln w="25400" cap="rnd">
              <a:noFill/>
              <a:round/>
            </a:ln>
            <a:effectLst/>
          </c:spPr>
          <c:marker>
            <c:symbol val="x"/>
            <c:size val="5"/>
            <c:spPr>
              <a:noFill/>
              <a:ln w="9525">
                <a:solidFill>
                  <a:srgbClr val="FF0000"/>
                </a:solidFill>
              </a:ln>
              <a:effectLst/>
            </c:spPr>
          </c:marker>
          <c:trendline>
            <c:spPr>
              <a:ln w="19050" cap="rnd">
                <a:solidFill>
                  <a:srgbClr val="FF0000"/>
                </a:solidFill>
                <a:prstDash val="dashDot"/>
              </a:ln>
              <a:effectLst/>
            </c:spPr>
            <c:trendlineType val="poly"/>
            <c:order val="6"/>
            <c:dispRSqr val="0"/>
            <c:dispEq val="0"/>
          </c:trendline>
          <c:errBars>
            <c:errDir val="x"/>
            <c:errBarType val="both"/>
            <c:errValType val="cust"/>
            <c:noEndCap val="0"/>
            <c:plus>
              <c:numRef>
                <c:f>WindTunnelData!$BN$16:$BN$23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WindTunnelData!$BN$16:$BN$23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errBars>
            <c:errDir val="y"/>
            <c:errBarType val="both"/>
            <c:errValType val="cust"/>
            <c:noEndCap val="0"/>
            <c:pl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xVal>
            <c:numRef>
              <c:f>WindTunnelData!$BM$16:$BM$23</c:f>
              <c:numCache>
                <c:formatCode>General</c:formatCode>
                <c:ptCount val="8"/>
                <c:pt idx="0">
                  <c:v>-2.0050288773063034</c:v>
                </c:pt>
                <c:pt idx="1">
                  <c:v>0.11042777358217459</c:v>
                </c:pt>
                <c:pt idx="2">
                  <c:v>2.2287521267129087</c:v>
                </c:pt>
                <c:pt idx="3">
                  <c:v>4.3464040293230353</c:v>
                </c:pt>
                <c:pt idx="4">
                  <c:v>6.4579030994465159</c:v>
                </c:pt>
                <c:pt idx="5">
                  <c:v>8.5525346868783743</c:v>
                </c:pt>
                <c:pt idx="6">
                  <c:v>10.628791054433369</c:v>
                </c:pt>
                <c:pt idx="7">
                  <c:v>12.69730540555584</c:v>
                </c:pt>
              </c:numCache>
            </c:numRef>
          </c:xVal>
          <c:y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yVal>
          <c:smooth val="1"/>
          <c:extLst>
            <c:ext xmlns:c16="http://schemas.microsoft.com/office/drawing/2014/chart" uri="{C3380CC4-5D6E-409C-BE32-E72D297353CC}">
              <c16:uniqueId val="{00000003-A9FB-4EAA-A512-D73AF2E3EA45}"/>
            </c:ext>
          </c:extLst>
        </c:ser>
        <c:ser>
          <c:idx val="2"/>
          <c:order val="1"/>
          <c:tx>
            <c:v>Wind tunnel, ΔiH = +1 deg</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6"/>
            <c:dispRSqr val="0"/>
            <c:dispEq val="0"/>
          </c:trendline>
          <c:errBars>
            <c:errDir val="x"/>
            <c:errBarType val="both"/>
            <c:errValType val="cust"/>
            <c:noEndCap val="0"/>
            <c:plus>
              <c:numRef>
                <c:f>WindTunnelData!$BN$28:$BN$35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WindTunnelData!$BN$28:$BN$35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chemeClr val="accent6">
                    <a:lumMod val="75000"/>
                  </a:schemeClr>
                </a:solidFill>
                <a:round/>
              </a:ln>
              <a:effectLst/>
            </c:spPr>
          </c:errBars>
          <c:errBars>
            <c:errDir val="y"/>
            <c:errBarType val="both"/>
            <c:errValType val="cust"/>
            <c:noEndCap val="0"/>
            <c:pl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chemeClr val="accent6">
                    <a:lumMod val="75000"/>
                  </a:schemeClr>
                </a:solidFill>
                <a:round/>
              </a:ln>
              <a:effectLst/>
            </c:spPr>
          </c:errBars>
          <c:xVal>
            <c:numRef>
              <c:f>WindTunnelData!$BM$28:$BM$35</c:f>
              <c:numCache>
                <c:formatCode>General</c:formatCode>
                <c:ptCount val="8"/>
                <c:pt idx="0">
                  <c:v>-2.0266545407736096</c:v>
                </c:pt>
                <c:pt idx="1">
                  <c:v>0.11254761110151436</c:v>
                </c:pt>
                <c:pt idx="2">
                  <c:v>2.2459580628224649</c:v>
                </c:pt>
                <c:pt idx="3">
                  <c:v>4.3814262843613383</c:v>
                </c:pt>
                <c:pt idx="4">
                  <c:v>6.5155214776270434</c:v>
                </c:pt>
                <c:pt idx="5">
                  <c:v>8.6220111813425486</c:v>
                </c:pt>
                <c:pt idx="6">
                  <c:v>10.713791317711145</c:v>
                </c:pt>
                <c:pt idx="7">
                  <c:v>12.791581595513144</c:v>
                </c:pt>
              </c:numCache>
            </c:numRef>
          </c:xVal>
          <c:y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yVal>
          <c:smooth val="1"/>
          <c:extLst>
            <c:ext xmlns:c16="http://schemas.microsoft.com/office/drawing/2014/chart" uri="{C3380CC4-5D6E-409C-BE32-E72D297353CC}">
              <c16:uniqueId val="{00000006-A9FB-4EAA-A512-D73AF2E3EA45}"/>
            </c:ext>
          </c:extLst>
        </c:ser>
        <c:ser>
          <c:idx val="3"/>
          <c:order val="2"/>
          <c:tx>
            <c:v>Wind tunnel, ΔiH = -2 deg</c:v>
          </c:tx>
          <c:spPr>
            <a:ln w="25400" cap="rnd">
              <a:noFill/>
              <a:round/>
            </a:ln>
            <a:effectLst/>
          </c:spPr>
          <c:marker>
            <c:symbol val="triangle"/>
            <c:size val="5"/>
            <c:spPr>
              <a:solidFill>
                <a:schemeClr val="accent4"/>
              </a:solidFill>
              <a:ln w="9525">
                <a:solidFill>
                  <a:schemeClr val="tx2">
                    <a:lumMod val="75000"/>
                    <a:lumOff val="25000"/>
                  </a:schemeClr>
                </a:solidFill>
              </a:ln>
              <a:effectLst/>
            </c:spPr>
          </c:marker>
          <c:trendline>
            <c:spPr>
              <a:ln w="19050" cap="rnd">
                <a:solidFill>
                  <a:schemeClr val="accent4"/>
                </a:solidFill>
                <a:prstDash val="sysDot"/>
              </a:ln>
              <a:effectLst/>
            </c:spPr>
            <c:trendlineType val="log"/>
            <c:dispRSqr val="0"/>
            <c:dispEq val="0"/>
          </c:trendline>
          <c:errBars>
            <c:errDir val="x"/>
            <c:errBarType val="both"/>
            <c:errValType val="cust"/>
            <c:noEndCap val="0"/>
            <c:plus>
              <c:numRef>
                <c:f>WindTunnelData!$BN$40:$BN$55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plus>
            <c:minus>
              <c:numRef>
                <c:f>WindTunnelData!$BN$40:$BN$55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minus>
            <c:spPr>
              <a:noFill/>
              <a:ln w="6350" cap="flat" cmpd="sng" algn="ctr">
                <a:solidFill>
                  <a:schemeClr val="tx2">
                    <a:lumMod val="75000"/>
                    <a:lumOff val="25000"/>
                  </a:schemeClr>
                </a:solidFill>
                <a:round/>
              </a:ln>
              <a:effectLst/>
            </c:spPr>
          </c:errBars>
          <c:errBars>
            <c:errDir val="y"/>
            <c:errBarType val="both"/>
            <c:errValType val="cust"/>
            <c:noEndCap val="0"/>
            <c:pl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plus>
            <c:min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minus>
            <c:spPr>
              <a:noFill/>
              <a:ln w="6350" cap="flat" cmpd="sng" algn="ctr">
                <a:solidFill>
                  <a:schemeClr val="tx2">
                    <a:lumMod val="75000"/>
                    <a:lumOff val="25000"/>
                  </a:schemeClr>
                </a:solidFill>
                <a:round/>
              </a:ln>
              <a:effectLst/>
            </c:spPr>
          </c:errBars>
          <c:xVal>
            <c:numRef>
              <c:f>WindTunnelData!$BM$40:$BM$55</c:f>
              <c:numCache>
                <c:formatCode>General</c:formatCode>
                <c:ptCount val="16"/>
                <c:pt idx="0">
                  <c:v>-2.0682262217539522</c:v>
                </c:pt>
                <c:pt idx="1">
                  <c:v>6.4397880742575297E-2</c:v>
                </c:pt>
                <c:pt idx="2">
                  <c:v>2.2045235309392766</c:v>
                </c:pt>
                <c:pt idx="3">
                  <c:v>4.3403994170036899</c:v>
                </c:pt>
                <c:pt idx="4">
                  <c:v>6.468478751210788</c:v>
                </c:pt>
                <c:pt idx="5">
                  <c:v>8.5809419361353161</c:v>
                </c:pt>
                <c:pt idx="6">
                  <c:v>10.67659398606771</c:v>
                </c:pt>
                <c:pt idx="7">
                  <c:v>11.723647720842546</c:v>
                </c:pt>
                <c:pt idx="8">
                  <c:v>12.761826074063665</c:v>
                </c:pt>
                <c:pt idx="9">
                  <c:v>13.795514286397525</c:v>
                </c:pt>
                <c:pt idx="10">
                  <c:v>14.766944672253016</c:v>
                </c:pt>
                <c:pt idx="11">
                  <c:v>15.783563712221987</c:v>
                </c:pt>
                <c:pt idx="12">
                  <c:v>16.759975319054341</c:v>
                </c:pt>
                <c:pt idx="13">
                  <c:v>17.657022257309169</c:v>
                </c:pt>
                <c:pt idx="14">
                  <c:v>18.545517465020609</c:v>
                </c:pt>
                <c:pt idx="15">
                  <c:v>19.571299854914667</c:v>
                </c:pt>
              </c:numCache>
            </c:numRef>
          </c:xVal>
          <c:yVal>
            <c:numRef>
              <c:f>WindTunnelData!$CE$40:$CE$55</c:f>
              <c:numCache>
                <c:formatCode>General</c:formatCode>
                <c:ptCount val="16"/>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0.92402972560604368</c:v>
                </c:pt>
                <c:pt idx="11">
                  <c:v>0.94405266532769461</c:v>
                </c:pt>
                <c:pt idx="12">
                  <c:v>0.91563291452330309</c:v>
                </c:pt>
                <c:pt idx="13">
                  <c:v>0.79159308109538473</c:v>
                </c:pt>
                <c:pt idx="14">
                  <c:v>0.65724995785615525</c:v>
                </c:pt>
                <c:pt idx="15">
                  <c:v>0.68831307821044208</c:v>
                </c:pt>
              </c:numCache>
            </c:numRef>
          </c:yVal>
          <c:smooth val="1"/>
          <c:extLst>
            <c:ext xmlns:c16="http://schemas.microsoft.com/office/drawing/2014/chart" uri="{C3380CC4-5D6E-409C-BE32-E72D297353CC}">
              <c16:uniqueId val="{00000008-A9FB-4EAA-A512-D73AF2E3EA45}"/>
            </c:ext>
          </c:extLst>
        </c:ser>
        <c:ser>
          <c:idx val="0"/>
          <c:order val="3"/>
          <c:tx>
            <c:v>tail -2 (data points for fitting)</c:v>
          </c:tx>
          <c:spPr>
            <a:ln w="25400" cap="rnd">
              <a:noFill/>
              <a:round/>
            </a:ln>
            <a:effectLst/>
          </c:spPr>
          <c:marker>
            <c:symbol val="none"/>
          </c:marker>
          <c:trendline>
            <c:spPr>
              <a:ln w="19050" cap="rnd">
                <a:solidFill>
                  <a:schemeClr val="accent1"/>
                </a:solidFill>
                <a:prstDash val="sysDash"/>
              </a:ln>
              <a:effectLst/>
            </c:spPr>
            <c:trendlineType val="poly"/>
            <c:order val="6"/>
            <c:dispRSqr val="0"/>
            <c:dispEq val="1"/>
            <c:trendlineLbl>
              <c:layout>
                <c:manualLayout>
                  <c:x val="-6.5914982026449742E-2"/>
                  <c:y val="0.335781567588882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(WindTunnelData!$BM$40:$BM$49,WindTunnelData!$BM$51:$BM$54)</c:f>
              <c:numCache>
                <c:formatCode>General</c:formatCode>
                <c:ptCount val="14"/>
                <c:pt idx="0">
                  <c:v>-2.0682262217539522</c:v>
                </c:pt>
                <c:pt idx="1">
                  <c:v>6.4397880742575297E-2</c:v>
                </c:pt>
                <c:pt idx="2">
                  <c:v>2.2045235309392766</c:v>
                </c:pt>
                <c:pt idx="3">
                  <c:v>4.3403994170036899</c:v>
                </c:pt>
                <c:pt idx="4">
                  <c:v>6.468478751210788</c:v>
                </c:pt>
                <c:pt idx="5">
                  <c:v>8.5809419361353161</c:v>
                </c:pt>
                <c:pt idx="6">
                  <c:v>10.67659398606771</c:v>
                </c:pt>
                <c:pt idx="7">
                  <c:v>11.723647720842546</c:v>
                </c:pt>
                <c:pt idx="8">
                  <c:v>12.761826074063665</c:v>
                </c:pt>
                <c:pt idx="9">
                  <c:v>13.795514286397525</c:v>
                </c:pt>
                <c:pt idx="10">
                  <c:v>15.783563712221987</c:v>
                </c:pt>
                <c:pt idx="11">
                  <c:v>16.759975319054341</c:v>
                </c:pt>
                <c:pt idx="12">
                  <c:v>17.657022257309169</c:v>
                </c:pt>
                <c:pt idx="13">
                  <c:v>18.545517465020609</c:v>
                </c:pt>
              </c:numCache>
            </c:numRef>
          </c:xVal>
          <c:yVal>
            <c:numRef>
              <c:f>(WindTunnelData!$CE$40:$CE$49,WindTunnelData!$CE$51:$CE$54)</c:f>
              <c:numCache>
                <c:formatCode>General</c:formatCode>
                <c:ptCount val="14"/>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0.94405266532769461</c:v>
                </c:pt>
                <c:pt idx="11">
                  <c:v>0.91563291452330309</c:v>
                </c:pt>
                <c:pt idx="12">
                  <c:v>0.79159308109538473</c:v>
                </c:pt>
                <c:pt idx="13">
                  <c:v>0.65724995785615525</c:v>
                </c:pt>
              </c:numCache>
            </c:numRef>
          </c:yVal>
          <c:smooth val="1"/>
          <c:extLst>
            <c:ext xmlns:c16="http://schemas.microsoft.com/office/drawing/2014/chart" uri="{C3380CC4-5D6E-409C-BE32-E72D297353CC}">
              <c16:uniqueId val="{00000008-5B62-4E25-87CB-ABD3C7812461}"/>
            </c:ext>
          </c:extLst>
        </c:ser>
        <c:ser>
          <c:idx val="6"/>
          <c:order val="4"/>
          <c:tx>
            <c:v>cl max line</c:v>
          </c:tx>
          <c:spPr>
            <a:ln w="25400" cap="rnd">
              <a:noFill/>
              <a:round/>
            </a:ln>
            <a:effectLst/>
          </c:spPr>
          <c:marker>
            <c:symbol val="none"/>
          </c:marker>
          <c:dPt>
            <c:idx val="1"/>
            <c:marker>
              <c:symbol val="none"/>
            </c:marker>
            <c:bubble3D val="0"/>
            <c:spPr>
              <a:ln w="25400" cap="rnd">
                <a:solidFill>
                  <a:schemeClr val="accent2">
                    <a:lumMod val="75000"/>
                  </a:schemeClr>
                </a:solidFill>
                <a:prstDash val="sysDot"/>
                <a:round/>
              </a:ln>
              <a:effectLst/>
            </c:spPr>
            <c:extLst>
              <c:ext xmlns:c16="http://schemas.microsoft.com/office/drawing/2014/chart" uri="{C3380CC4-5D6E-409C-BE32-E72D297353CC}">
                <c16:uniqueId val="{0000000E-5B62-4E25-87CB-ABD3C7812461}"/>
              </c:ext>
            </c:extLst>
          </c:dPt>
          <c:xVal>
            <c:numRef>
              <c:f>WindTunnelData!$DN$15:$DN$16</c:f>
              <c:numCache>
                <c:formatCode>General</c:formatCode>
                <c:ptCount val="2"/>
                <c:pt idx="0">
                  <c:v>0</c:v>
                </c:pt>
                <c:pt idx="1">
                  <c:v>20</c:v>
                </c:pt>
              </c:numCache>
            </c:numRef>
          </c:xVal>
          <c:yVal>
            <c:numRef>
              <c:f>WindTunnelData!$DN$17:$DN$18</c:f>
              <c:numCache>
                <c:formatCode>General</c:formatCode>
                <c:ptCount val="2"/>
                <c:pt idx="0">
                  <c:v>0.96499999999999997</c:v>
                </c:pt>
                <c:pt idx="1">
                  <c:v>0.96499999999999997</c:v>
                </c:pt>
              </c:numCache>
            </c:numRef>
          </c:yVal>
          <c:smooth val="1"/>
          <c:extLst>
            <c:ext xmlns:c16="http://schemas.microsoft.com/office/drawing/2014/chart" uri="{C3380CC4-5D6E-409C-BE32-E72D297353CC}">
              <c16:uniqueId val="{0000000D-5B62-4E25-87CB-ABD3C7812461}"/>
            </c:ext>
          </c:extLst>
        </c:ser>
        <c:dLbls>
          <c:showLegendKey val="0"/>
          <c:showVal val="0"/>
          <c:showCatName val="0"/>
          <c:showSerName val="0"/>
          <c:showPercent val="0"/>
          <c:showBubbleSize val="0"/>
        </c:dLbls>
        <c:axId val="689813263"/>
        <c:axId val="689819023"/>
      </c:scatterChart>
      <c:valAx>
        <c:axId val="68981326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l-GR" sz="1800">
                    <a:solidFill>
                      <a:schemeClr val="tx1"/>
                    </a:solidFill>
                  </a:rPr>
                  <a:t>α</a:t>
                </a:r>
                <a:endParaRPr lang="en-MY" sz="1800">
                  <a:solidFill>
                    <a:schemeClr val="tx1"/>
                  </a:solidFill>
                </a:endParaRPr>
              </a:p>
            </c:rich>
          </c:tx>
          <c:layout>
            <c:manualLayout>
              <c:xMode val="edge"/>
              <c:yMode val="edge"/>
              <c:x val="0.52953690686265797"/>
              <c:y val="0.86032613994521578"/>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9023"/>
        <c:crosses val="autoZero"/>
        <c:crossBetween val="midCat"/>
      </c:valAx>
      <c:valAx>
        <c:axId val="6898190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L</a:t>
                </a:r>
                <a:endParaRPr lang="en-MY" sz="1800">
                  <a:solidFill>
                    <a:schemeClr val="tx1"/>
                  </a:solidFill>
                </a:endParaRPr>
              </a:p>
            </c:rich>
          </c:tx>
          <c:layout>
            <c:manualLayout>
              <c:xMode val="edge"/>
              <c:yMode val="edge"/>
              <c:x val="7.801556405383335E-2"/>
              <c:y val="0.41372234486594889"/>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3263"/>
        <c:crosses val="autoZero"/>
        <c:crossBetween val="midCat"/>
        <c:majorUnit val="0.1"/>
      </c:valAx>
      <c:spPr>
        <a:noFill/>
        <a:ln>
          <a:solidFill>
            <a:schemeClr val="bg1"/>
          </a:solidFill>
        </a:ln>
        <a:effectLst/>
      </c:spPr>
    </c:plotArea>
    <c:legend>
      <c:legendPos val="r"/>
      <c:legendEntry>
        <c:idx val="3"/>
        <c:delete val="1"/>
      </c:legendEntry>
      <c:legendEntry>
        <c:idx val="5"/>
        <c:delete val="1"/>
      </c:legendEntry>
      <c:legendEntry>
        <c:idx val="6"/>
        <c:delete val="1"/>
      </c:legendEntry>
      <c:legendEntry>
        <c:idx val="7"/>
        <c:delete val="1"/>
      </c:legendEntry>
      <c:legendEntry>
        <c:idx val="8"/>
        <c:delete val="1"/>
      </c:legendEntry>
      <c:layout>
        <c:manualLayout>
          <c:xMode val="edge"/>
          <c:yMode val="edge"/>
          <c:x val="0.75111742572677864"/>
          <c:y val="1.8204567224294071E-3"/>
          <c:w val="0.19672636121032225"/>
          <c:h val="0.17868691467603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MY" sz="2000"/>
              <a:t>C</a:t>
            </a:r>
            <a:r>
              <a:rPr lang="en-MY" sz="2000" cap="none" baseline="-25000"/>
              <a:t>M</a:t>
            </a:r>
            <a:r>
              <a:rPr lang="en-MY" sz="2000" baseline="0"/>
              <a:t> vs C</a:t>
            </a:r>
            <a:r>
              <a:rPr lang="en-MY" sz="2000" baseline="-25000"/>
              <a:t>L</a:t>
            </a:r>
            <a:endParaRPr lang="en-MY" sz="2000"/>
          </a:p>
        </c:rich>
      </c:tx>
      <c:layout>
        <c:manualLayout>
          <c:xMode val="edge"/>
          <c:yMode val="edge"/>
          <c:x val="0.44578652738616592"/>
          <c:y val="0"/>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MY"/>
        </a:p>
      </c:txPr>
    </c:title>
    <c:autoTitleDeleted val="0"/>
    <c:plotArea>
      <c:layout>
        <c:manualLayout>
          <c:layoutTarget val="inner"/>
          <c:xMode val="edge"/>
          <c:yMode val="edge"/>
          <c:x val="5.3684991365065396E-2"/>
          <c:y val="2.0747009643529025E-2"/>
          <c:w val="0.90179057394309869"/>
          <c:h val="0.95850608155515105"/>
        </c:manualLayout>
      </c:layout>
      <c:scatterChart>
        <c:scatterStyle val="lineMarker"/>
        <c:varyColors val="0"/>
        <c:ser>
          <c:idx val="0"/>
          <c:order val="0"/>
          <c:tx>
            <c:v>No tail</c:v>
          </c:tx>
          <c:spPr>
            <a:ln w="6350" cap="rnd">
              <a:noFill/>
              <a:round/>
            </a:ln>
            <a:effectLst/>
          </c:spPr>
          <c:marker>
            <c:symbol val="circle"/>
            <c:size val="5"/>
            <c:spPr>
              <a:noFill/>
              <a:ln w="9525">
                <a:solidFill>
                  <a:srgbClr val="FF0000"/>
                </a:solidFill>
              </a:ln>
              <a:effectLst/>
            </c:spPr>
          </c:marker>
          <c:trendline>
            <c:spPr>
              <a:ln w="6350" cap="rnd">
                <a:solidFill>
                  <a:srgbClr val="FF0000"/>
                </a:solidFill>
                <a:prstDash val="solid"/>
              </a:ln>
              <a:effectLst/>
            </c:spPr>
            <c:trendlineType val="poly"/>
            <c:order val="6"/>
            <c:dispRSqr val="0"/>
            <c:dispEq val="0"/>
          </c:trendline>
          <c:trendline>
            <c:name>No Tail</c:name>
            <c:spPr>
              <a:ln w="19050" cap="rnd">
                <a:solidFill>
                  <a:srgbClr val="FF0000"/>
                </a:solidFill>
                <a:prstDash val="sysDot"/>
              </a:ln>
              <a:effectLst/>
            </c:spPr>
            <c:trendlineType val="linear"/>
            <c:forward val="0.2"/>
            <c:backward val="0.2"/>
            <c:dispRSqr val="0"/>
            <c:dispEq val="0"/>
          </c:trendline>
          <c:errBars>
            <c:errDir val="y"/>
            <c:errBarType val="both"/>
            <c:errValType val="cust"/>
            <c:noEndCap val="0"/>
            <c:plus>
              <c:numRef>
                <c:f>WindTunnelData!$CJ$16:$CJ$23</c:f>
                <c:numCache>
                  <c:formatCode>General</c:formatCode>
                  <c:ptCount val="8"/>
                  <c:pt idx="0">
                    <c:v>2.2363966797210764E-4</c:v>
                  </c:pt>
                  <c:pt idx="1">
                    <c:v>8.6461206583688971E-4</c:v>
                  </c:pt>
                  <c:pt idx="2">
                    <c:v>5.8387844546993946E-5</c:v>
                  </c:pt>
                  <c:pt idx="3">
                    <c:v>1.915352088548705E-3</c:v>
                  </c:pt>
                  <c:pt idx="4">
                    <c:v>7.2955973701892764E-5</c:v>
                  </c:pt>
                  <c:pt idx="5">
                    <c:v>-3.7151161937178999E-3</c:v>
                  </c:pt>
                  <c:pt idx="6">
                    <c:v>-7.050945015693426E-3</c:v>
                  </c:pt>
                  <c:pt idx="7">
                    <c:v>-4.0090776284684472E-3</c:v>
                  </c:pt>
                </c:numCache>
              </c:numRef>
            </c:plus>
            <c:minus>
              <c:numRef>
                <c:f>WindTunnelData!$CJ$16:$CJ$23</c:f>
                <c:numCache>
                  <c:formatCode>General</c:formatCode>
                  <c:ptCount val="8"/>
                  <c:pt idx="0">
                    <c:v>2.2363966797210764E-4</c:v>
                  </c:pt>
                  <c:pt idx="1">
                    <c:v>8.6461206583688971E-4</c:v>
                  </c:pt>
                  <c:pt idx="2">
                    <c:v>5.8387844546993946E-5</c:v>
                  </c:pt>
                  <c:pt idx="3">
                    <c:v>1.915352088548705E-3</c:v>
                  </c:pt>
                  <c:pt idx="4">
                    <c:v>7.2955973701892764E-5</c:v>
                  </c:pt>
                  <c:pt idx="5">
                    <c:v>-3.7151161937178999E-3</c:v>
                  </c:pt>
                  <c:pt idx="6">
                    <c:v>-7.050945015693426E-3</c:v>
                  </c:pt>
                  <c:pt idx="7">
                    <c:v>-4.0090776284684472E-3</c:v>
                  </c:pt>
                </c:numCache>
              </c:numRef>
            </c:minus>
            <c:spPr>
              <a:noFill/>
              <a:ln w="9525" cap="flat" cmpd="sng" algn="ctr">
                <a:solidFill>
                  <a:srgbClr val="FF0000"/>
                </a:solidFill>
                <a:round/>
              </a:ln>
              <a:effectLst/>
            </c:spPr>
          </c:errBars>
          <c:errBars>
            <c:errDir val="x"/>
            <c:errBarType val="both"/>
            <c:errValType val="cust"/>
            <c:noEndCap val="0"/>
            <c:pl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9525" cap="flat" cmpd="sng" algn="ctr">
                <a:solidFill>
                  <a:srgbClr val="FF0000"/>
                </a:solidFill>
                <a:round/>
              </a:ln>
              <a:effectLst/>
            </c:spPr>
          </c:errBars>
          <c:x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xVal>
          <c:yVal>
            <c:numRef>
              <c:f>WindTunnelData!$CG$16:$CG$23</c:f>
              <c:numCache>
                <c:formatCode>General</c:formatCode>
                <c:ptCount val="8"/>
                <c:pt idx="0">
                  <c:v>-4.1673859512401455E-2</c:v>
                </c:pt>
                <c:pt idx="1">
                  <c:v>-2.1884805740009838E-2</c:v>
                </c:pt>
                <c:pt idx="2">
                  <c:v>5.3859656302393203E-3</c:v>
                </c:pt>
                <c:pt idx="3">
                  <c:v>3.2243722361863812E-2</c:v>
                </c:pt>
                <c:pt idx="4">
                  <c:v>6.4487220734366899E-2</c:v>
                </c:pt>
                <c:pt idx="5">
                  <c:v>9.9686695347377743E-2</c:v>
                </c:pt>
                <c:pt idx="6">
                  <c:v>0.13342522970627554</c:v>
                </c:pt>
                <c:pt idx="7">
                  <c:v>0.16020496843036897</c:v>
                </c:pt>
              </c:numCache>
            </c:numRef>
          </c:yVal>
          <c:smooth val="1"/>
          <c:extLst>
            <c:ext xmlns:c16="http://schemas.microsoft.com/office/drawing/2014/chart" uri="{C3380CC4-5D6E-409C-BE32-E72D297353CC}">
              <c16:uniqueId val="{00000001-CE3E-414A-9689-BFE864ABBB12}"/>
            </c:ext>
          </c:extLst>
        </c:ser>
        <c:ser>
          <c:idx val="1"/>
          <c:order val="1"/>
          <c:tx>
            <c:v>Tail at +1 deg</c:v>
          </c:tx>
          <c:spPr>
            <a:ln w="6350" cap="rnd">
              <a:noFill/>
              <a:round/>
            </a:ln>
            <a:effectLst/>
          </c:spPr>
          <c:marker>
            <c:symbol val="square"/>
            <c:size val="5"/>
            <c:spPr>
              <a:noFill/>
              <a:ln w="9525">
                <a:solidFill>
                  <a:srgbClr val="0000FF"/>
                </a:solidFill>
              </a:ln>
              <a:effectLst/>
            </c:spPr>
          </c:marker>
          <c:trendline>
            <c:spPr>
              <a:ln w="6350" cap="rnd">
                <a:solidFill>
                  <a:srgbClr val="0000FF"/>
                </a:solidFill>
                <a:prstDash val="solid"/>
              </a:ln>
              <a:effectLst/>
            </c:spPr>
            <c:trendlineType val="poly"/>
            <c:order val="6"/>
            <c:dispRSqr val="0"/>
            <c:dispEq val="0"/>
          </c:trendline>
          <c:trendline>
            <c:name>Tail at +1 deg</c:name>
            <c:spPr>
              <a:ln w="15875" cap="rnd">
                <a:solidFill>
                  <a:srgbClr val="0000FF"/>
                </a:solidFill>
                <a:prstDash val="dash"/>
              </a:ln>
              <a:effectLst/>
            </c:spPr>
            <c:trendlineType val="linear"/>
            <c:forward val="0.1"/>
            <c:backward val="0.1"/>
            <c:dispRSqr val="0"/>
            <c:dispEq val="0"/>
          </c:trendline>
          <c:errBars>
            <c:errDir val="y"/>
            <c:errBarType val="both"/>
            <c:errValType val="cust"/>
            <c:noEndCap val="0"/>
            <c:plus>
              <c:numRef>
                <c:f>WindTunnelData!$CJ$28:$CJ$35</c:f>
                <c:numCache>
                  <c:formatCode>General</c:formatCode>
                  <c:ptCount val="8"/>
                  <c:pt idx="0">
                    <c:v>3.7869361580189073E-3</c:v>
                  </c:pt>
                  <c:pt idx="1">
                    <c:v>-4.175158681979583E-3</c:v>
                  </c:pt>
                  <c:pt idx="2">
                    <c:v>6.0252392386858243E-4</c:v>
                  </c:pt>
                  <c:pt idx="3">
                    <c:v>-8.5622517408882512E-4</c:v>
                  </c:pt>
                  <c:pt idx="4">
                    <c:v>-2.65766056272531E-3</c:v>
                  </c:pt>
                  <c:pt idx="5">
                    <c:v>-2.0801408280885364E-3</c:v>
                  </c:pt>
                  <c:pt idx="6">
                    <c:v>1.136476600073281E-3</c:v>
                  </c:pt>
                  <c:pt idx="7">
                    <c:v>1.4356789738680304E-3</c:v>
                  </c:pt>
                </c:numCache>
              </c:numRef>
            </c:plus>
            <c:minus>
              <c:numRef>
                <c:f>WindTunnelData!$CJ$28:$CJ$35</c:f>
                <c:numCache>
                  <c:formatCode>General</c:formatCode>
                  <c:ptCount val="8"/>
                  <c:pt idx="0">
                    <c:v>3.7869361580189073E-3</c:v>
                  </c:pt>
                  <c:pt idx="1">
                    <c:v>-4.175158681979583E-3</c:v>
                  </c:pt>
                  <c:pt idx="2">
                    <c:v>6.0252392386858243E-4</c:v>
                  </c:pt>
                  <c:pt idx="3">
                    <c:v>-8.5622517408882512E-4</c:v>
                  </c:pt>
                  <c:pt idx="4">
                    <c:v>-2.65766056272531E-3</c:v>
                  </c:pt>
                  <c:pt idx="5">
                    <c:v>-2.0801408280885364E-3</c:v>
                  </c:pt>
                  <c:pt idx="6">
                    <c:v>1.136476600073281E-3</c:v>
                  </c:pt>
                  <c:pt idx="7">
                    <c:v>1.4356789738680304E-3</c:v>
                  </c:pt>
                </c:numCache>
              </c:numRef>
            </c:minus>
            <c:spPr>
              <a:noFill/>
              <a:ln w="9525" cap="flat" cmpd="sng" algn="ctr">
                <a:solidFill>
                  <a:srgbClr val="0000FF"/>
                </a:solidFill>
                <a:round/>
              </a:ln>
              <a:effectLst/>
            </c:spPr>
          </c:errBars>
          <c:errBars>
            <c:errDir val="x"/>
            <c:errBarType val="both"/>
            <c:errValType val="cust"/>
            <c:noEndCap val="0"/>
            <c:pl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9525" cap="flat" cmpd="sng" algn="ctr">
                <a:solidFill>
                  <a:srgbClr val="0000FF"/>
                </a:solidFill>
                <a:round/>
              </a:ln>
              <a:effectLst/>
            </c:spPr>
          </c:errBars>
          <c:x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xVal>
          <c:yVal>
            <c:numRef>
              <c:f>WindTunnelData!$CG$28:$CG$35</c:f>
              <c:numCache>
                <c:formatCode>General</c:formatCode>
                <c:ptCount val="8"/>
                <c:pt idx="0">
                  <c:v>2.1195896891492642E-2</c:v>
                </c:pt>
                <c:pt idx="1">
                  <c:v>-5.6150857690871426E-3</c:v>
                </c:pt>
                <c:pt idx="2">
                  <c:v>-2.7530968022783216E-2</c:v>
                </c:pt>
                <c:pt idx="3">
                  <c:v>-5.2837490878815938E-2</c:v>
                </c:pt>
                <c:pt idx="4">
                  <c:v>-7.3635376576834582E-2</c:v>
                </c:pt>
                <c:pt idx="5">
                  <c:v>-9.3504905134992933E-2</c:v>
                </c:pt>
                <c:pt idx="6">
                  <c:v>-0.10283234669125058</c:v>
                </c:pt>
                <c:pt idx="7">
                  <c:v>-0.11390091992202706</c:v>
                </c:pt>
              </c:numCache>
            </c:numRef>
          </c:yVal>
          <c:smooth val="1"/>
          <c:extLst>
            <c:ext xmlns:c16="http://schemas.microsoft.com/office/drawing/2014/chart" uri="{C3380CC4-5D6E-409C-BE32-E72D297353CC}">
              <c16:uniqueId val="{00000002-CE3E-414A-9689-BFE864ABBB12}"/>
            </c:ext>
          </c:extLst>
        </c:ser>
        <c:ser>
          <c:idx val="2"/>
          <c:order val="2"/>
          <c:tx>
            <c:v>Tail at -2 deg</c:v>
          </c:tx>
          <c:spPr>
            <a:ln w="6350" cap="rnd">
              <a:noFill/>
              <a:round/>
            </a:ln>
            <a:effectLst/>
          </c:spPr>
          <c:marker>
            <c:symbol val="triangle"/>
            <c:size val="6"/>
            <c:spPr>
              <a:noFill/>
              <a:ln w="12700">
                <a:solidFill>
                  <a:srgbClr val="00C800"/>
                </a:solidFill>
              </a:ln>
              <a:effectLst/>
            </c:spPr>
          </c:marker>
          <c:errBars>
            <c:errDir val="y"/>
            <c:errBarType val="both"/>
            <c:errValType val="cust"/>
            <c:noEndCap val="0"/>
            <c:plus>
              <c:numRef>
                <c:f>WindTunnelData!$CJ$40:$CJ$55</c:f>
                <c:numCache>
                  <c:formatCode>General</c:formatCode>
                  <c:ptCount val="16"/>
                  <c:pt idx="0">
                    <c:v>4.3225608273710454E-3</c:v>
                  </c:pt>
                  <c:pt idx="1">
                    <c:v>6.2087044086968236E-3</c:v>
                  </c:pt>
                  <c:pt idx="2">
                    <c:v>-2.3939647515971448E-4</c:v>
                  </c:pt>
                  <c:pt idx="3">
                    <c:v>4.4877005387224458E-3</c:v>
                  </c:pt>
                  <c:pt idx="4">
                    <c:v>-4.8436928946878576E-4</c:v>
                  </c:pt>
                  <c:pt idx="5">
                    <c:v>-1.4453239656543495E-4</c:v>
                  </c:pt>
                  <c:pt idx="6">
                    <c:v>1.2952874993656972E-4</c:v>
                  </c:pt>
                  <c:pt idx="7">
                    <c:v>5.8833762922121981E-4</c:v>
                  </c:pt>
                  <c:pt idx="8">
                    <c:v>-3.7956843660451297E-3</c:v>
                  </c:pt>
                  <c:pt idx="9">
                    <c:v>-3.1233337390374964E-3</c:v>
                  </c:pt>
                  <c:pt idx="10">
                    <c:v>3.0111939729942513E-2</c:v>
                  </c:pt>
                  <c:pt idx="11">
                    <c:v>7.7631792831657793E-3</c:v>
                  </c:pt>
                  <c:pt idx="12">
                    <c:v>-3.9532652804219106E-3</c:v>
                  </c:pt>
                  <c:pt idx="13">
                    <c:v>7.4856231069869118E-3</c:v>
                  </c:pt>
                  <c:pt idx="14">
                    <c:v>1.5968460502293062E-2</c:v>
                  </c:pt>
                  <c:pt idx="15">
                    <c:v>-3.4146254618777445E-3</c:v>
                  </c:pt>
                </c:numCache>
              </c:numRef>
            </c:plus>
            <c:minus>
              <c:numRef>
                <c:f>WindTunnelData!$CJ$40:$CJ$55</c:f>
                <c:numCache>
                  <c:formatCode>General</c:formatCode>
                  <c:ptCount val="16"/>
                  <c:pt idx="0">
                    <c:v>4.3225608273710454E-3</c:v>
                  </c:pt>
                  <c:pt idx="1">
                    <c:v>6.2087044086968236E-3</c:v>
                  </c:pt>
                  <c:pt idx="2">
                    <c:v>-2.3939647515971448E-4</c:v>
                  </c:pt>
                  <c:pt idx="3">
                    <c:v>4.4877005387224458E-3</c:v>
                  </c:pt>
                  <c:pt idx="4">
                    <c:v>-4.8436928946878576E-4</c:v>
                  </c:pt>
                  <c:pt idx="5">
                    <c:v>-1.4453239656543495E-4</c:v>
                  </c:pt>
                  <c:pt idx="6">
                    <c:v>1.2952874993656972E-4</c:v>
                  </c:pt>
                  <c:pt idx="7">
                    <c:v>5.8833762922121981E-4</c:v>
                  </c:pt>
                  <c:pt idx="8">
                    <c:v>-3.7956843660451297E-3</c:v>
                  </c:pt>
                  <c:pt idx="9">
                    <c:v>-3.1233337390374964E-3</c:v>
                  </c:pt>
                  <c:pt idx="10">
                    <c:v>3.0111939729942513E-2</c:v>
                  </c:pt>
                  <c:pt idx="11">
                    <c:v>7.7631792831657793E-3</c:v>
                  </c:pt>
                  <c:pt idx="12">
                    <c:v>-3.9532652804219106E-3</c:v>
                  </c:pt>
                  <c:pt idx="13">
                    <c:v>7.4856231069869118E-3</c:v>
                  </c:pt>
                  <c:pt idx="14">
                    <c:v>1.5968460502293062E-2</c:v>
                  </c:pt>
                  <c:pt idx="15">
                    <c:v>-3.4146254618777445E-3</c:v>
                  </c:pt>
                </c:numCache>
              </c:numRef>
            </c:minus>
            <c:spPr>
              <a:noFill/>
              <a:ln w="9525" cap="flat" cmpd="sng" algn="ctr">
                <a:solidFill>
                  <a:srgbClr val="00C800"/>
                </a:solidFill>
                <a:round/>
              </a:ln>
              <a:effectLst/>
            </c:spPr>
          </c:errBars>
          <c:errBars>
            <c:errDir val="x"/>
            <c:errBarType val="both"/>
            <c:errValType val="cust"/>
            <c:noEndCap val="0"/>
            <c:pl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plus>
            <c:min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minus>
            <c:spPr>
              <a:noFill/>
              <a:ln w="9525" cap="flat" cmpd="sng" algn="ctr">
                <a:solidFill>
                  <a:srgbClr val="00C800"/>
                </a:solidFill>
                <a:round/>
              </a:ln>
              <a:effectLst/>
            </c:spPr>
          </c:errBars>
          <c:xVal>
            <c:numRef>
              <c:f>WindTunnelData!$CE$40:$CE$53</c:f>
              <c:numCache>
                <c:formatCode>General</c:formatCode>
                <c:ptCount val="14"/>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0.92402972560604368</c:v>
                </c:pt>
                <c:pt idx="11">
                  <c:v>0.94405266532769461</c:v>
                </c:pt>
                <c:pt idx="12">
                  <c:v>0.91563291452330309</c:v>
                </c:pt>
                <c:pt idx="13">
                  <c:v>0.79159308109538473</c:v>
                </c:pt>
              </c:numCache>
            </c:numRef>
          </c:xVal>
          <c:yVal>
            <c:numRef>
              <c:f>WindTunnelData!$CG$40:$CG$53</c:f>
              <c:numCache>
                <c:formatCode>General</c:formatCode>
                <c:ptCount val="14"/>
                <c:pt idx="0">
                  <c:v>0.14623731040379345</c:v>
                </c:pt>
                <c:pt idx="1">
                  <c:v>0.1090536072279603</c:v>
                </c:pt>
                <c:pt idx="2">
                  <c:v>8.2014783226847909E-2</c:v>
                </c:pt>
                <c:pt idx="3">
                  <c:v>6.0748570839426905E-2</c:v>
                </c:pt>
                <c:pt idx="4">
                  <c:v>4.825710868783524E-2</c:v>
                </c:pt>
                <c:pt idx="5">
                  <c:v>2.6079721115416732E-2</c:v>
                </c:pt>
                <c:pt idx="6">
                  <c:v>1.2371478677794014E-3</c:v>
                </c:pt>
                <c:pt idx="7">
                  <c:v>-1.3654822208923355E-2</c:v>
                </c:pt>
                <c:pt idx="8">
                  <c:v>-2.5559168539035008E-2</c:v>
                </c:pt>
                <c:pt idx="9">
                  <c:v>-3.7931883578150444E-2</c:v>
                </c:pt>
                <c:pt idx="10">
                  <c:v>-7.2334580043284108E-2</c:v>
                </c:pt>
                <c:pt idx="11">
                  <c:v>-7.8108836507898224E-2</c:v>
                </c:pt>
                <c:pt idx="12">
                  <c:v>-9.5004281936471383E-2</c:v>
                </c:pt>
                <c:pt idx="13">
                  <c:v>-0.17146902282952695</c:v>
                </c:pt>
              </c:numCache>
            </c:numRef>
          </c:yVal>
          <c:smooth val="1"/>
          <c:extLst>
            <c:ext xmlns:c16="http://schemas.microsoft.com/office/drawing/2014/chart" uri="{C3380CC4-5D6E-409C-BE32-E72D297353CC}">
              <c16:uniqueId val="{00000003-CE3E-414A-9689-BFE864ABBB12}"/>
            </c:ext>
          </c:extLst>
        </c:ser>
        <c:ser>
          <c:idx val="3"/>
          <c:order val="3"/>
          <c:tx>
            <c:v>tail -2 ploy</c:v>
          </c:tx>
          <c:spPr>
            <a:ln w="25400" cap="rnd">
              <a:noFill/>
              <a:round/>
            </a:ln>
            <a:effectLst/>
          </c:spPr>
          <c:marker>
            <c:symbol val="none"/>
          </c:marker>
          <c:trendline>
            <c:spPr>
              <a:ln w="6350" cap="rnd">
                <a:solidFill>
                  <a:srgbClr val="00C800"/>
                </a:solidFill>
                <a:prstDash val="solid"/>
              </a:ln>
              <a:effectLst/>
            </c:spPr>
            <c:trendlineType val="poly"/>
            <c:order val="6"/>
            <c:dispRSqr val="0"/>
            <c:dispEq val="0"/>
          </c:trendline>
          <c:trendline>
            <c:name>Tail at -2 deg</c:name>
            <c:spPr>
              <a:ln w="15875" cap="rnd">
                <a:solidFill>
                  <a:srgbClr val="00C800"/>
                </a:solidFill>
                <a:prstDash val="lgDashDot"/>
              </a:ln>
              <a:effectLst/>
            </c:spPr>
            <c:trendlineType val="linear"/>
            <c:forward val="0.1"/>
            <c:backward val="0.1"/>
            <c:dispRSqr val="0"/>
            <c:dispEq val="0"/>
          </c:trendline>
          <c:x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xVal>
          <c:yVal>
            <c:numRef>
              <c:f>WindTunnelData!$CG$40:$CG$49</c:f>
              <c:numCache>
                <c:formatCode>General</c:formatCode>
                <c:ptCount val="10"/>
                <c:pt idx="0">
                  <c:v>0.14623731040379345</c:v>
                </c:pt>
                <c:pt idx="1">
                  <c:v>0.1090536072279603</c:v>
                </c:pt>
                <c:pt idx="2">
                  <c:v>8.2014783226847909E-2</c:v>
                </c:pt>
                <c:pt idx="3">
                  <c:v>6.0748570839426905E-2</c:v>
                </c:pt>
                <c:pt idx="4">
                  <c:v>4.825710868783524E-2</c:v>
                </c:pt>
                <c:pt idx="5">
                  <c:v>2.6079721115416732E-2</c:v>
                </c:pt>
                <c:pt idx="6">
                  <c:v>1.2371478677794014E-3</c:v>
                </c:pt>
                <c:pt idx="7">
                  <c:v>-1.3654822208923355E-2</c:v>
                </c:pt>
                <c:pt idx="8">
                  <c:v>-2.5559168539035008E-2</c:v>
                </c:pt>
                <c:pt idx="9">
                  <c:v>-3.7931883578150444E-2</c:v>
                </c:pt>
              </c:numCache>
            </c:numRef>
          </c:yVal>
          <c:smooth val="0"/>
          <c:extLst>
            <c:ext xmlns:c16="http://schemas.microsoft.com/office/drawing/2014/chart" uri="{C3380CC4-5D6E-409C-BE32-E72D297353CC}">
              <c16:uniqueId val="{0000000A-CE3E-414A-9689-BFE864ABBB12}"/>
            </c:ext>
          </c:extLst>
        </c:ser>
        <c:dLbls>
          <c:showLegendKey val="0"/>
          <c:showVal val="0"/>
          <c:showCatName val="0"/>
          <c:showSerName val="0"/>
          <c:showPercent val="0"/>
          <c:showBubbleSize val="0"/>
        </c:dLbls>
        <c:axId val="1804130823"/>
        <c:axId val="1907009031"/>
      </c:scatterChart>
      <c:valAx>
        <c:axId val="1804130823"/>
        <c:scaling>
          <c:orientation val="minMax"/>
          <c:max val="1"/>
          <c:min val="-0.1"/>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MY" sz="1600"/>
                  <a:t>C</a:t>
                </a:r>
                <a:r>
                  <a:rPr lang="en-MY" sz="1600" baseline="-25000"/>
                  <a:t>L</a:t>
                </a:r>
                <a:endParaRPr lang="en-MY" sz="1600"/>
              </a:p>
            </c:rich>
          </c:tx>
          <c:layout>
            <c:manualLayout>
              <c:xMode val="edge"/>
              <c:yMode val="edge"/>
              <c:x val="0.9406067894175818"/>
              <c:y val="0.4074440066194822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907009031"/>
        <c:crosses val="autoZero"/>
        <c:crossBetween val="midCat"/>
        <c:majorUnit val="0.1"/>
      </c:valAx>
      <c:valAx>
        <c:axId val="1907009031"/>
        <c:scaling>
          <c:orientation val="minMax"/>
          <c:max val="0.18000000000000002"/>
          <c:min val="-0.18000000000000002"/>
        </c:scaling>
        <c:delete val="0"/>
        <c:axPos val="l"/>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MY" sz="1600"/>
                  <a:t>C</a:t>
                </a:r>
                <a:r>
                  <a:rPr lang="en-MY" sz="1600" baseline="-25000"/>
                  <a:t>M</a:t>
                </a:r>
                <a:endParaRPr lang="en-MY" sz="1600"/>
              </a:p>
            </c:rich>
          </c:tx>
          <c:layout>
            <c:manualLayout>
              <c:xMode val="edge"/>
              <c:yMode val="edge"/>
              <c:x val="1.2907567940488331E-3"/>
              <c:y val="0.30160534857487459"/>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804130823"/>
        <c:crosses val="autoZero"/>
        <c:crossBetween val="midCat"/>
        <c:majorUnit val="2.0000000000000004E-2"/>
        <c:minorUnit val="5.000000000000001E-3"/>
      </c:valAx>
      <c:spPr>
        <a:noFill/>
        <a:ln>
          <a:noFill/>
        </a:ln>
        <a:effectLst/>
      </c:spPr>
    </c:plotArea>
    <c:legend>
      <c:legendPos val="r"/>
      <c:legendEntry>
        <c:idx val="3"/>
        <c:txPr>
          <a:bodyPr rot="0" spcFirstLastPara="1" vertOverflow="ellipsis" vert="horz" wrap="square" anchor="ctr" anchorCtr="1"/>
          <a:lstStyle/>
          <a:p>
            <a:pPr>
              <a:defRPr sz="1200" b="0" i="0" u="none" strike="noStrike" kern="1200" baseline="0">
                <a:noFill/>
                <a:latin typeface="+mn-lt"/>
                <a:ea typeface="+mn-ea"/>
                <a:cs typeface="+mn-cs"/>
              </a:defRPr>
            </a:pPr>
            <a:endParaRPr lang="en-US"/>
          </a:p>
        </c:txPr>
      </c:legendEntry>
      <c:legendEntry>
        <c:idx val="4"/>
        <c:delete val="1"/>
      </c:legendEntry>
      <c:legendEntry>
        <c:idx val="5"/>
        <c:delete val="1"/>
      </c:legendEntry>
      <c:legendEntry>
        <c:idx val="6"/>
        <c:delete val="1"/>
      </c:legendEntry>
      <c:layout>
        <c:manualLayout>
          <c:xMode val="edge"/>
          <c:yMode val="edge"/>
          <c:x val="0.14603297969792625"/>
          <c:y val="0.64849967387730245"/>
          <c:w val="0.2562000179500214"/>
          <c:h val="0.28223962741155606"/>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n-lt"/>
                <a:ea typeface="+mn-ea"/>
                <a:cs typeface="+mn-cs"/>
              </a:defRPr>
            </a:pPr>
            <a:r>
              <a:rPr lang="en-US" sz="2400">
                <a:solidFill>
                  <a:schemeClr val="tx1"/>
                </a:solidFill>
              </a:rPr>
              <a:t>C</a:t>
            </a:r>
            <a:r>
              <a:rPr lang="en-US" sz="2400" baseline="-25000">
                <a:solidFill>
                  <a:schemeClr val="tx1"/>
                </a:solidFill>
              </a:rPr>
              <a:t>L</a:t>
            </a:r>
            <a:r>
              <a:rPr lang="en-US" sz="2400" baseline="0">
                <a:solidFill>
                  <a:schemeClr val="tx1"/>
                </a:solidFill>
              </a:rPr>
              <a:t> vs </a:t>
            </a:r>
            <a:r>
              <a:rPr lang="el-GR" sz="2400" baseline="0">
                <a:solidFill>
                  <a:schemeClr val="tx1"/>
                </a:solidFill>
              </a:rPr>
              <a:t>α</a:t>
            </a:r>
            <a:endParaRPr lang="en-US" sz="2400">
              <a:solidFill>
                <a:schemeClr val="tx1"/>
              </a:solidFill>
            </a:endParaRPr>
          </a:p>
        </c:rich>
      </c:tx>
      <c:layout>
        <c:manualLayout>
          <c:xMode val="edge"/>
          <c:yMode val="edge"/>
          <c:x val="0.43791425195152056"/>
          <c:y val="7.0397557808371417E-4"/>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3.4737080937292178E-2"/>
          <c:y val="1.7985960408755091E-2"/>
          <c:w val="0.93983716149585694"/>
          <c:h val="0.9640279348731835"/>
        </c:manualLayout>
      </c:layout>
      <c:scatterChart>
        <c:scatterStyle val="smoothMarker"/>
        <c:varyColors val="0"/>
        <c:ser>
          <c:idx val="0"/>
          <c:order val="0"/>
          <c:tx>
            <c:v>Flight test</c:v>
          </c:tx>
          <c:spPr>
            <a:ln w="25400" cap="rnd">
              <a:noFill/>
              <a:round/>
            </a:ln>
            <a:effectLst/>
          </c:spPr>
          <c:marker>
            <c:symbol val="x"/>
            <c:size val="6"/>
            <c:spPr>
              <a:noFill/>
              <a:ln w="9525">
                <a:solidFill>
                  <a:schemeClr val="tx1"/>
                </a:solidFill>
              </a:ln>
              <a:effectLst/>
            </c:spPr>
          </c:marker>
          <c:trendline>
            <c:name>Flight test</c:name>
            <c:spPr>
              <a:ln w="9525" cap="rnd">
                <a:solidFill>
                  <a:schemeClr val="tx1"/>
                </a:solidFill>
                <a:prstDash val="solid"/>
              </a:ln>
              <a:effectLst/>
            </c:spPr>
            <c:trendlineType val="linear"/>
            <c:forward val="0.55000000000000004"/>
            <c:backward val="2"/>
            <c:dispRSqr val="0"/>
            <c:dispEq val="0"/>
          </c:trendline>
          <c:errBars>
            <c:errDir val="x"/>
            <c:errBarType val="both"/>
            <c:errValType val="fixedVal"/>
            <c:noEndCap val="0"/>
            <c:val val="5.000000000000001E-2"/>
            <c:spPr>
              <a:noFill/>
              <a:ln w="6350" cap="flat" cmpd="sng" algn="ctr">
                <a:solidFill>
                  <a:schemeClr val="tx1"/>
                </a:solidFill>
                <a:round/>
              </a:ln>
              <a:effectLst/>
            </c:spPr>
          </c:errBars>
          <c:errBars>
            <c:errDir val="y"/>
            <c:errBarType val="both"/>
            <c:errValType val="cust"/>
            <c:noEndCap val="0"/>
            <c:plus>
              <c:numRef>
                <c:f>FlightSimData!$T$70:$T$87</c:f>
                <c:numCache>
                  <c:formatCode>General</c:formatCode>
                  <c:ptCount val="18"/>
                  <c:pt idx="0">
                    <c:v>1.8434742482128635E-4</c:v>
                  </c:pt>
                  <c:pt idx="1">
                    <c:v>2.786450451517421E-4</c:v>
                  </c:pt>
                  <c:pt idx="2">
                    <c:v>4.1609543419159544E-4</c:v>
                  </c:pt>
                  <c:pt idx="3">
                    <c:v>6.2884260605154685E-4</c:v>
                  </c:pt>
                  <c:pt idx="4">
                    <c:v>8.7519175307657039E-4</c:v>
                  </c:pt>
                  <c:pt idx="5">
                    <c:v>1.3568422636940872E-3</c:v>
                  </c:pt>
                  <c:pt idx="6">
                    <c:v>1.8321976727056968E-4</c:v>
                  </c:pt>
                  <c:pt idx="7">
                    <c:v>2.7991159831664057E-4</c:v>
                  </c:pt>
                  <c:pt idx="8">
                    <c:v>4.195059062029216E-4</c:v>
                  </c:pt>
                  <c:pt idx="9">
                    <c:v>6.2742657388783465E-4</c:v>
                  </c:pt>
                  <c:pt idx="10">
                    <c:v>9.4150199608852489E-4</c:v>
                  </c:pt>
                  <c:pt idx="11">
                    <c:v>1.3554318804332034E-3</c:v>
                  </c:pt>
                  <c:pt idx="12">
                    <c:v>1.8341764918363687E-4</c:v>
                  </c:pt>
                  <c:pt idx="13">
                    <c:v>2.806921799817942E-4</c:v>
                  </c:pt>
                  <c:pt idx="14">
                    <c:v>4.2536207174647235E-4</c:v>
                  </c:pt>
                  <c:pt idx="15">
                    <c:v>6.3694367523696384E-4</c:v>
                  </c:pt>
                  <c:pt idx="16">
                    <c:v>9.1461876303292609E-4</c:v>
                  </c:pt>
                  <c:pt idx="17">
                    <c:v>1.2089740941278997E-3</c:v>
                  </c:pt>
                </c:numCache>
              </c:numRef>
            </c:plus>
            <c:minus>
              <c:numRef>
                <c:f>FlightSimData!$T$70:$T$87</c:f>
                <c:numCache>
                  <c:formatCode>General</c:formatCode>
                  <c:ptCount val="18"/>
                  <c:pt idx="0">
                    <c:v>1.8434742482128635E-4</c:v>
                  </c:pt>
                  <c:pt idx="1">
                    <c:v>2.786450451517421E-4</c:v>
                  </c:pt>
                  <c:pt idx="2">
                    <c:v>4.1609543419159544E-4</c:v>
                  </c:pt>
                  <c:pt idx="3">
                    <c:v>6.2884260605154685E-4</c:v>
                  </c:pt>
                  <c:pt idx="4">
                    <c:v>8.7519175307657039E-4</c:v>
                  </c:pt>
                  <c:pt idx="5">
                    <c:v>1.3568422636940872E-3</c:v>
                  </c:pt>
                  <c:pt idx="6">
                    <c:v>1.8321976727056968E-4</c:v>
                  </c:pt>
                  <c:pt idx="7">
                    <c:v>2.7991159831664057E-4</c:v>
                  </c:pt>
                  <c:pt idx="8">
                    <c:v>4.195059062029216E-4</c:v>
                  </c:pt>
                  <c:pt idx="9">
                    <c:v>6.2742657388783465E-4</c:v>
                  </c:pt>
                  <c:pt idx="10">
                    <c:v>9.4150199608852489E-4</c:v>
                  </c:pt>
                  <c:pt idx="11">
                    <c:v>1.3554318804332034E-3</c:v>
                  </c:pt>
                  <c:pt idx="12">
                    <c:v>1.8341764918363687E-4</c:v>
                  </c:pt>
                  <c:pt idx="13">
                    <c:v>2.806921799817942E-4</c:v>
                  </c:pt>
                  <c:pt idx="14">
                    <c:v>4.2536207174647235E-4</c:v>
                  </c:pt>
                  <c:pt idx="15">
                    <c:v>6.3694367523696384E-4</c:v>
                  </c:pt>
                  <c:pt idx="16">
                    <c:v>9.1461876303292609E-4</c:v>
                  </c:pt>
                  <c:pt idx="17">
                    <c:v>1.2089740941278997E-3</c:v>
                  </c:pt>
                </c:numCache>
              </c:numRef>
            </c:minus>
            <c:spPr>
              <a:noFill/>
              <a:ln w="6350" cap="flat" cmpd="sng" algn="ctr">
                <a:solidFill>
                  <a:schemeClr val="tx1"/>
                </a:solidFill>
                <a:round/>
              </a:ln>
              <a:effectLst/>
            </c:spPr>
          </c:errBars>
          <c:xVal>
            <c:numRef>
              <c:f>FlightSimData!$I$70:$I$87</c:f>
              <c:numCache>
                <c:formatCode>General</c:formatCode>
                <c:ptCount val="18"/>
                <c:pt idx="0">
                  <c:v>-1.7</c:v>
                </c:pt>
                <c:pt idx="1">
                  <c:v>-1.5</c:v>
                </c:pt>
                <c:pt idx="2">
                  <c:v>-1.3</c:v>
                </c:pt>
                <c:pt idx="3">
                  <c:v>-0.9</c:v>
                </c:pt>
                <c:pt idx="4">
                  <c:v>-0.5</c:v>
                </c:pt>
                <c:pt idx="5">
                  <c:v>0.1</c:v>
                </c:pt>
                <c:pt idx="6">
                  <c:v>-1.7</c:v>
                </c:pt>
                <c:pt idx="7">
                  <c:v>-1.5</c:v>
                </c:pt>
                <c:pt idx="8">
                  <c:v>-1.1000000000000001</c:v>
                </c:pt>
                <c:pt idx="9">
                  <c:v>-0.8</c:v>
                </c:pt>
                <c:pt idx="10">
                  <c:v>-0.2</c:v>
                </c:pt>
                <c:pt idx="11">
                  <c:v>0.2</c:v>
                </c:pt>
                <c:pt idx="12">
                  <c:v>-1.4</c:v>
                </c:pt>
                <c:pt idx="13">
                  <c:v>-1.6</c:v>
                </c:pt>
                <c:pt idx="14">
                  <c:v>-1</c:v>
                </c:pt>
                <c:pt idx="15">
                  <c:v>-0.4</c:v>
                </c:pt>
                <c:pt idx="16">
                  <c:v>-0.5</c:v>
                </c:pt>
                <c:pt idx="17">
                  <c:v>0</c:v>
                </c:pt>
              </c:numCache>
            </c:numRef>
          </c:xVal>
          <c:yVal>
            <c:numRef>
              <c:f>FlightSimData!$S$70:$S$87</c:f>
              <c:numCache>
                <c:formatCode>General</c:formatCode>
                <c:ptCount val="18"/>
                <c:pt idx="0">
                  <c:v>6.2409625365696435E-2</c:v>
                </c:pt>
                <c:pt idx="1">
                  <c:v>8.221695458867774E-2</c:v>
                </c:pt>
                <c:pt idx="2">
                  <c:v>0.10743281591186328</c:v>
                </c:pt>
                <c:pt idx="3">
                  <c:v>0.14154953319607821</c:v>
                </c:pt>
                <c:pt idx="4">
                  <c:v>0.17742188279355167</c:v>
                </c:pt>
                <c:pt idx="5">
                  <c:v>0.23785150003915551</c:v>
                </c:pt>
                <c:pt idx="6">
                  <c:v>6.2009239032486112E-2</c:v>
                </c:pt>
                <c:pt idx="7">
                  <c:v>8.230056112471347E-2</c:v>
                </c:pt>
                <c:pt idx="8">
                  <c:v>0.1078925404671665</c:v>
                </c:pt>
                <c:pt idx="9">
                  <c:v>0.14122007857538413</c:v>
                </c:pt>
                <c:pt idx="10">
                  <c:v>0.18625587144305442</c:v>
                </c:pt>
                <c:pt idx="11">
                  <c:v>0.23759837183612512</c:v>
                </c:pt>
                <c:pt idx="12">
                  <c:v>6.228202265694651E-2</c:v>
                </c:pt>
                <c:pt idx="13">
                  <c:v>8.2846162493322315E-2</c:v>
                </c:pt>
                <c:pt idx="14">
                  <c:v>0.10945456796581098</c:v>
                </c:pt>
                <c:pt idx="15">
                  <c:v>0.14343172176821734</c:v>
                </c:pt>
                <c:pt idx="16">
                  <c:v>0.1827309730516373</c:v>
                </c:pt>
                <c:pt idx="17">
                  <c:v>0.22023141021972498</c:v>
                </c:pt>
              </c:numCache>
            </c:numRef>
          </c:yVal>
          <c:smooth val="1"/>
          <c:extLst>
            <c:ext xmlns:c16="http://schemas.microsoft.com/office/drawing/2014/chart" uri="{C3380CC4-5D6E-409C-BE32-E72D297353CC}">
              <c16:uniqueId val="{00000001-1F8D-4D75-9631-60D078102A2B}"/>
            </c:ext>
          </c:extLst>
        </c:ser>
        <c:ser>
          <c:idx val="1"/>
          <c:order val="1"/>
          <c:tx>
            <c:v>Wind tunnel, No tail</c:v>
          </c:tx>
          <c:spPr>
            <a:ln w="25400" cap="rnd">
              <a:noFill/>
              <a:round/>
            </a:ln>
            <a:effectLst/>
          </c:spPr>
          <c:marker>
            <c:symbol val="circle"/>
            <c:size val="5"/>
            <c:spPr>
              <a:noFill/>
              <a:ln w="9525">
                <a:solidFill>
                  <a:srgbClr val="FF0000"/>
                </a:solidFill>
              </a:ln>
              <a:effectLst/>
            </c:spPr>
          </c:marker>
          <c:trendline>
            <c:spPr>
              <a:ln w="6350" cap="rnd">
                <a:solidFill>
                  <a:srgbClr val="FF0000"/>
                </a:solidFill>
                <a:prstDash val="solid"/>
              </a:ln>
              <a:effectLst/>
            </c:spPr>
            <c:trendlineType val="poly"/>
            <c:order val="3"/>
            <c:dispRSqr val="0"/>
            <c:dispEq val="0"/>
          </c:trendline>
          <c:errBars>
            <c:errDir val="x"/>
            <c:errBarType val="both"/>
            <c:errValType val="cust"/>
            <c:noEndCap val="0"/>
            <c:plus>
              <c:numRef>
                <c:f>WindTunnelData!$BN$16:$BN$23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WindTunnelData!$BN$16:$BN$23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errBars>
            <c:errDir val="y"/>
            <c:errBarType val="both"/>
            <c:errValType val="cust"/>
            <c:noEndCap val="0"/>
            <c:pl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xVal>
            <c:numRef>
              <c:f>WindTunnelData!$BM$16:$BM$23</c:f>
              <c:numCache>
                <c:formatCode>General</c:formatCode>
                <c:ptCount val="8"/>
                <c:pt idx="0">
                  <c:v>-2.0050288773063034</c:v>
                </c:pt>
                <c:pt idx="1">
                  <c:v>0.11042777358217459</c:v>
                </c:pt>
                <c:pt idx="2">
                  <c:v>2.2287521267129087</c:v>
                </c:pt>
                <c:pt idx="3">
                  <c:v>4.3464040293230353</c:v>
                </c:pt>
                <c:pt idx="4">
                  <c:v>6.4579030994465159</c:v>
                </c:pt>
                <c:pt idx="5">
                  <c:v>8.5525346868783743</c:v>
                </c:pt>
                <c:pt idx="6">
                  <c:v>10.628791054433369</c:v>
                </c:pt>
                <c:pt idx="7">
                  <c:v>12.69730540555584</c:v>
                </c:pt>
              </c:numCache>
            </c:numRef>
          </c:xVal>
          <c:y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yVal>
          <c:smooth val="1"/>
          <c:extLst>
            <c:ext xmlns:c16="http://schemas.microsoft.com/office/drawing/2014/chart" uri="{C3380CC4-5D6E-409C-BE32-E72D297353CC}">
              <c16:uniqueId val="{00000002-1F8D-4D75-9631-60D078102A2B}"/>
            </c:ext>
          </c:extLst>
        </c:ser>
        <c:ser>
          <c:idx val="2"/>
          <c:order val="2"/>
          <c:tx>
            <c:v>Wind tunnel, ΔiH = +1 deg</c:v>
          </c:tx>
          <c:spPr>
            <a:ln w="25400" cap="rnd">
              <a:noFill/>
              <a:round/>
            </a:ln>
            <a:effectLst/>
          </c:spPr>
          <c:marker>
            <c:symbol val="square"/>
            <c:size val="5"/>
            <c:spPr>
              <a:noFill/>
              <a:ln w="9525">
                <a:solidFill>
                  <a:srgbClr val="0000FF"/>
                </a:solidFill>
              </a:ln>
              <a:effectLst/>
            </c:spPr>
          </c:marker>
          <c:trendline>
            <c:spPr>
              <a:ln w="6350" cap="rnd">
                <a:solidFill>
                  <a:srgbClr val="0000FF"/>
                </a:solidFill>
                <a:prstDash val="solid"/>
              </a:ln>
              <a:effectLst/>
            </c:spPr>
            <c:trendlineType val="poly"/>
            <c:order val="3"/>
            <c:dispRSqr val="0"/>
            <c:dispEq val="0"/>
          </c:trendline>
          <c:errBars>
            <c:errDir val="x"/>
            <c:errBarType val="both"/>
            <c:errValType val="cust"/>
            <c:noEndCap val="0"/>
            <c:plus>
              <c:numRef>
                <c:f>WindTunnelData!$BN$28:$BN$35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WindTunnelData!$BN$28:$BN$35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rgbClr val="0000FF"/>
                </a:solidFill>
                <a:round/>
              </a:ln>
              <a:effectLst/>
            </c:spPr>
          </c:errBars>
          <c:errBars>
            <c:errDir val="y"/>
            <c:errBarType val="both"/>
            <c:errValType val="cust"/>
            <c:noEndCap val="0"/>
            <c:pl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rgbClr val="0000FF"/>
                </a:solidFill>
                <a:round/>
              </a:ln>
              <a:effectLst/>
            </c:spPr>
          </c:errBars>
          <c:xVal>
            <c:numRef>
              <c:f>WindTunnelData!$BM$28:$BM$35</c:f>
              <c:numCache>
                <c:formatCode>General</c:formatCode>
                <c:ptCount val="8"/>
                <c:pt idx="0">
                  <c:v>-2.0266545407736096</c:v>
                </c:pt>
                <c:pt idx="1">
                  <c:v>0.11254761110151436</c:v>
                </c:pt>
                <c:pt idx="2">
                  <c:v>2.2459580628224649</c:v>
                </c:pt>
                <c:pt idx="3">
                  <c:v>4.3814262843613383</c:v>
                </c:pt>
                <c:pt idx="4">
                  <c:v>6.5155214776270434</c:v>
                </c:pt>
                <c:pt idx="5">
                  <c:v>8.6220111813425486</c:v>
                </c:pt>
                <c:pt idx="6">
                  <c:v>10.713791317711145</c:v>
                </c:pt>
                <c:pt idx="7">
                  <c:v>12.791581595513144</c:v>
                </c:pt>
              </c:numCache>
            </c:numRef>
          </c:xVal>
          <c:y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yVal>
          <c:smooth val="1"/>
          <c:extLst>
            <c:ext xmlns:c16="http://schemas.microsoft.com/office/drawing/2014/chart" uri="{C3380CC4-5D6E-409C-BE32-E72D297353CC}">
              <c16:uniqueId val="{00000003-1F8D-4D75-9631-60D078102A2B}"/>
            </c:ext>
          </c:extLst>
        </c:ser>
        <c:ser>
          <c:idx val="3"/>
          <c:order val="3"/>
          <c:tx>
            <c:v>Wind tunnel, ΔiH = -2 deg</c:v>
          </c:tx>
          <c:spPr>
            <a:ln w="25400" cap="rnd">
              <a:noFill/>
              <a:round/>
            </a:ln>
            <a:effectLst/>
          </c:spPr>
          <c:marker>
            <c:symbol val="triangle"/>
            <c:size val="6"/>
            <c:spPr>
              <a:noFill/>
              <a:ln w="9525">
                <a:solidFill>
                  <a:srgbClr val="00C800"/>
                </a:solidFill>
              </a:ln>
              <a:effectLst/>
            </c:spPr>
          </c:marker>
          <c:errBars>
            <c:errDir val="x"/>
            <c:errBarType val="both"/>
            <c:errValType val="cust"/>
            <c:noEndCap val="0"/>
            <c:plus>
              <c:numRef>
                <c:f>WindTunnelData!$BN$40:$BN$55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plus>
            <c:minus>
              <c:numRef>
                <c:f>WindTunnelData!$BN$40:$BN$55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minus>
            <c:spPr>
              <a:noFill/>
              <a:ln w="6350" cap="flat" cmpd="sng" algn="ctr">
                <a:solidFill>
                  <a:srgbClr val="00C800"/>
                </a:solidFill>
                <a:round/>
              </a:ln>
              <a:effectLst/>
            </c:spPr>
          </c:errBars>
          <c:errBars>
            <c:errDir val="y"/>
            <c:errBarType val="both"/>
            <c:errValType val="cust"/>
            <c:noEndCap val="0"/>
            <c:pl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plus>
            <c:min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minus>
            <c:spPr>
              <a:noFill/>
              <a:ln w="6350" cap="flat" cmpd="sng" algn="ctr">
                <a:solidFill>
                  <a:srgbClr val="00C800"/>
                </a:solidFill>
                <a:round/>
              </a:ln>
              <a:effectLst/>
            </c:spPr>
          </c:errBars>
          <c:xVal>
            <c:numRef>
              <c:f>WindTunnelData!$BM$40:$BM$55</c:f>
              <c:numCache>
                <c:formatCode>General</c:formatCode>
                <c:ptCount val="16"/>
                <c:pt idx="0">
                  <c:v>-2.0682262217539522</c:v>
                </c:pt>
                <c:pt idx="1">
                  <c:v>6.4397880742575297E-2</c:v>
                </c:pt>
                <c:pt idx="2">
                  <c:v>2.2045235309392766</c:v>
                </c:pt>
                <c:pt idx="3">
                  <c:v>4.3403994170036899</c:v>
                </c:pt>
                <c:pt idx="4">
                  <c:v>6.468478751210788</c:v>
                </c:pt>
                <c:pt idx="5">
                  <c:v>8.5809419361353161</c:v>
                </c:pt>
                <c:pt idx="6">
                  <c:v>10.67659398606771</c:v>
                </c:pt>
                <c:pt idx="7">
                  <c:v>11.723647720842546</c:v>
                </c:pt>
                <c:pt idx="8">
                  <c:v>12.761826074063665</c:v>
                </c:pt>
                <c:pt idx="9">
                  <c:v>13.795514286397525</c:v>
                </c:pt>
                <c:pt idx="10">
                  <c:v>14.766944672253016</c:v>
                </c:pt>
                <c:pt idx="11">
                  <c:v>15.783563712221987</c:v>
                </c:pt>
                <c:pt idx="12">
                  <c:v>16.759975319054341</c:v>
                </c:pt>
                <c:pt idx="13">
                  <c:v>17.657022257309169</c:v>
                </c:pt>
                <c:pt idx="14">
                  <c:v>18.545517465020609</c:v>
                </c:pt>
                <c:pt idx="15">
                  <c:v>19.571299854914667</c:v>
                </c:pt>
              </c:numCache>
            </c:numRef>
          </c:xVal>
          <c:yVal>
            <c:numRef>
              <c:f>WindTunnelData!$CE$40:$CE$55</c:f>
              <c:numCache>
                <c:formatCode>General</c:formatCode>
                <c:ptCount val="16"/>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0.92402972560604368</c:v>
                </c:pt>
                <c:pt idx="11">
                  <c:v>0.94405266532769461</c:v>
                </c:pt>
                <c:pt idx="12">
                  <c:v>0.91563291452330309</c:v>
                </c:pt>
                <c:pt idx="13">
                  <c:v>0.79159308109538473</c:v>
                </c:pt>
                <c:pt idx="14">
                  <c:v>0.65724995785615525</c:v>
                </c:pt>
                <c:pt idx="15">
                  <c:v>0.68831307821044208</c:v>
                </c:pt>
              </c:numCache>
            </c:numRef>
          </c:yVal>
          <c:smooth val="1"/>
          <c:extLst>
            <c:ext xmlns:c16="http://schemas.microsoft.com/office/drawing/2014/chart" uri="{C3380CC4-5D6E-409C-BE32-E72D297353CC}">
              <c16:uniqueId val="{00000004-1F8D-4D75-9631-60D078102A2B}"/>
            </c:ext>
          </c:extLst>
        </c:ser>
        <c:ser>
          <c:idx val="4"/>
          <c:order val="6"/>
          <c:tx>
            <c:v>No tail linear</c:v>
          </c:tx>
          <c:spPr>
            <a:ln w="25400" cap="rnd">
              <a:noFill/>
              <a:round/>
            </a:ln>
            <a:effectLst/>
          </c:spPr>
          <c:marker>
            <c:symbol val="none"/>
          </c:marker>
          <c:trendline>
            <c:name>Wind Tunnel, No tail</c:name>
            <c:spPr>
              <a:ln w="19050" cap="rnd">
                <a:solidFill>
                  <a:srgbClr val="FF0000"/>
                </a:solidFill>
                <a:prstDash val="sysDot"/>
              </a:ln>
              <a:effectLst/>
            </c:spPr>
            <c:trendlineType val="linear"/>
            <c:forward val="7"/>
            <c:backward val="1.5"/>
            <c:dispRSqr val="0"/>
            <c:dispEq val="0"/>
          </c:trendline>
          <c:xVal>
            <c:numRef>
              <c:f>WindTunnelData!$BM$16:$BM$20</c:f>
              <c:numCache>
                <c:formatCode>General</c:formatCode>
                <c:ptCount val="5"/>
                <c:pt idx="0">
                  <c:v>-2.0050288773063034</c:v>
                </c:pt>
                <c:pt idx="1">
                  <c:v>0.11042777358217459</c:v>
                </c:pt>
                <c:pt idx="2">
                  <c:v>2.2287521267129087</c:v>
                </c:pt>
                <c:pt idx="3">
                  <c:v>4.3464040293230353</c:v>
                </c:pt>
                <c:pt idx="4">
                  <c:v>6.4579030994465159</c:v>
                </c:pt>
              </c:numCache>
            </c:numRef>
          </c:xVal>
          <c:yVal>
            <c:numRef>
              <c:f>WindTunnelData!$CE$16:$CE$20</c:f>
              <c:numCache>
                <c:formatCode>General</c:formatCode>
                <c:ptCount val="5"/>
                <c:pt idx="0">
                  <c:v>-6.058888320847295E-3</c:v>
                </c:pt>
                <c:pt idx="1">
                  <c:v>0.13304551033996939</c:v>
                </c:pt>
                <c:pt idx="2">
                  <c:v>0.27560497194326367</c:v>
                </c:pt>
                <c:pt idx="3">
                  <c:v>0.41735425219642769</c:v>
                </c:pt>
                <c:pt idx="4">
                  <c:v>0.55169048126086284</c:v>
                </c:pt>
              </c:numCache>
            </c:numRef>
          </c:yVal>
          <c:smooth val="1"/>
          <c:extLst>
            <c:ext xmlns:c16="http://schemas.microsoft.com/office/drawing/2014/chart" uri="{C3380CC4-5D6E-409C-BE32-E72D297353CC}">
              <c16:uniqueId val="{0000000D-1F8D-4D75-9631-60D078102A2B}"/>
            </c:ext>
          </c:extLst>
        </c:ser>
        <c:ser>
          <c:idx val="7"/>
          <c:order val="7"/>
          <c:tx>
            <c:v>ΔiH = +1 deg linear</c:v>
          </c:tx>
          <c:spPr>
            <a:ln w="25400" cap="rnd">
              <a:noFill/>
              <a:round/>
            </a:ln>
            <a:effectLst/>
          </c:spPr>
          <c:marker>
            <c:symbol val="none"/>
          </c:marker>
          <c:trendline>
            <c:name>Wind Tunnel, ΔiH = +1 deg</c:name>
            <c:spPr>
              <a:ln w="15875" cap="rnd">
                <a:solidFill>
                  <a:srgbClr val="0000FF"/>
                </a:solidFill>
                <a:prstDash val="dash"/>
              </a:ln>
              <a:effectLst/>
            </c:spPr>
            <c:trendlineType val="linear"/>
            <c:forward val="5"/>
            <c:backward val="1"/>
            <c:dispRSqr val="0"/>
            <c:dispEq val="0"/>
          </c:trendline>
          <c:xVal>
            <c:numRef>
              <c:f>WindTunnelData!$BM$28:$BM$32</c:f>
              <c:numCache>
                <c:formatCode>General</c:formatCode>
                <c:ptCount val="5"/>
                <c:pt idx="0">
                  <c:v>-2.0266545407736096</c:v>
                </c:pt>
                <c:pt idx="1">
                  <c:v>0.11254761110151436</c:v>
                </c:pt>
                <c:pt idx="2">
                  <c:v>2.2459580628224649</c:v>
                </c:pt>
                <c:pt idx="3">
                  <c:v>4.3814262843613383</c:v>
                </c:pt>
                <c:pt idx="4">
                  <c:v>6.5155214776270434</c:v>
                </c:pt>
              </c:numCache>
            </c:numRef>
          </c:xVal>
          <c:yVal>
            <c:numRef>
              <c:f>WindTunnelData!$CE$28:$CE$32</c:f>
              <c:numCache>
                <c:formatCode>General</c:formatCode>
                <c:ptCount val="5"/>
                <c:pt idx="0">
                  <c:v>-3.2113904546517726E-2</c:v>
                </c:pt>
                <c:pt idx="1">
                  <c:v>0.13559953144760767</c:v>
                </c:pt>
                <c:pt idx="2">
                  <c:v>0.29633501544875313</c:v>
                </c:pt>
                <c:pt idx="3">
                  <c:v>0.45954974019438349</c:v>
                </c:pt>
                <c:pt idx="4">
                  <c:v>0.62111021400848543</c:v>
                </c:pt>
              </c:numCache>
            </c:numRef>
          </c:yVal>
          <c:smooth val="1"/>
          <c:extLst>
            <c:ext xmlns:c16="http://schemas.microsoft.com/office/drawing/2014/chart" uri="{C3380CC4-5D6E-409C-BE32-E72D297353CC}">
              <c16:uniqueId val="{0000000F-1F8D-4D75-9631-60D078102A2B}"/>
            </c:ext>
          </c:extLst>
        </c:ser>
        <c:ser>
          <c:idx val="8"/>
          <c:order val="8"/>
          <c:tx>
            <c:v>ΔiH = -2 deg linear</c:v>
          </c:tx>
          <c:spPr>
            <a:ln w="25400" cap="rnd">
              <a:noFill/>
              <a:round/>
            </a:ln>
            <a:effectLst/>
          </c:spPr>
          <c:marker>
            <c:symbol val="none"/>
          </c:marker>
          <c:trendline>
            <c:name>Wind tunnel, ΔiH = -2 deg</c:name>
            <c:spPr>
              <a:ln w="15875" cap="rnd">
                <a:solidFill>
                  <a:srgbClr val="00C800"/>
                </a:solidFill>
                <a:prstDash val="lgDashDot"/>
              </a:ln>
              <a:effectLst/>
            </c:spPr>
            <c:trendlineType val="linear"/>
            <c:forward val="6"/>
            <c:backward val="0.5"/>
            <c:dispRSqr val="0"/>
            <c:dispEq val="0"/>
          </c:trendline>
          <c:xVal>
            <c:numRef>
              <c:f>WindTunnelData!$BM$40:$BM$44</c:f>
              <c:numCache>
                <c:formatCode>General</c:formatCode>
                <c:ptCount val="5"/>
                <c:pt idx="0">
                  <c:v>-2.0682262217539522</c:v>
                </c:pt>
                <c:pt idx="1">
                  <c:v>6.4397880742575297E-2</c:v>
                </c:pt>
                <c:pt idx="2">
                  <c:v>2.2045235309392766</c:v>
                </c:pt>
                <c:pt idx="3">
                  <c:v>4.3403994170036899</c:v>
                </c:pt>
                <c:pt idx="4">
                  <c:v>6.468478751210788</c:v>
                </c:pt>
              </c:numCache>
            </c:numRef>
          </c:xVal>
          <c:yVal>
            <c:numRef>
              <c:f>WindTunnelData!$CE$40:$CE$44</c:f>
              <c:numCache>
                <c:formatCode>General</c:formatCode>
                <c:ptCount val="5"/>
                <c:pt idx="0">
                  <c:v>-8.2200267173436439E-2</c:v>
                </c:pt>
                <c:pt idx="1">
                  <c:v>7.7587808123584692E-2</c:v>
                </c:pt>
                <c:pt idx="2">
                  <c:v>0.24641389269792346</c:v>
                </c:pt>
                <c:pt idx="3">
                  <c:v>0.4101197795225181</c:v>
                </c:pt>
                <c:pt idx="4">
                  <c:v>0.5644322303744429</c:v>
                </c:pt>
              </c:numCache>
            </c:numRef>
          </c:yVal>
          <c:smooth val="1"/>
          <c:extLst>
            <c:ext xmlns:c16="http://schemas.microsoft.com/office/drawing/2014/chart" uri="{C3380CC4-5D6E-409C-BE32-E72D297353CC}">
              <c16:uniqueId val="{00000011-1F8D-4D75-9631-60D078102A2B}"/>
            </c:ext>
          </c:extLst>
        </c:ser>
        <c:ser>
          <c:idx val="9"/>
          <c:order val="9"/>
          <c:tx>
            <c:v>ΔiH = -2 deg full line </c:v>
          </c:tx>
          <c:spPr>
            <a:ln w="25400" cap="rnd">
              <a:noFill/>
              <a:round/>
            </a:ln>
            <a:effectLst/>
          </c:spPr>
          <c:marker>
            <c:symbol val="none"/>
          </c:marker>
          <c:trendline>
            <c:spPr>
              <a:ln w="6350" cap="rnd">
                <a:solidFill>
                  <a:srgbClr val="00C800"/>
                </a:solidFill>
                <a:prstDash val="solid"/>
              </a:ln>
              <a:effectLst/>
            </c:spPr>
            <c:trendlineType val="poly"/>
            <c:order val="6"/>
            <c:dispRSqr val="0"/>
            <c:dispEq val="0"/>
          </c:trendline>
          <c:xVal>
            <c:numRef>
              <c:f>(WindTunnelData!$BM$40:$BM$49,WindTunnelData!$BM$51:$BM$54)</c:f>
              <c:numCache>
                <c:formatCode>General</c:formatCode>
                <c:ptCount val="14"/>
                <c:pt idx="0">
                  <c:v>-2.0682262217539522</c:v>
                </c:pt>
                <c:pt idx="1">
                  <c:v>6.4397880742575297E-2</c:v>
                </c:pt>
                <c:pt idx="2">
                  <c:v>2.2045235309392766</c:v>
                </c:pt>
                <c:pt idx="3">
                  <c:v>4.3403994170036899</c:v>
                </c:pt>
                <c:pt idx="4">
                  <c:v>6.468478751210788</c:v>
                </c:pt>
                <c:pt idx="5">
                  <c:v>8.5809419361353161</c:v>
                </c:pt>
                <c:pt idx="6">
                  <c:v>10.67659398606771</c:v>
                </c:pt>
                <c:pt idx="7">
                  <c:v>11.723647720842546</c:v>
                </c:pt>
                <c:pt idx="8">
                  <c:v>12.761826074063665</c:v>
                </c:pt>
                <c:pt idx="9">
                  <c:v>13.795514286397525</c:v>
                </c:pt>
                <c:pt idx="10">
                  <c:v>15.783563712221987</c:v>
                </c:pt>
                <c:pt idx="11">
                  <c:v>16.759975319054341</c:v>
                </c:pt>
                <c:pt idx="12">
                  <c:v>17.657022257309169</c:v>
                </c:pt>
                <c:pt idx="13">
                  <c:v>18.545517465020609</c:v>
                </c:pt>
              </c:numCache>
            </c:numRef>
          </c:xVal>
          <c:yVal>
            <c:numRef>
              <c:f>(WindTunnelData!$CE$40:$CE$49,WindTunnelData!$CE$51:$CE$54)</c:f>
              <c:numCache>
                <c:formatCode>General</c:formatCode>
                <c:ptCount val="14"/>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0.94405266532769461</c:v>
                </c:pt>
                <c:pt idx="11">
                  <c:v>0.91563291452330309</c:v>
                </c:pt>
                <c:pt idx="12">
                  <c:v>0.79159308109538473</c:v>
                </c:pt>
                <c:pt idx="13">
                  <c:v>0.65724995785615525</c:v>
                </c:pt>
              </c:numCache>
            </c:numRef>
          </c:yVal>
          <c:smooth val="1"/>
          <c:extLst>
            <c:ext xmlns:c16="http://schemas.microsoft.com/office/drawing/2014/chart" uri="{C3380CC4-5D6E-409C-BE32-E72D297353CC}">
              <c16:uniqueId val="{00000013-1F8D-4D75-9631-60D078102A2B}"/>
            </c:ext>
          </c:extLst>
        </c:ser>
        <c:ser>
          <c:idx val="10"/>
          <c:order val="10"/>
          <c:tx>
            <c:v>CLmax</c:v>
          </c:tx>
          <c:spPr>
            <a:ln w="6350" cap="rnd">
              <a:solidFill>
                <a:srgbClr val="00C800"/>
              </a:solidFill>
              <a:round/>
            </a:ln>
            <a:effectLst/>
          </c:spPr>
          <c:marker>
            <c:symbol val="none"/>
          </c:marker>
          <c:xVal>
            <c:numRef>
              <c:f>WindTunnelData!$DW$39:$DW$40</c:f>
              <c:numCache>
                <c:formatCode>General</c:formatCode>
                <c:ptCount val="2"/>
                <c:pt idx="0">
                  <c:v>-4</c:v>
                </c:pt>
                <c:pt idx="1">
                  <c:v>20</c:v>
                </c:pt>
              </c:numCache>
            </c:numRef>
          </c:xVal>
          <c:yVal>
            <c:numRef>
              <c:f>WindTunnelData!$DX$39:$DX$40</c:f>
              <c:numCache>
                <c:formatCode>General</c:formatCode>
                <c:ptCount val="2"/>
                <c:pt idx="0">
                  <c:v>0.96650000000000003</c:v>
                </c:pt>
                <c:pt idx="1">
                  <c:v>0.96650000000000003</c:v>
                </c:pt>
              </c:numCache>
            </c:numRef>
          </c:yVal>
          <c:smooth val="1"/>
          <c:extLst>
            <c:ext xmlns:c16="http://schemas.microsoft.com/office/drawing/2014/chart" uri="{C3380CC4-5D6E-409C-BE32-E72D297353CC}">
              <c16:uniqueId val="{00000017-1F8D-4D75-9631-60D078102A2B}"/>
            </c:ext>
          </c:extLst>
        </c:ser>
        <c:dLbls>
          <c:showLegendKey val="0"/>
          <c:showVal val="0"/>
          <c:showCatName val="0"/>
          <c:showSerName val="0"/>
          <c:showPercent val="0"/>
          <c:showBubbleSize val="0"/>
        </c:dLbls>
        <c:axId val="689813263"/>
        <c:axId val="689819023"/>
        <c:extLst>
          <c:ext xmlns:c15="http://schemas.microsoft.com/office/drawing/2012/chart" uri="{02D57815-91ED-43cb-92C2-25804820EDAC}">
            <c15:filteredScatterSeries>
              <c15:ser>
                <c:idx val="5"/>
                <c:order val="4"/>
                <c:tx>
                  <c:v>space</c:v>
                </c:tx>
                <c:spPr>
                  <a:ln w="25400" cap="rnd">
                    <a:noFill/>
                    <a:round/>
                  </a:ln>
                  <a:effectLst/>
                </c:spPr>
                <c:marker>
                  <c:symbol val="triangle"/>
                  <c:size val="6"/>
                  <c:spPr>
                    <a:noFill/>
                    <a:ln w="9525">
                      <a:solidFill>
                        <a:srgbClr val="00C800"/>
                      </a:solidFill>
                    </a:ln>
                    <a:effectLst/>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7-1F8D-4D75-9631-60D078102A2B}"/>
                  </c:ext>
                </c:extLst>
              </c15:ser>
            </c15:filteredScatterSeries>
            <c15:filteredScatterSeries>
              <c15:ser>
                <c:idx val="6"/>
                <c:order val="5"/>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xmlns:c15="http://schemas.microsoft.com/office/drawing/2012/chart">
                  <c:ext xmlns:c16="http://schemas.microsoft.com/office/drawing/2014/chart" uri="{C3380CC4-5D6E-409C-BE32-E72D297353CC}">
                    <c16:uniqueId val="{0000000C-1F8D-4D75-9631-60D078102A2B}"/>
                  </c:ext>
                </c:extLst>
              </c15:ser>
            </c15:filteredScatterSeries>
          </c:ext>
        </c:extLst>
      </c:scatterChart>
      <c:valAx>
        <c:axId val="689813263"/>
        <c:scaling>
          <c:orientation val="minMax"/>
          <c:max val="20"/>
          <c:min val="-4"/>
        </c:scaling>
        <c:delete val="0"/>
        <c:axPos val="b"/>
        <c:title>
          <c:tx>
            <c:rich>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r>
                  <a:rPr lang="el-GR" sz="2000">
                    <a:solidFill>
                      <a:schemeClr val="tx1"/>
                    </a:solidFill>
                  </a:rPr>
                  <a:t>α</a:t>
                </a:r>
                <a:endParaRPr lang="en-MY" sz="2000">
                  <a:solidFill>
                    <a:schemeClr val="tx1"/>
                  </a:solidFill>
                </a:endParaRPr>
              </a:p>
            </c:rich>
          </c:tx>
          <c:layout>
            <c:manualLayout>
              <c:xMode val="edge"/>
              <c:yMode val="edge"/>
              <c:x val="0.91287279021428069"/>
              <c:y val="0.9319865714069971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MY"/>
            </a:p>
          </c:txPr>
        </c:title>
        <c:numFmt formatCode="#,##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89819023"/>
        <c:crosses val="autoZero"/>
        <c:crossBetween val="midCat"/>
        <c:majorUnit val="2"/>
      </c:valAx>
      <c:valAx>
        <c:axId val="689819023"/>
        <c:scaling>
          <c:orientation val="minMax"/>
          <c:max val="1.05"/>
          <c:min val="-0.1"/>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mn-lt"/>
                    <a:ea typeface="+mn-ea"/>
                    <a:cs typeface="+mn-cs"/>
                  </a:defRPr>
                </a:pPr>
                <a:r>
                  <a:rPr lang="en-MY" sz="2000">
                    <a:solidFill>
                      <a:schemeClr val="tx1"/>
                    </a:solidFill>
                  </a:rPr>
                  <a:t>C</a:t>
                </a:r>
                <a:r>
                  <a:rPr lang="en-MY" sz="2000" baseline="-25000">
                    <a:solidFill>
                      <a:schemeClr val="tx1"/>
                    </a:solidFill>
                  </a:rPr>
                  <a:t>L</a:t>
                </a:r>
                <a:endParaRPr lang="en-MY" sz="2000">
                  <a:solidFill>
                    <a:schemeClr val="tx1"/>
                  </a:solidFill>
                </a:endParaRPr>
              </a:p>
            </c:rich>
          </c:tx>
          <c:layout>
            <c:manualLayout>
              <c:xMode val="edge"/>
              <c:yMode val="edge"/>
              <c:x val="6.9483429064845587E-2"/>
              <c:y val="0.40596133441292681"/>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MY"/>
            </a:p>
          </c:txPr>
        </c:title>
        <c:numFmt formatCode="#,##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89813263"/>
        <c:crosses val="autoZero"/>
        <c:crossBetween val="midCat"/>
        <c:majorUnit val="0.1"/>
      </c:valAx>
      <c:spPr>
        <a:noFill/>
        <a:ln>
          <a:noFill/>
        </a:ln>
        <a:effectLst/>
      </c:spPr>
    </c:plotArea>
    <c:legend>
      <c:legendPos val="r"/>
      <c:legendEntry>
        <c:idx val="4"/>
        <c:delete val="1"/>
      </c:legendEntry>
      <c:legendEntry>
        <c:idx val="5"/>
        <c:delete val="1"/>
      </c:legendEntry>
      <c:legendEntry>
        <c:idx val="6"/>
        <c:delete val="1"/>
      </c:legendEntry>
      <c:legendEntry>
        <c:idx val="7"/>
        <c:txPr>
          <a:bodyPr rot="0" spcFirstLastPara="1" vertOverflow="ellipsis" vert="horz" wrap="square" anchor="ctr" anchorCtr="1"/>
          <a:lstStyle/>
          <a:p>
            <a:pPr>
              <a:defRPr sz="1400" b="0" i="0" u="none" strike="noStrike" kern="1200" baseline="0">
                <a:noFill/>
                <a:latin typeface="+mn-lt"/>
                <a:ea typeface="+mn-ea"/>
                <a:cs typeface="+mn-cs"/>
              </a:defRPr>
            </a:pPr>
            <a:endParaRPr lang="en-US"/>
          </a:p>
        </c:txPr>
      </c:legendEntry>
      <c:legendEntry>
        <c:idx val="8"/>
        <c:delete val="1"/>
      </c:legendEntry>
      <c:legendEntry>
        <c:idx val="13"/>
        <c:delete val="1"/>
      </c:legendEntry>
      <c:legendEntry>
        <c:idx val="14"/>
        <c:delete val="1"/>
      </c:legendEntry>
      <c:legendEntry>
        <c:idx val="15"/>
        <c:delete val="1"/>
      </c:legendEntry>
      <c:layout>
        <c:manualLayout>
          <c:xMode val="edge"/>
          <c:yMode val="edge"/>
          <c:x val="0.42837180184351487"/>
          <c:y val="0.49159740458842044"/>
          <c:w val="0.33374020336379712"/>
          <c:h val="0.38489782874158229"/>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715223097112861E-2"/>
          <c:y val="0.18097222222222226"/>
          <c:w val="0.91606255468066489"/>
          <c:h val="0.77736111111111106"/>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WindTunnelData!$X$59:$X$66</c:f>
              <c:numCache>
                <c:formatCode>General</c:formatCode>
                <c:ptCount val="8"/>
                <c:pt idx="0">
                  <c:v>-2</c:v>
                </c:pt>
                <c:pt idx="1">
                  <c:v>0</c:v>
                </c:pt>
                <c:pt idx="2">
                  <c:v>2</c:v>
                </c:pt>
                <c:pt idx="3">
                  <c:v>4</c:v>
                </c:pt>
                <c:pt idx="4">
                  <c:v>6</c:v>
                </c:pt>
                <c:pt idx="5">
                  <c:v>8</c:v>
                </c:pt>
                <c:pt idx="6">
                  <c:v>10</c:v>
                </c:pt>
                <c:pt idx="7">
                  <c:v>12</c:v>
                </c:pt>
              </c:numCache>
            </c:numRef>
          </c:xVal>
          <c:yVal>
            <c:numRef>
              <c:f>WindTunnelData!$Y$59:$Y$66</c:f>
              <c:numCache>
                <c:formatCode>General</c:formatCode>
                <c:ptCount val="8"/>
                <c:pt idx="0">
                  <c:v>-0.13634810673418352</c:v>
                </c:pt>
                <c:pt idx="1">
                  <c:v>0.1458170016736613</c:v>
                </c:pt>
                <c:pt idx="2">
                  <c:v>0.3792664374595906</c:v>
                </c:pt>
                <c:pt idx="3">
                  <c:v>0.62835458718783332</c:v>
                </c:pt>
                <c:pt idx="4">
                  <c:v>0.89882681170149747</c:v>
                </c:pt>
                <c:pt idx="5">
                  <c:v>1.0842829598798933</c:v>
                </c:pt>
                <c:pt idx="6">
                  <c:v>1.2696849294227437</c:v>
                </c:pt>
                <c:pt idx="7">
                  <c:v>1.4081174807221812</c:v>
                </c:pt>
              </c:numCache>
            </c:numRef>
          </c:yVal>
          <c:smooth val="0"/>
          <c:extLst>
            <c:ext xmlns:c16="http://schemas.microsoft.com/office/drawing/2014/chart" uri="{C3380CC4-5D6E-409C-BE32-E72D297353CC}">
              <c16:uniqueId val="{00000000-09E7-445A-A9D0-8E85E9B553FB}"/>
            </c:ext>
          </c:extLst>
        </c:ser>
        <c:dLbls>
          <c:showLegendKey val="0"/>
          <c:showVal val="0"/>
          <c:showCatName val="0"/>
          <c:showSerName val="0"/>
          <c:showPercent val="0"/>
          <c:showBubbleSize val="0"/>
        </c:dLbls>
        <c:axId val="1566277360"/>
        <c:axId val="1566287440"/>
      </c:scatterChart>
      <c:valAx>
        <c:axId val="1566277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87440"/>
        <c:crosses val="autoZero"/>
        <c:crossBetween val="midCat"/>
      </c:valAx>
      <c:valAx>
        <c:axId val="156628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77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715223097112861E-2"/>
          <c:y val="0.18097222222222226"/>
          <c:w val="0.91606255468066489"/>
          <c:h val="0.77736111111111106"/>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WindTunnelData!$X$59:$X$66</c:f>
              <c:numCache>
                <c:formatCode>General</c:formatCode>
                <c:ptCount val="8"/>
                <c:pt idx="0">
                  <c:v>-2</c:v>
                </c:pt>
                <c:pt idx="1">
                  <c:v>0</c:v>
                </c:pt>
                <c:pt idx="2">
                  <c:v>2</c:v>
                </c:pt>
                <c:pt idx="3">
                  <c:v>4</c:v>
                </c:pt>
                <c:pt idx="4">
                  <c:v>6</c:v>
                </c:pt>
                <c:pt idx="5">
                  <c:v>8</c:v>
                </c:pt>
                <c:pt idx="6">
                  <c:v>10</c:v>
                </c:pt>
                <c:pt idx="7">
                  <c:v>12</c:v>
                </c:pt>
              </c:numCache>
            </c:numRef>
          </c:xVal>
          <c:yVal>
            <c:numRef>
              <c:f>WindTunnelData!$Z$59:$Z$66</c:f>
              <c:numCache>
                <c:formatCode>General</c:formatCode>
                <c:ptCount val="8"/>
                <c:pt idx="0">
                  <c:v>4.3628523871819973E-2</c:v>
                </c:pt>
                <c:pt idx="1">
                  <c:v>4.6002558974628335E-2</c:v>
                </c:pt>
                <c:pt idx="2">
                  <c:v>5.137702226023444E-2</c:v>
                </c:pt>
                <c:pt idx="3">
                  <c:v>6.2204281546837277E-2</c:v>
                </c:pt>
                <c:pt idx="4">
                  <c:v>8.5252460594423915E-2</c:v>
                </c:pt>
                <c:pt idx="5">
                  <c:v>0.10479996621202389</c:v>
                </c:pt>
                <c:pt idx="6">
                  <c:v>0.15656701861127387</c:v>
                </c:pt>
                <c:pt idx="7">
                  <c:v>0.18487965015120295</c:v>
                </c:pt>
              </c:numCache>
            </c:numRef>
          </c:yVal>
          <c:smooth val="0"/>
          <c:extLst>
            <c:ext xmlns:c16="http://schemas.microsoft.com/office/drawing/2014/chart" uri="{C3380CC4-5D6E-409C-BE32-E72D297353CC}">
              <c16:uniqueId val="{00000001-CC2D-4342-9EA7-A55C9BF32B6A}"/>
            </c:ext>
          </c:extLst>
        </c:ser>
        <c:dLbls>
          <c:showLegendKey val="0"/>
          <c:showVal val="0"/>
          <c:showCatName val="0"/>
          <c:showSerName val="0"/>
          <c:showPercent val="0"/>
          <c:showBubbleSize val="0"/>
        </c:dLbls>
        <c:axId val="1566277360"/>
        <c:axId val="1566287440"/>
      </c:scatterChart>
      <c:valAx>
        <c:axId val="1566277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87440"/>
        <c:crosses val="autoZero"/>
        <c:crossBetween val="midCat"/>
      </c:valAx>
      <c:valAx>
        <c:axId val="156628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77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715223097112861E-2"/>
          <c:y val="0.18097222222222226"/>
          <c:w val="0.91606255468066489"/>
          <c:h val="0.77736111111111106"/>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WindTunnelData!$X$59:$X$66</c:f>
              <c:numCache>
                <c:formatCode>General</c:formatCode>
                <c:ptCount val="8"/>
                <c:pt idx="0">
                  <c:v>-2</c:v>
                </c:pt>
                <c:pt idx="1">
                  <c:v>0</c:v>
                </c:pt>
                <c:pt idx="2">
                  <c:v>2</c:v>
                </c:pt>
                <c:pt idx="3">
                  <c:v>4</c:v>
                </c:pt>
                <c:pt idx="4">
                  <c:v>6</c:v>
                </c:pt>
                <c:pt idx="5">
                  <c:v>8</c:v>
                </c:pt>
                <c:pt idx="6">
                  <c:v>10</c:v>
                </c:pt>
                <c:pt idx="7">
                  <c:v>12</c:v>
                </c:pt>
              </c:numCache>
            </c:numRef>
          </c:xVal>
          <c:yVal>
            <c:numRef>
              <c:f>WindTunnelData!$AA$59:$AA$66</c:f>
              <c:numCache>
                <c:formatCode>General</c:formatCode>
                <c:ptCount val="8"/>
                <c:pt idx="0">
                  <c:v>0.27270903523436357</c:v>
                </c:pt>
                <c:pt idx="1">
                  <c:v>5.9472621960491294E-2</c:v>
                </c:pt>
                <c:pt idx="2">
                  <c:v>-0.15921656315231938</c:v>
                </c:pt>
                <c:pt idx="3">
                  <c:v>-0.39320850836309795</c:v>
                </c:pt>
                <c:pt idx="4">
                  <c:v>-0.62620071025859725</c:v>
                </c:pt>
                <c:pt idx="5">
                  <c:v>-0.86637613158996796</c:v>
                </c:pt>
                <c:pt idx="6">
                  <c:v>-1.0479908441296446</c:v>
                </c:pt>
                <c:pt idx="7">
                  <c:v>-1.2104732014316395</c:v>
                </c:pt>
              </c:numCache>
            </c:numRef>
          </c:yVal>
          <c:smooth val="0"/>
          <c:extLst>
            <c:ext xmlns:c16="http://schemas.microsoft.com/office/drawing/2014/chart" uri="{C3380CC4-5D6E-409C-BE32-E72D297353CC}">
              <c16:uniqueId val="{00000001-FADB-432A-B9A9-61ADAB76F628}"/>
            </c:ext>
          </c:extLst>
        </c:ser>
        <c:dLbls>
          <c:showLegendKey val="0"/>
          <c:showVal val="0"/>
          <c:showCatName val="0"/>
          <c:showSerName val="0"/>
          <c:showPercent val="0"/>
          <c:showBubbleSize val="0"/>
        </c:dLbls>
        <c:axId val="1566277360"/>
        <c:axId val="1566287440"/>
      </c:scatterChart>
      <c:valAx>
        <c:axId val="1566277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87440"/>
        <c:crosses val="autoZero"/>
        <c:crossBetween val="midCat"/>
      </c:valAx>
      <c:valAx>
        <c:axId val="156628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77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WindTunnelData!$AW$67:$AW$73</c:f>
              <c:numCache>
                <c:formatCode>General</c:formatCode>
                <c:ptCount val="7"/>
                <c:pt idx="0">
                  <c:v>0</c:v>
                </c:pt>
                <c:pt idx="1">
                  <c:v>2</c:v>
                </c:pt>
                <c:pt idx="2">
                  <c:v>4</c:v>
                </c:pt>
                <c:pt idx="3">
                  <c:v>6</c:v>
                </c:pt>
                <c:pt idx="4">
                  <c:v>8</c:v>
                </c:pt>
                <c:pt idx="5">
                  <c:v>10</c:v>
                </c:pt>
                <c:pt idx="6">
                  <c:v>12</c:v>
                </c:pt>
              </c:numCache>
            </c:numRef>
          </c:xVal>
          <c:yVal>
            <c:numRef>
              <c:f>WindTunnelData!$BA$67:$BA$73</c:f>
              <c:numCache>
                <c:formatCode>General</c:formatCode>
                <c:ptCount val="7"/>
                <c:pt idx="0">
                  <c:v>-5.5934330173509295E-2</c:v>
                </c:pt>
                <c:pt idx="1">
                  <c:v>-0.10742987653337849</c:v>
                </c:pt>
                <c:pt idx="2">
                  <c:v>-0.12950165270459379</c:v>
                </c:pt>
                <c:pt idx="3">
                  <c:v>-0.13307944479267347</c:v>
                </c:pt>
                <c:pt idx="4">
                  <c:v>-0.13929618352524265</c:v>
                </c:pt>
                <c:pt idx="5">
                  <c:v>-0.13409895058744267</c:v>
                </c:pt>
                <c:pt idx="6">
                  <c:v>-0.13395395599284154</c:v>
                </c:pt>
              </c:numCache>
            </c:numRef>
          </c:yVal>
          <c:smooth val="0"/>
          <c:extLst>
            <c:ext xmlns:c16="http://schemas.microsoft.com/office/drawing/2014/chart" uri="{C3380CC4-5D6E-409C-BE32-E72D297353CC}">
              <c16:uniqueId val="{00000000-607C-44FE-8955-B80AC30A8A26}"/>
            </c:ext>
          </c:extLst>
        </c:ser>
        <c:dLbls>
          <c:showLegendKey val="0"/>
          <c:showVal val="0"/>
          <c:showCatName val="0"/>
          <c:showSerName val="0"/>
          <c:showPercent val="0"/>
          <c:showBubbleSize val="0"/>
        </c:dLbls>
        <c:axId val="1083817168"/>
        <c:axId val="1083833488"/>
      </c:scatterChart>
      <c:valAx>
        <c:axId val="108381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33488"/>
        <c:crosses val="autoZero"/>
        <c:crossBetween val="midCat"/>
      </c:valAx>
      <c:valAx>
        <c:axId val="108383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7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 vs AoA Trim test (Tarek)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Cl vs AoA Trim test </c:v>
          </c:tx>
          <c:spPr>
            <a:ln w="19050" cap="rnd">
              <a:noFill/>
              <a:round/>
            </a:ln>
            <a:effectLst/>
          </c:spPr>
          <c:marker>
            <c:symbol val="circle"/>
            <c:size val="5"/>
            <c:spPr>
              <a:solidFill>
                <a:schemeClr val="accent1"/>
              </a:solidFill>
              <a:ln w="9525">
                <a:solidFill>
                  <a:schemeClr val="accent1"/>
                </a:solidFill>
              </a:ln>
              <a:effectLst/>
            </c:spPr>
          </c:marker>
          <c:xVal>
            <c:numRef>
              <c:f>FlightSimData!$I$70:$I$87</c:f>
              <c:numCache>
                <c:formatCode>General</c:formatCode>
                <c:ptCount val="18"/>
                <c:pt idx="0">
                  <c:v>-1.7</c:v>
                </c:pt>
                <c:pt idx="1">
                  <c:v>-1.5</c:v>
                </c:pt>
                <c:pt idx="2">
                  <c:v>-1.3</c:v>
                </c:pt>
                <c:pt idx="3">
                  <c:v>-0.9</c:v>
                </c:pt>
                <c:pt idx="4">
                  <c:v>-0.5</c:v>
                </c:pt>
                <c:pt idx="5">
                  <c:v>0.1</c:v>
                </c:pt>
                <c:pt idx="6">
                  <c:v>-1.7</c:v>
                </c:pt>
                <c:pt idx="7">
                  <c:v>-1.5</c:v>
                </c:pt>
                <c:pt idx="8">
                  <c:v>-1.1000000000000001</c:v>
                </c:pt>
                <c:pt idx="9">
                  <c:v>-0.8</c:v>
                </c:pt>
                <c:pt idx="10">
                  <c:v>-0.2</c:v>
                </c:pt>
                <c:pt idx="11">
                  <c:v>0.2</c:v>
                </c:pt>
                <c:pt idx="12">
                  <c:v>-1.4</c:v>
                </c:pt>
                <c:pt idx="13">
                  <c:v>-1.6</c:v>
                </c:pt>
                <c:pt idx="14">
                  <c:v>-1</c:v>
                </c:pt>
                <c:pt idx="15">
                  <c:v>-0.4</c:v>
                </c:pt>
                <c:pt idx="16">
                  <c:v>-0.5</c:v>
                </c:pt>
                <c:pt idx="17">
                  <c:v>0</c:v>
                </c:pt>
              </c:numCache>
            </c:numRef>
          </c:xVal>
          <c:yVal>
            <c:numRef>
              <c:f>FlightSimData!$S$70:$S$87</c:f>
              <c:numCache>
                <c:formatCode>General</c:formatCode>
                <c:ptCount val="18"/>
                <c:pt idx="0">
                  <c:v>6.2409625365696435E-2</c:v>
                </c:pt>
                <c:pt idx="1">
                  <c:v>8.221695458867774E-2</c:v>
                </c:pt>
                <c:pt idx="2">
                  <c:v>0.10743281591186328</c:v>
                </c:pt>
                <c:pt idx="3">
                  <c:v>0.14154953319607821</c:v>
                </c:pt>
                <c:pt idx="4">
                  <c:v>0.17742188279355167</c:v>
                </c:pt>
                <c:pt idx="5">
                  <c:v>0.23785150003915551</c:v>
                </c:pt>
                <c:pt idx="6">
                  <c:v>6.2009239032486112E-2</c:v>
                </c:pt>
                <c:pt idx="7">
                  <c:v>8.230056112471347E-2</c:v>
                </c:pt>
                <c:pt idx="8">
                  <c:v>0.1078925404671665</c:v>
                </c:pt>
                <c:pt idx="9">
                  <c:v>0.14122007857538413</c:v>
                </c:pt>
                <c:pt idx="10">
                  <c:v>0.18625587144305442</c:v>
                </c:pt>
                <c:pt idx="11">
                  <c:v>0.23759837183612512</c:v>
                </c:pt>
                <c:pt idx="12">
                  <c:v>6.228202265694651E-2</c:v>
                </c:pt>
                <c:pt idx="13">
                  <c:v>8.2846162493322315E-2</c:v>
                </c:pt>
                <c:pt idx="14">
                  <c:v>0.10945456796581098</c:v>
                </c:pt>
                <c:pt idx="15">
                  <c:v>0.14343172176821734</c:v>
                </c:pt>
                <c:pt idx="16">
                  <c:v>0.1827309730516373</c:v>
                </c:pt>
                <c:pt idx="17">
                  <c:v>0.22023141021972498</c:v>
                </c:pt>
              </c:numCache>
            </c:numRef>
          </c:yVal>
          <c:smooth val="0"/>
          <c:extLst>
            <c:ext xmlns:c16="http://schemas.microsoft.com/office/drawing/2014/chart" uri="{C3380CC4-5D6E-409C-BE32-E72D297353CC}">
              <c16:uniqueId val="{00000000-1E44-C246-8D5E-A6DF16F92794}"/>
            </c:ext>
          </c:extLst>
        </c:ser>
        <c:dLbls>
          <c:showLegendKey val="0"/>
          <c:showVal val="0"/>
          <c:showCatName val="0"/>
          <c:showSerName val="0"/>
          <c:showPercent val="0"/>
          <c:showBubbleSize val="0"/>
        </c:dLbls>
        <c:axId val="853652416"/>
        <c:axId val="829790784"/>
      </c:scatterChart>
      <c:valAx>
        <c:axId val="853652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90784"/>
        <c:crosses val="autoZero"/>
        <c:crossBetween val="midCat"/>
      </c:valAx>
      <c:valAx>
        <c:axId val="82979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65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3"/>
          <c:spPr>
            <a:ln w="381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WindTunnelData!$AW$78:$AW$93</c:f>
              <c:numCache>
                <c:formatCode>General</c:formatCode>
                <c:ptCount val="16"/>
                <c:pt idx="0">
                  <c:v>-2</c:v>
                </c:pt>
                <c:pt idx="1">
                  <c:v>0</c:v>
                </c:pt>
                <c:pt idx="2">
                  <c:v>2</c:v>
                </c:pt>
                <c:pt idx="3">
                  <c:v>4</c:v>
                </c:pt>
                <c:pt idx="4">
                  <c:v>6</c:v>
                </c:pt>
                <c:pt idx="5">
                  <c:v>8</c:v>
                </c:pt>
                <c:pt idx="6">
                  <c:v>10</c:v>
                </c:pt>
                <c:pt idx="7">
                  <c:v>11</c:v>
                </c:pt>
                <c:pt idx="8">
                  <c:v>12</c:v>
                </c:pt>
                <c:pt idx="9">
                  <c:v>13</c:v>
                </c:pt>
                <c:pt idx="10">
                  <c:v>14</c:v>
                </c:pt>
                <c:pt idx="11">
                  <c:v>15</c:v>
                </c:pt>
                <c:pt idx="12">
                  <c:v>16</c:v>
                </c:pt>
                <c:pt idx="13">
                  <c:v>17</c:v>
                </c:pt>
                <c:pt idx="14">
                  <c:v>18</c:v>
                </c:pt>
                <c:pt idx="15">
                  <c:v>19</c:v>
                </c:pt>
              </c:numCache>
            </c:numRef>
          </c:xVal>
          <c:yVal>
            <c:numRef>
              <c:f>WindTunnelData!$BA$78:$BA$93</c:f>
              <c:numCache>
                <c:formatCode>General</c:formatCode>
                <c:ptCount val="16"/>
                <c:pt idx="1">
                  <c:v>1.3910258186834681</c:v>
                </c:pt>
                <c:pt idx="2">
                  <c:v>0.31830843860562713</c:v>
                </c:pt>
                <c:pt idx="3">
                  <c:v>0.13359897224575079</c:v>
                </c:pt>
                <c:pt idx="4">
                  <c:v>7.0971727668832085E-2</c:v>
                </c:pt>
                <c:pt idx="5">
                  <c:v>2.2735468179997106E-2</c:v>
                </c:pt>
                <c:pt idx="6">
                  <c:v>-1.3007350196127603E-2</c:v>
                </c:pt>
                <c:pt idx="7">
                  <c:v>-3.0186629418539102E-2</c:v>
                </c:pt>
                <c:pt idx="8">
                  <c:v>-4.2371395141401043E-2</c:v>
                </c:pt>
                <c:pt idx="9">
                  <c:v>-5.4101238803249276E-2</c:v>
                </c:pt>
                <c:pt idx="10">
                  <c:v>-9.2806659170479616E-2</c:v>
                </c:pt>
                <c:pt idx="11">
                  <c:v>-9.7262795651247375E-2</c:v>
                </c:pt>
                <c:pt idx="12">
                  <c:v>-0.11828304586047732</c:v>
                </c:pt>
                <c:pt idx="13">
                  <c:v>-0.23113758407192347</c:v>
                </c:pt>
                <c:pt idx="14">
                  <c:v>-0.35413470246773038</c:v>
                </c:pt>
                <c:pt idx="15">
                  <c:v>-0.33654142919356633</c:v>
                </c:pt>
              </c:numCache>
            </c:numRef>
          </c:yVal>
          <c:smooth val="0"/>
          <c:extLst>
            <c:ext xmlns:c16="http://schemas.microsoft.com/office/drawing/2014/chart" uri="{C3380CC4-5D6E-409C-BE32-E72D297353CC}">
              <c16:uniqueId val="{00000003-8994-47AD-9E22-2B4561EB6E85}"/>
            </c:ext>
          </c:extLst>
        </c:ser>
        <c:dLbls>
          <c:showLegendKey val="0"/>
          <c:showVal val="0"/>
          <c:showCatName val="0"/>
          <c:showSerName val="0"/>
          <c:showPercent val="0"/>
          <c:showBubbleSize val="0"/>
        </c:dLbls>
        <c:axId val="1530796112"/>
        <c:axId val="1530781232"/>
        <c:extLst>
          <c:ext xmlns:c15="http://schemas.microsoft.com/office/drawing/2012/chart" uri="{02D57815-91ED-43cb-92C2-25804820EDAC}">
            <c15:filteredScatterSeries>
              <c15:ser>
                <c:idx val="0"/>
                <c:order val="0"/>
                <c:spPr>
                  <a:ln w="381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WindTunnelData!$AW$78:$AW$93</c15:sqref>
                        </c15:formulaRef>
                      </c:ext>
                    </c:extLst>
                    <c:numCache>
                      <c:formatCode>General</c:formatCode>
                      <c:ptCount val="16"/>
                      <c:pt idx="0">
                        <c:v>-2</c:v>
                      </c:pt>
                      <c:pt idx="1">
                        <c:v>0</c:v>
                      </c:pt>
                      <c:pt idx="2">
                        <c:v>2</c:v>
                      </c:pt>
                      <c:pt idx="3">
                        <c:v>4</c:v>
                      </c:pt>
                      <c:pt idx="4">
                        <c:v>6</c:v>
                      </c:pt>
                      <c:pt idx="5">
                        <c:v>8</c:v>
                      </c:pt>
                      <c:pt idx="6">
                        <c:v>10</c:v>
                      </c:pt>
                      <c:pt idx="7">
                        <c:v>11</c:v>
                      </c:pt>
                      <c:pt idx="8">
                        <c:v>12</c:v>
                      </c:pt>
                      <c:pt idx="9">
                        <c:v>13</c:v>
                      </c:pt>
                      <c:pt idx="10">
                        <c:v>14</c:v>
                      </c:pt>
                      <c:pt idx="11">
                        <c:v>15</c:v>
                      </c:pt>
                      <c:pt idx="12">
                        <c:v>16</c:v>
                      </c:pt>
                      <c:pt idx="13">
                        <c:v>17</c:v>
                      </c:pt>
                      <c:pt idx="14">
                        <c:v>18</c:v>
                      </c:pt>
                      <c:pt idx="15">
                        <c:v>19</c:v>
                      </c:pt>
                    </c:numCache>
                  </c:numRef>
                </c:xVal>
                <c:yVal>
                  <c:numRef>
                    <c:extLst>
                      <c:ext uri="{02D57815-91ED-43cb-92C2-25804820EDAC}">
                        <c15:formulaRef>
                          <c15:sqref>WindTunnelData!$AX$78:$AX$93</c15:sqref>
                        </c15:formulaRef>
                      </c:ext>
                    </c:extLst>
                    <c:numCache>
                      <c:formatCode>General</c:formatCode>
                      <c:ptCount val="16"/>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0.92402972560604368</c:v>
                      </c:pt>
                      <c:pt idx="11">
                        <c:v>0.94405266532769461</c:v>
                      </c:pt>
                      <c:pt idx="12">
                        <c:v>0.91563291452330309</c:v>
                      </c:pt>
                      <c:pt idx="13">
                        <c:v>0.79159308109538473</c:v>
                      </c:pt>
                      <c:pt idx="14">
                        <c:v>0.65724995785615525</c:v>
                      </c:pt>
                      <c:pt idx="15">
                        <c:v>0.68831307821044208</c:v>
                      </c:pt>
                    </c:numCache>
                  </c:numRef>
                </c:yVal>
                <c:smooth val="0"/>
                <c:extLst>
                  <c:ext xmlns:c16="http://schemas.microsoft.com/office/drawing/2014/chart" uri="{C3380CC4-5D6E-409C-BE32-E72D297353CC}">
                    <c16:uniqueId val="{00000000-8994-47AD-9E22-2B4561EB6E85}"/>
                  </c:ext>
                </c:extLst>
              </c15:ser>
            </c15:filteredScatterSeries>
            <c15:filteredScatterSeries>
              <c15:ser>
                <c:idx val="1"/>
                <c:order val="1"/>
                <c:spPr>
                  <a:ln w="38100" cap="rnd">
                    <a:no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WindTunnelData!$AW$78:$AW$93</c15:sqref>
                        </c15:formulaRef>
                      </c:ext>
                    </c:extLst>
                    <c:numCache>
                      <c:formatCode>General</c:formatCode>
                      <c:ptCount val="16"/>
                      <c:pt idx="0">
                        <c:v>-2</c:v>
                      </c:pt>
                      <c:pt idx="1">
                        <c:v>0</c:v>
                      </c:pt>
                      <c:pt idx="2">
                        <c:v>2</c:v>
                      </c:pt>
                      <c:pt idx="3">
                        <c:v>4</c:v>
                      </c:pt>
                      <c:pt idx="4">
                        <c:v>6</c:v>
                      </c:pt>
                      <c:pt idx="5">
                        <c:v>8</c:v>
                      </c:pt>
                      <c:pt idx="6">
                        <c:v>10</c:v>
                      </c:pt>
                      <c:pt idx="7">
                        <c:v>11</c:v>
                      </c:pt>
                      <c:pt idx="8">
                        <c:v>12</c:v>
                      </c:pt>
                      <c:pt idx="9">
                        <c:v>13</c:v>
                      </c:pt>
                      <c:pt idx="10">
                        <c:v>14</c:v>
                      </c:pt>
                      <c:pt idx="11">
                        <c:v>15</c:v>
                      </c:pt>
                      <c:pt idx="12">
                        <c:v>16</c:v>
                      </c:pt>
                      <c:pt idx="13">
                        <c:v>17</c:v>
                      </c:pt>
                      <c:pt idx="14">
                        <c:v>18</c:v>
                      </c:pt>
                      <c:pt idx="15">
                        <c:v>19</c:v>
                      </c:pt>
                    </c:numCache>
                  </c:numRef>
                </c:xVal>
                <c:yVal>
                  <c:numRef>
                    <c:extLst xmlns:c15="http://schemas.microsoft.com/office/drawing/2012/chart">
                      <c:ext xmlns:c15="http://schemas.microsoft.com/office/drawing/2012/chart" uri="{02D57815-91ED-43cb-92C2-25804820EDAC}">
                        <c15:formulaRef>
                          <c15:sqref>WindTunnelData!$AY$78:$AY$93</c15:sqref>
                        </c15:formulaRef>
                      </c:ext>
                    </c:extLst>
                    <c:numCache>
                      <c:formatCode>General</c:formatCode>
                      <c:ptCount val="16"/>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pt idx="10">
                        <c:v>0.15647028767881391</c:v>
                      </c:pt>
                      <c:pt idx="11">
                        <c:v>0.17551852717518499</c:v>
                      </c:pt>
                      <c:pt idx="12">
                        <c:v>0.21166032987015967</c:v>
                      </c:pt>
                      <c:pt idx="13">
                        <c:v>0.23043726091768615</c:v>
                      </c:pt>
                      <c:pt idx="14">
                        <c:v>0.25517859511307683</c:v>
                      </c:pt>
                      <c:pt idx="15">
                        <c:v>0.2687050294662755</c:v>
                      </c:pt>
                    </c:numCache>
                  </c:numRef>
                </c:yVal>
                <c:smooth val="0"/>
                <c:extLst xmlns:c15="http://schemas.microsoft.com/office/drawing/2012/chart">
                  <c:ext xmlns:c16="http://schemas.microsoft.com/office/drawing/2014/chart" uri="{C3380CC4-5D6E-409C-BE32-E72D297353CC}">
                    <c16:uniqueId val="{00000001-8994-47AD-9E22-2B4561EB6E85}"/>
                  </c:ext>
                </c:extLst>
              </c15:ser>
            </c15:filteredScatterSeries>
            <c15:filteredScatterSeries>
              <c15:ser>
                <c:idx val="2"/>
                <c:order val="2"/>
                <c:spPr>
                  <a:ln w="38100" cap="rnd">
                    <a:no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WindTunnelData!$AW$78:$AW$93</c15:sqref>
                        </c15:formulaRef>
                      </c:ext>
                    </c:extLst>
                    <c:numCache>
                      <c:formatCode>General</c:formatCode>
                      <c:ptCount val="16"/>
                      <c:pt idx="0">
                        <c:v>-2</c:v>
                      </c:pt>
                      <c:pt idx="1">
                        <c:v>0</c:v>
                      </c:pt>
                      <c:pt idx="2">
                        <c:v>2</c:v>
                      </c:pt>
                      <c:pt idx="3">
                        <c:v>4</c:v>
                      </c:pt>
                      <c:pt idx="4">
                        <c:v>6</c:v>
                      </c:pt>
                      <c:pt idx="5">
                        <c:v>8</c:v>
                      </c:pt>
                      <c:pt idx="6">
                        <c:v>10</c:v>
                      </c:pt>
                      <c:pt idx="7">
                        <c:v>11</c:v>
                      </c:pt>
                      <c:pt idx="8">
                        <c:v>12</c:v>
                      </c:pt>
                      <c:pt idx="9">
                        <c:v>13</c:v>
                      </c:pt>
                      <c:pt idx="10">
                        <c:v>14</c:v>
                      </c:pt>
                      <c:pt idx="11">
                        <c:v>15</c:v>
                      </c:pt>
                      <c:pt idx="12">
                        <c:v>16</c:v>
                      </c:pt>
                      <c:pt idx="13">
                        <c:v>17</c:v>
                      </c:pt>
                      <c:pt idx="14">
                        <c:v>18</c:v>
                      </c:pt>
                      <c:pt idx="15">
                        <c:v>19</c:v>
                      </c:pt>
                    </c:numCache>
                  </c:numRef>
                </c:xVal>
                <c:yVal>
                  <c:numRef>
                    <c:extLst xmlns:c15="http://schemas.microsoft.com/office/drawing/2012/chart">
                      <c:ext xmlns:c15="http://schemas.microsoft.com/office/drawing/2012/chart" uri="{02D57815-91ED-43cb-92C2-25804820EDAC}">
                        <c15:formulaRef>
                          <c15:sqref>WindTunnelData!$AZ$78:$AZ$93</c15:sqref>
                        </c15:formulaRef>
                      </c:ext>
                    </c:extLst>
                    <c:numCache>
                      <c:formatCode>General</c:formatCode>
                      <c:ptCount val="16"/>
                      <c:pt idx="0">
                        <c:v>0.1474312692844876</c:v>
                      </c:pt>
                      <c:pt idx="1">
                        <c:v>0.10792664431496524</c:v>
                      </c:pt>
                      <c:pt idx="2">
                        <c:v>7.8435621435410566E-2</c:v>
                      </c:pt>
                      <c:pt idx="3">
                        <c:v>5.4791581041862332E-2</c:v>
                      </c:pt>
                      <c:pt idx="4">
                        <c:v>4.0058730541646458E-2</c:v>
                      </c:pt>
                      <c:pt idx="5">
                        <c:v>1.5913237233048685E-2</c:v>
                      </c:pt>
                      <c:pt idx="6">
                        <c:v>-1.0603246888405523E-2</c:v>
                      </c:pt>
                      <c:pt idx="7">
                        <c:v>-2.6318657323667904E-2</c:v>
                      </c:pt>
                      <c:pt idx="8">
                        <c:v>-3.8891124835149136E-2</c:v>
                      </c:pt>
                      <c:pt idx="9">
                        <c:v>-5.1853383590107119E-2</c:v>
                      </c:pt>
                      <c:pt idx="10">
                        <c:v>-8.5756111807711893E-2</c:v>
                      </c:pt>
                      <c:pt idx="11">
                        <c:v>-9.1821201471782993E-2</c:v>
                      </c:pt>
                      <c:pt idx="12">
                        <c:v>-0.10830385001992236</c:v>
                      </c:pt>
                      <c:pt idx="13">
                        <c:v>-0.18296691233243742</c:v>
                      </c:pt>
                      <c:pt idx="14">
                        <c:v>-0.23275501827231787</c:v>
                      </c:pt>
                      <c:pt idx="15">
                        <c:v>-0.23164586707356519</c:v>
                      </c:pt>
                    </c:numCache>
                  </c:numRef>
                </c:yVal>
                <c:smooth val="0"/>
                <c:extLst xmlns:c15="http://schemas.microsoft.com/office/drawing/2012/chart">
                  <c:ext xmlns:c16="http://schemas.microsoft.com/office/drawing/2014/chart" uri="{C3380CC4-5D6E-409C-BE32-E72D297353CC}">
                    <c16:uniqueId val="{00000002-8994-47AD-9E22-2B4561EB6E85}"/>
                  </c:ext>
                </c:extLst>
              </c15:ser>
            </c15:filteredScatterSeries>
          </c:ext>
        </c:extLst>
      </c:scatterChart>
      <c:valAx>
        <c:axId val="153079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81232"/>
        <c:crosses val="autoZero"/>
        <c:crossBetween val="midCat"/>
      </c:valAx>
      <c:valAx>
        <c:axId val="153078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961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715223097112861E-2"/>
          <c:y val="0.18097222222222226"/>
          <c:w val="0.91606255468066489"/>
          <c:h val="0.77736111111111106"/>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4.4960687219578622E-3"/>
                  <c:y val="1.3086901032771569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WindTunnelData!$X$59:$X$66</c:f>
              <c:numCache>
                <c:formatCode>General</c:formatCode>
                <c:ptCount val="8"/>
                <c:pt idx="0">
                  <c:v>-2</c:v>
                </c:pt>
                <c:pt idx="1">
                  <c:v>0</c:v>
                </c:pt>
                <c:pt idx="2">
                  <c:v>2</c:v>
                </c:pt>
                <c:pt idx="3">
                  <c:v>4</c:v>
                </c:pt>
                <c:pt idx="4">
                  <c:v>6</c:v>
                </c:pt>
                <c:pt idx="5">
                  <c:v>8</c:v>
                </c:pt>
                <c:pt idx="6">
                  <c:v>10</c:v>
                </c:pt>
                <c:pt idx="7">
                  <c:v>12</c:v>
                </c:pt>
              </c:numCache>
            </c:numRef>
          </c:xVal>
          <c:yVal>
            <c:numRef>
              <c:f>WindTunnelData!$Z$59:$Z$66</c:f>
              <c:numCache>
                <c:formatCode>General</c:formatCode>
                <c:ptCount val="8"/>
                <c:pt idx="0">
                  <c:v>4.3628523871819973E-2</c:v>
                </c:pt>
                <c:pt idx="1">
                  <c:v>4.6002558974628335E-2</c:v>
                </c:pt>
                <c:pt idx="2">
                  <c:v>5.137702226023444E-2</c:v>
                </c:pt>
                <c:pt idx="3">
                  <c:v>6.2204281546837277E-2</c:v>
                </c:pt>
                <c:pt idx="4">
                  <c:v>8.5252460594423915E-2</c:v>
                </c:pt>
                <c:pt idx="5">
                  <c:v>0.10479996621202389</c:v>
                </c:pt>
                <c:pt idx="6">
                  <c:v>0.15656701861127387</c:v>
                </c:pt>
                <c:pt idx="7">
                  <c:v>0.18487965015120295</c:v>
                </c:pt>
              </c:numCache>
            </c:numRef>
          </c:yVal>
          <c:smooth val="0"/>
          <c:extLst>
            <c:ext xmlns:c16="http://schemas.microsoft.com/office/drawing/2014/chart" uri="{C3380CC4-5D6E-409C-BE32-E72D297353CC}">
              <c16:uniqueId val="{00000001-6A89-4E8B-ACAE-C1FC93756E10}"/>
            </c:ext>
          </c:extLst>
        </c:ser>
        <c:dLbls>
          <c:showLegendKey val="0"/>
          <c:showVal val="0"/>
          <c:showCatName val="0"/>
          <c:showSerName val="0"/>
          <c:showPercent val="0"/>
          <c:showBubbleSize val="0"/>
        </c:dLbls>
        <c:axId val="1566277360"/>
        <c:axId val="1566287440"/>
      </c:scatterChart>
      <c:valAx>
        <c:axId val="1566277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87440"/>
        <c:crosses val="autoZero"/>
        <c:crossBetween val="midCat"/>
      </c:valAx>
      <c:valAx>
        <c:axId val="156628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77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C</a:t>
            </a:r>
            <a:r>
              <a:rPr lang="en-US" sz="2000" baseline="-25000">
                <a:solidFill>
                  <a:schemeClr val="tx1"/>
                </a:solidFill>
              </a:rPr>
              <a:t>D</a:t>
            </a:r>
            <a:r>
              <a:rPr lang="en-US" sz="2000" baseline="0">
                <a:solidFill>
                  <a:schemeClr val="tx1"/>
                </a:solidFill>
              </a:rPr>
              <a:t> vs C</a:t>
            </a:r>
            <a:r>
              <a:rPr lang="en-US" sz="2000" baseline="-25000">
                <a:solidFill>
                  <a:schemeClr val="tx1"/>
                </a:solidFill>
              </a:rPr>
              <a:t>L</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2.867140232767084E-2"/>
          <c:y val="3.6975015508149689E-2"/>
          <c:w val="0.9546545897768961"/>
          <c:h val="0.88774055972804544"/>
        </c:manualLayout>
      </c:layout>
      <c:scatterChart>
        <c:scatterStyle val="smoothMarker"/>
        <c:varyColors val="0"/>
        <c:ser>
          <c:idx val="0"/>
          <c:order val="0"/>
          <c:tx>
            <c:v>Flight test</c:v>
          </c:tx>
          <c:spPr>
            <a:ln w="19050" cap="rnd">
              <a:noFill/>
              <a:round/>
            </a:ln>
            <a:effectLst/>
          </c:spPr>
          <c:marker>
            <c:symbol val="x"/>
            <c:size val="6"/>
            <c:spPr>
              <a:noFill/>
              <a:ln w="9525">
                <a:solidFill>
                  <a:schemeClr val="tx1"/>
                </a:solidFill>
              </a:ln>
              <a:effectLst/>
            </c:spPr>
          </c:marker>
          <c:trendline>
            <c:name>Flight test</c:name>
            <c:spPr>
              <a:ln w="9525" cap="rnd">
                <a:solidFill>
                  <a:schemeClr val="tx1"/>
                </a:solidFill>
                <a:prstDash val="solid"/>
              </a:ln>
              <a:effectLst/>
            </c:spPr>
            <c:trendlineType val="poly"/>
            <c:order val="2"/>
            <c:dispRSqr val="0"/>
            <c:dispEq val="0"/>
          </c:trendline>
          <c:errBars>
            <c:errDir val="x"/>
            <c:errBarType val="both"/>
            <c:errValType val="cust"/>
            <c:noEndCap val="0"/>
            <c:pl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plus>
            <c:min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minus>
            <c:spPr>
              <a:noFill/>
              <a:ln w="6350" cap="flat" cmpd="sng" algn="ctr">
                <a:solidFill>
                  <a:schemeClr val="tx1"/>
                </a:solidFill>
                <a:round/>
              </a:ln>
              <a:effectLst/>
            </c:spPr>
          </c:errBars>
          <c:errBars>
            <c:errDir val="y"/>
            <c:errBarType val="both"/>
            <c:errValType val="cust"/>
            <c:noEndCap val="0"/>
            <c:pl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plus>
            <c:min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minus>
            <c:spPr>
              <a:noFill/>
              <a:ln w="6350" cap="flat" cmpd="sng" algn="ctr">
                <a:solidFill>
                  <a:schemeClr val="tx1"/>
                </a:solidFill>
                <a:round/>
              </a:ln>
              <a:effectLst/>
            </c:spPr>
          </c:errBars>
          <c:xVal>
            <c:numRef>
              <c:f>FlightSimData!$AC$52:$AC$64</c:f>
              <c:numCache>
                <c:formatCode>General</c:formatCode>
                <c:ptCount val="13"/>
                <c:pt idx="0">
                  <c:v>0.69409115360927132</c:v>
                </c:pt>
                <c:pt idx="1">
                  <c:v>0.48381889011000306</c:v>
                </c:pt>
                <c:pt idx="2">
                  <c:v>0.37708328669135482</c:v>
                </c:pt>
                <c:pt idx="3">
                  <c:v>0.28905052552919225</c:v>
                </c:pt>
                <c:pt idx="4">
                  <c:v>0.25318284638885724</c:v>
                </c:pt>
                <c:pt idx="5">
                  <c:v>0.22864759801155807</c:v>
                </c:pt>
                <c:pt idx="6">
                  <c:v>0.19319913051511739</c:v>
                </c:pt>
                <c:pt idx="7">
                  <c:v>0.19320402614127932</c:v>
                </c:pt>
                <c:pt idx="8">
                  <c:v>0.18559315542514473</c:v>
                </c:pt>
                <c:pt idx="9">
                  <c:v>0.15875777994754964</c:v>
                </c:pt>
                <c:pt idx="10">
                  <c:v>0.14243763557651026</c:v>
                </c:pt>
                <c:pt idx="11">
                  <c:v>0.13211146280964212</c:v>
                </c:pt>
                <c:pt idx="12">
                  <c:v>0.11727130760031977</c:v>
                </c:pt>
              </c:numCache>
            </c:numRef>
          </c:xVal>
          <c:yVal>
            <c:numRef>
              <c:f>FlightSimData!$AE$52:$AE$64</c:f>
              <c:numCache>
                <c:formatCode>General</c:formatCode>
                <c:ptCount val="13"/>
                <c:pt idx="0">
                  <c:v>3.6284670493903041E-2</c:v>
                </c:pt>
                <c:pt idx="1">
                  <c:v>2.3224846879241843E-2</c:v>
                </c:pt>
                <c:pt idx="2">
                  <c:v>1.9304170652078595E-2</c:v>
                </c:pt>
                <c:pt idx="3">
                  <c:v>1.4770528939999533E-2</c:v>
                </c:pt>
                <c:pt idx="4">
                  <c:v>1.5566759215883231E-2</c:v>
                </c:pt>
                <c:pt idx="5">
                  <c:v>1.3058823472657599E-2</c:v>
                </c:pt>
                <c:pt idx="6">
                  <c:v>1.3993885106919597E-2</c:v>
                </c:pt>
                <c:pt idx="7">
                  <c:v>1.960200339107087E-2</c:v>
                </c:pt>
                <c:pt idx="8">
                  <c:v>1.4098960193129067E-2</c:v>
                </c:pt>
                <c:pt idx="9">
                  <c:v>1.4566911533863951E-2</c:v>
                </c:pt>
                <c:pt idx="10">
                  <c:v>1.364348326922564E-2</c:v>
                </c:pt>
                <c:pt idx="11">
                  <c:v>1.6785980262405555E-2</c:v>
                </c:pt>
                <c:pt idx="12">
                  <c:v>2.1164682034744926E-2</c:v>
                </c:pt>
              </c:numCache>
            </c:numRef>
          </c:yVal>
          <c:smooth val="1"/>
          <c:extLst>
            <c:ext xmlns:c16="http://schemas.microsoft.com/office/drawing/2014/chart" uri="{C3380CC4-5D6E-409C-BE32-E72D297353CC}">
              <c16:uniqueId val="{00000001-E084-4421-B0F6-2B5FD99B4664}"/>
            </c:ext>
          </c:extLst>
        </c:ser>
        <c:ser>
          <c:idx val="1"/>
          <c:order val="1"/>
          <c:tx>
            <c:v>Wind tunnel, No tail</c:v>
          </c:tx>
          <c:spPr>
            <a:ln w="25400" cap="rnd">
              <a:noFill/>
              <a:round/>
            </a:ln>
            <a:effectLst/>
          </c:spPr>
          <c:marker>
            <c:symbol val="circle"/>
            <c:size val="5"/>
            <c:spPr>
              <a:noFill/>
              <a:ln w="9525">
                <a:solidFill>
                  <a:srgbClr val="FF0000"/>
                </a:solidFill>
              </a:ln>
              <a:effectLst/>
            </c:spPr>
          </c:marker>
          <c:trendline>
            <c:name>Wind tunnel, No tail</c:name>
            <c:spPr>
              <a:ln w="19050" cap="rnd">
                <a:solidFill>
                  <a:srgbClr val="FF0000"/>
                </a:solidFill>
                <a:prstDash val="sysDot"/>
              </a:ln>
              <a:effectLst/>
            </c:spPr>
            <c:trendlineType val="poly"/>
            <c:order val="2"/>
            <c:dispRSqr val="0"/>
            <c:dispEq val="0"/>
          </c:trendline>
          <c:errBars>
            <c:errDir val="x"/>
            <c:errBarType val="both"/>
            <c:errValType val="cust"/>
            <c:noEndCap val="0"/>
            <c:pl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errBars>
            <c:errDir val="y"/>
            <c:errBarType val="both"/>
            <c:errValType val="cust"/>
            <c:noEndCap val="0"/>
            <c:pl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plus>
            <c:min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minus>
            <c:spPr>
              <a:noFill/>
              <a:ln w="6350" cap="flat" cmpd="sng" algn="ctr">
                <a:solidFill>
                  <a:srgbClr val="FF0000"/>
                </a:solidFill>
                <a:round/>
              </a:ln>
              <a:effectLst/>
            </c:spPr>
          </c:errBars>
          <c:x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xVal>
          <c:yVal>
            <c:numRef>
              <c:f>WindTunnelData!$CF$16:$CF$23</c:f>
              <c:numCache>
                <c:formatCode>General</c:formatCode>
                <c:ptCount val="8"/>
                <c:pt idx="0">
                  <c:v>2.2788575242373904E-2</c:v>
                </c:pt>
                <c:pt idx="1">
                  <c:v>2.1499657916776167E-2</c:v>
                </c:pt>
                <c:pt idx="2">
                  <c:v>2.4315835428577383E-2</c:v>
                </c:pt>
                <c:pt idx="3">
                  <c:v>3.2029448189546388E-2</c:v>
                </c:pt>
                <c:pt idx="4">
                  <c:v>4.133202828660941E-2</c:v>
                </c:pt>
                <c:pt idx="5">
                  <c:v>5.5182342468022325E-2</c:v>
                </c:pt>
                <c:pt idx="6">
                  <c:v>6.8997923703347813E-2</c:v>
                </c:pt>
                <c:pt idx="7">
                  <c:v>9.2338968303444555E-2</c:v>
                </c:pt>
              </c:numCache>
            </c:numRef>
          </c:yVal>
          <c:smooth val="1"/>
          <c:extLst>
            <c:ext xmlns:c16="http://schemas.microsoft.com/office/drawing/2014/chart" uri="{C3380CC4-5D6E-409C-BE32-E72D297353CC}">
              <c16:uniqueId val="{00000002-E084-4421-B0F6-2B5FD99B4664}"/>
            </c:ext>
          </c:extLst>
        </c:ser>
        <c:ser>
          <c:idx val="2"/>
          <c:order val="2"/>
          <c:tx>
            <c:v>Wind tunnel, ΔiH = +1 deg</c:v>
          </c:tx>
          <c:spPr>
            <a:ln w="25400" cap="rnd">
              <a:noFill/>
              <a:round/>
            </a:ln>
            <a:effectLst/>
          </c:spPr>
          <c:marker>
            <c:symbol val="square"/>
            <c:size val="5"/>
            <c:spPr>
              <a:noFill/>
              <a:ln w="9525">
                <a:solidFill>
                  <a:srgbClr val="0000FF"/>
                </a:solidFill>
              </a:ln>
              <a:effectLst/>
            </c:spPr>
          </c:marker>
          <c:trendline>
            <c:spPr>
              <a:ln w="19050" cap="rnd">
                <a:solidFill>
                  <a:schemeClr val="accent3"/>
                </a:solidFill>
                <a:prstDash val="sysDot"/>
              </a:ln>
              <a:effectLst/>
            </c:spPr>
            <c:trendlineType val="power"/>
            <c:dispRSqr val="0"/>
            <c:dispEq val="0"/>
          </c:trendline>
          <c:trendline>
            <c:name>Wind tunnel, ΔiH = +1 deg</c:name>
            <c:spPr>
              <a:ln w="15875" cap="rnd">
                <a:solidFill>
                  <a:srgbClr val="0000FF"/>
                </a:solidFill>
                <a:prstDash val="dash"/>
              </a:ln>
              <a:effectLst/>
            </c:spPr>
            <c:trendlineType val="poly"/>
            <c:order val="2"/>
            <c:dispRSqr val="0"/>
            <c:dispEq val="0"/>
          </c:trendline>
          <c:errBars>
            <c:errDir val="x"/>
            <c:errBarType val="both"/>
            <c:errValType val="cust"/>
            <c:noEndCap val="0"/>
            <c:pl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rgbClr val="0000FF"/>
                </a:solidFill>
                <a:round/>
              </a:ln>
              <a:effectLst/>
            </c:spPr>
          </c:errBars>
          <c:errBars>
            <c:errDir val="y"/>
            <c:errBarType val="both"/>
            <c:errValType val="cust"/>
            <c:noEndCap val="0"/>
            <c:pl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plus>
            <c:min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minus>
            <c:spPr>
              <a:noFill/>
              <a:ln w="6350" cap="flat" cmpd="sng" algn="ctr">
                <a:solidFill>
                  <a:srgbClr val="0000FF"/>
                </a:solidFill>
                <a:round/>
              </a:ln>
              <a:effectLst/>
            </c:spPr>
          </c:errBars>
          <c:x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xVal>
          <c:yVal>
            <c:numRef>
              <c:f>WindTunnelData!$CF$28:$CF$35</c:f>
              <c:numCache>
                <c:formatCode>General</c:formatCode>
                <c:ptCount val="8"/>
                <c:pt idx="0">
                  <c:v>2.6956112712433488E-2</c:v>
                </c:pt>
                <c:pt idx="1">
                  <c:v>2.639970638136184E-2</c:v>
                </c:pt>
                <c:pt idx="2">
                  <c:v>2.9727485529569567E-2</c:v>
                </c:pt>
                <c:pt idx="3">
                  <c:v>3.8063760025211224E-2</c:v>
                </c:pt>
                <c:pt idx="4">
                  <c:v>5.0115161613790635E-2</c:v>
                </c:pt>
                <c:pt idx="5">
                  <c:v>6.5104790445474028E-2</c:v>
                </c:pt>
                <c:pt idx="6">
                  <c:v>8.6509842313949786E-2</c:v>
                </c:pt>
                <c:pt idx="7">
                  <c:v>0.11084509641167141</c:v>
                </c:pt>
              </c:numCache>
            </c:numRef>
          </c:yVal>
          <c:smooth val="1"/>
          <c:extLst>
            <c:ext xmlns:c16="http://schemas.microsoft.com/office/drawing/2014/chart" uri="{C3380CC4-5D6E-409C-BE32-E72D297353CC}">
              <c16:uniqueId val="{00000003-E084-4421-B0F6-2B5FD99B4664}"/>
            </c:ext>
          </c:extLst>
        </c:ser>
        <c:ser>
          <c:idx val="3"/>
          <c:order val="3"/>
          <c:tx>
            <c:v>Wind tunnel, ΔiH = -2 deg</c:v>
          </c:tx>
          <c:spPr>
            <a:ln w="25400" cap="rnd">
              <a:noFill/>
              <a:round/>
            </a:ln>
            <a:effectLst/>
          </c:spPr>
          <c:marker>
            <c:symbol val="triangle"/>
            <c:size val="6"/>
            <c:spPr>
              <a:noFill/>
              <a:ln w="9525">
                <a:solidFill>
                  <a:srgbClr val="00C800"/>
                </a:solidFill>
              </a:ln>
              <a:effectLst/>
            </c:spPr>
          </c:marker>
          <c:trendline>
            <c:spPr>
              <a:ln w="19050" cap="rnd">
                <a:solidFill>
                  <a:schemeClr val="accent4"/>
                </a:solidFill>
                <a:prstDash val="sysDot"/>
              </a:ln>
              <a:effectLst/>
            </c:spPr>
            <c:trendlineType val="log"/>
            <c:dispRSqr val="0"/>
            <c:dispEq val="0"/>
          </c:trendline>
          <c:errBars>
            <c:errDir val="x"/>
            <c:errBarType val="both"/>
            <c:errValType val="cust"/>
            <c:noEndCap val="0"/>
            <c:pl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plus>
            <c:min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minus>
            <c:spPr>
              <a:noFill/>
              <a:ln w="6350" cap="flat" cmpd="sng" algn="ctr">
                <a:solidFill>
                  <a:srgbClr val="00C800"/>
                </a:solidFill>
                <a:round/>
              </a:ln>
              <a:effectLst/>
            </c:spPr>
          </c:errBars>
          <c:errBars>
            <c:errDir val="y"/>
            <c:errBarType val="both"/>
            <c:errValType val="cust"/>
            <c:noEndCap val="0"/>
            <c:pl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plus>
            <c:min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minus>
            <c:spPr>
              <a:noFill/>
              <a:ln w="6350" cap="flat" cmpd="sng" algn="ctr">
                <a:solidFill>
                  <a:srgbClr val="00C800"/>
                </a:solidFill>
                <a:round/>
              </a:ln>
              <a:effectLst/>
            </c:spPr>
          </c:errBars>
          <c:xVal>
            <c:numRef>
              <c:f>WindTunnelData!$CE$40:$CE$55</c:f>
              <c:numCache>
                <c:formatCode>General</c:formatCode>
                <c:ptCount val="16"/>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0.92402972560604368</c:v>
                </c:pt>
                <c:pt idx="11">
                  <c:v>0.94405266532769461</c:v>
                </c:pt>
                <c:pt idx="12">
                  <c:v>0.91563291452330309</c:v>
                </c:pt>
                <c:pt idx="13">
                  <c:v>0.79159308109538473</c:v>
                </c:pt>
                <c:pt idx="14">
                  <c:v>0.65724995785615525</c:v>
                </c:pt>
                <c:pt idx="15">
                  <c:v>0.68831307821044208</c:v>
                </c:pt>
              </c:numCache>
            </c:numRef>
          </c:xVal>
          <c:yVal>
            <c:numRef>
              <c:f>WindTunnelData!$CF$40:$CF$55</c:f>
              <c:numCache>
                <c:formatCode>General</c:formatCode>
                <c:ptCount val="16"/>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pt idx="10">
                  <c:v>0.15647028767881391</c:v>
                </c:pt>
                <c:pt idx="11">
                  <c:v>0.17551852717518499</c:v>
                </c:pt>
                <c:pt idx="12">
                  <c:v>0.21166032987015967</c:v>
                </c:pt>
                <c:pt idx="13">
                  <c:v>0.23043726091768615</c:v>
                </c:pt>
                <c:pt idx="14">
                  <c:v>0.25517859511307683</c:v>
                </c:pt>
                <c:pt idx="15">
                  <c:v>0.2687050294662755</c:v>
                </c:pt>
              </c:numCache>
            </c:numRef>
          </c:yVal>
          <c:smooth val="1"/>
          <c:extLst>
            <c:ext xmlns:c16="http://schemas.microsoft.com/office/drawing/2014/chart" uri="{C3380CC4-5D6E-409C-BE32-E72D297353CC}">
              <c16:uniqueId val="{00000004-E084-4421-B0F6-2B5FD99B4664}"/>
            </c:ext>
          </c:extLst>
        </c:ser>
        <c:ser>
          <c:idx val="4"/>
          <c:order val="4"/>
          <c:tx>
            <c:v>ΔiH = -2 deg, before stall</c:v>
          </c:tx>
          <c:spPr>
            <a:ln w="25400" cap="rnd">
              <a:noFill/>
              <a:round/>
            </a:ln>
            <a:effectLst/>
          </c:spPr>
          <c:marker>
            <c:symbol val="none"/>
          </c:marker>
          <c:trendline>
            <c:name>Wind tunnel, ΔiH = -2 deg</c:name>
            <c:spPr>
              <a:ln w="15875" cap="rnd">
                <a:solidFill>
                  <a:srgbClr val="00C800"/>
                </a:solidFill>
                <a:prstDash val="lgDashDot"/>
              </a:ln>
              <a:effectLst/>
            </c:spPr>
            <c:trendlineType val="poly"/>
            <c:order val="2"/>
            <c:dispRSqr val="0"/>
            <c:dispEq val="0"/>
          </c:trendline>
          <c:x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xVal>
          <c:yVal>
            <c:numRef>
              <c:f>WindTunnelData!$CF$40:$CF$49</c:f>
              <c:numCache>
                <c:formatCode>General</c:formatCode>
                <c:ptCount val="10"/>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numCache>
            </c:numRef>
          </c:yVal>
          <c:smooth val="1"/>
          <c:extLst>
            <c:ext xmlns:c16="http://schemas.microsoft.com/office/drawing/2014/chart" uri="{C3380CC4-5D6E-409C-BE32-E72D297353CC}">
              <c16:uniqueId val="{0000000A-E084-4421-B0F6-2B5FD99B4664}"/>
            </c:ext>
          </c:extLst>
        </c:ser>
        <c:ser>
          <c:idx val="5"/>
          <c:order val="5"/>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D-E084-4421-B0F6-2B5FD99B4664}"/>
            </c:ext>
          </c:extLst>
        </c:ser>
        <c:ser>
          <c:idx val="6"/>
          <c:order val="6"/>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E-E084-4421-B0F6-2B5FD99B4664}"/>
            </c:ext>
          </c:extLst>
        </c:ser>
        <c:dLbls>
          <c:showLegendKey val="0"/>
          <c:showVal val="0"/>
          <c:showCatName val="0"/>
          <c:showSerName val="0"/>
          <c:showPercent val="0"/>
          <c:showBubbleSize val="0"/>
        </c:dLbls>
        <c:axId val="689813263"/>
        <c:axId val="689819023"/>
      </c:scatterChart>
      <c:valAx>
        <c:axId val="689813263"/>
        <c:scaling>
          <c:orientation val="minMax"/>
          <c:max val="1"/>
          <c:min val="-0.1"/>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L</a:t>
                </a:r>
                <a:endParaRPr lang="en-MY" sz="1800">
                  <a:solidFill>
                    <a:schemeClr val="tx1"/>
                  </a:solidFill>
                </a:endParaRPr>
              </a:p>
            </c:rich>
          </c:tx>
          <c:layout>
            <c:manualLayout>
              <c:xMode val="edge"/>
              <c:yMode val="edge"/>
              <c:x val="0.94070603470603475"/>
              <c:y val="0.8450095299405004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9023"/>
        <c:crosses val="autoZero"/>
        <c:crossBetween val="midCat"/>
        <c:majorUnit val="0.1"/>
        <c:minorUnit val="5.000000000000001E-2"/>
      </c:valAx>
      <c:valAx>
        <c:axId val="689819023"/>
        <c:scaling>
          <c:orientation val="minMax"/>
        </c:scaling>
        <c:delete val="0"/>
        <c:axPos val="l"/>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D</a:t>
                </a:r>
                <a:endParaRPr lang="en-MY" sz="1800">
                  <a:solidFill>
                    <a:schemeClr val="tx1"/>
                  </a:solidFill>
                </a:endParaRPr>
              </a:p>
            </c:rich>
          </c:tx>
          <c:layout>
            <c:manualLayout>
              <c:xMode val="edge"/>
              <c:yMode val="edge"/>
              <c:x val="1.6688089511779458E-3"/>
              <c:y val="0.4451038672420871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3263"/>
        <c:crosses val="autoZero"/>
        <c:crossBetween val="midCat"/>
        <c:majorUnit val="2.0000000000000004E-2"/>
      </c:valAx>
      <c:spPr>
        <a:noFill/>
        <a:ln>
          <a:noFill/>
        </a:ln>
        <a:effectLst/>
      </c:spPr>
    </c:plotArea>
    <c:legend>
      <c:legendPos val="r"/>
      <c:legendEntry>
        <c:idx val="4"/>
        <c:delete val="1"/>
      </c:legendEntry>
      <c:legendEntry>
        <c:idx val="5"/>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6"/>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9"/>
        <c:delete val="1"/>
      </c:legendEntry>
      <c:legendEntry>
        <c:idx val="11"/>
        <c:delete val="1"/>
      </c:legendEntry>
      <c:layout>
        <c:manualLayout>
          <c:xMode val="edge"/>
          <c:yMode val="edge"/>
          <c:x val="0.13538928701861053"/>
          <c:y val="0.29935689484884592"/>
          <c:w val="0.3285066436041113"/>
          <c:h val="0.3383179073627191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C</a:t>
            </a:r>
            <a:r>
              <a:rPr lang="en-US" sz="2000" baseline="-25000">
                <a:solidFill>
                  <a:schemeClr val="tx1"/>
                </a:solidFill>
              </a:rPr>
              <a:t>D</a:t>
            </a:r>
            <a:r>
              <a:rPr lang="en-US" sz="2000" baseline="0">
                <a:solidFill>
                  <a:schemeClr val="tx1"/>
                </a:solidFill>
              </a:rPr>
              <a:t> vs C</a:t>
            </a:r>
            <a:r>
              <a:rPr lang="en-US" sz="2000" baseline="-25000">
                <a:solidFill>
                  <a:schemeClr val="tx1"/>
                </a:solidFill>
              </a:rPr>
              <a:t>L</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2.867140232767084E-2"/>
          <c:y val="3.6975015508149689E-2"/>
          <c:w val="0.9546545897768961"/>
          <c:h val="0.88774055972804544"/>
        </c:manualLayout>
      </c:layout>
      <c:scatterChart>
        <c:scatterStyle val="smoothMarker"/>
        <c:varyColors val="0"/>
        <c:ser>
          <c:idx val="0"/>
          <c:order val="0"/>
          <c:tx>
            <c:v>Flight test</c:v>
          </c:tx>
          <c:spPr>
            <a:ln w="19050" cap="rnd">
              <a:noFill/>
              <a:round/>
            </a:ln>
            <a:effectLst/>
          </c:spPr>
          <c:marker>
            <c:symbol val="x"/>
            <c:size val="6"/>
            <c:spPr>
              <a:noFill/>
              <a:ln w="9525">
                <a:solidFill>
                  <a:schemeClr val="tx1"/>
                </a:solidFill>
              </a:ln>
              <a:effectLst/>
            </c:spPr>
          </c:marker>
          <c:trendline>
            <c:name>Flight test</c:name>
            <c:spPr>
              <a:ln w="9525" cap="rnd">
                <a:solidFill>
                  <a:schemeClr val="tx1"/>
                </a:solidFill>
                <a:prstDash val="solid"/>
              </a:ln>
              <a:effectLst/>
            </c:spPr>
            <c:trendlineType val="poly"/>
            <c:order val="2"/>
            <c:dispRSqr val="0"/>
            <c:dispEq val="0"/>
          </c:trendline>
          <c:errBars>
            <c:errDir val="x"/>
            <c:errBarType val="both"/>
            <c:errValType val="cust"/>
            <c:noEndCap val="0"/>
            <c:pl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plus>
            <c:min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minus>
            <c:spPr>
              <a:noFill/>
              <a:ln w="6350" cap="flat" cmpd="sng" algn="ctr">
                <a:solidFill>
                  <a:schemeClr val="tx1"/>
                </a:solidFill>
                <a:round/>
              </a:ln>
              <a:effectLst/>
            </c:spPr>
          </c:errBars>
          <c:errBars>
            <c:errDir val="y"/>
            <c:errBarType val="both"/>
            <c:errValType val="cust"/>
            <c:noEndCap val="0"/>
            <c:pl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plus>
            <c:min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minus>
            <c:spPr>
              <a:noFill/>
              <a:ln w="6350" cap="flat" cmpd="sng" algn="ctr">
                <a:solidFill>
                  <a:schemeClr val="tx1"/>
                </a:solidFill>
                <a:round/>
              </a:ln>
              <a:effectLst/>
            </c:spPr>
          </c:errBars>
          <c:xVal>
            <c:numRef>
              <c:f>FlightSimData!$AC$52:$AC$64</c:f>
              <c:numCache>
                <c:formatCode>General</c:formatCode>
                <c:ptCount val="13"/>
                <c:pt idx="0">
                  <c:v>0.69409115360927132</c:v>
                </c:pt>
                <c:pt idx="1">
                  <c:v>0.48381889011000306</c:v>
                </c:pt>
                <c:pt idx="2">
                  <c:v>0.37708328669135482</c:v>
                </c:pt>
                <c:pt idx="3">
                  <c:v>0.28905052552919225</c:v>
                </c:pt>
                <c:pt idx="4">
                  <c:v>0.25318284638885724</c:v>
                </c:pt>
                <c:pt idx="5">
                  <c:v>0.22864759801155807</c:v>
                </c:pt>
                <c:pt idx="6">
                  <c:v>0.19319913051511739</c:v>
                </c:pt>
                <c:pt idx="7">
                  <c:v>0.19320402614127932</c:v>
                </c:pt>
                <c:pt idx="8">
                  <c:v>0.18559315542514473</c:v>
                </c:pt>
                <c:pt idx="9">
                  <c:v>0.15875777994754964</c:v>
                </c:pt>
                <c:pt idx="10">
                  <c:v>0.14243763557651026</c:v>
                </c:pt>
                <c:pt idx="11">
                  <c:v>0.13211146280964212</c:v>
                </c:pt>
                <c:pt idx="12">
                  <c:v>0.11727130760031977</c:v>
                </c:pt>
              </c:numCache>
            </c:numRef>
          </c:xVal>
          <c:yVal>
            <c:numRef>
              <c:f>FlightSimData!$AE$52:$AE$64</c:f>
              <c:numCache>
                <c:formatCode>General</c:formatCode>
                <c:ptCount val="13"/>
                <c:pt idx="0">
                  <c:v>3.6284670493903041E-2</c:v>
                </c:pt>
                <c:pt idx="1">
                  <c:v>2.3224846879241843E-2</c:v>
                </c:pt>
                <c:pt idx="2">
                  <c:v>1.9304170652078595E-2</c:v>
                </c:pt>
                <c:pt idx="3">
                  <c:v>1.4770528939999533E-2</c:v>
                </c:pt>
                <c:pt idx="4">
                  <c:v>1.5566759215883231E-2</c:v>
                </c:pt>
                <c:pt idx="5">
                  <c:v>1.3058823472657599E-2</c:v>
                </c:pt>
                <c:pt idx="6">
                  <c:v>1.3993885106919597E-2</c:v>
                </c:pt>
                <c:pt idx="7">
                  <c:v>1.960200339107087E-2</c:v>
                </c:pt>
                <c:pt idx="8">
                  <c:v>1.4098960193129067E-2</c:v>
                </c:pt>
                <c:pt idx="9">
                  <c:v>1.4566911533863951E-2</c:v>
                </c:pt>
                <c:pt idx="10">
                  <c:v>1.364348326922564E-2</c:v>
                </c:pt>
                <c:pt idx="11">
                  <c:v>1.6785980262405555E-2</c:v>
                </c:pt>
                <c:pt idx="12">
                  <c:v>2.1164682034744926E-2</c:v>
                </c:pt>
              </c:numCache>
            </c:numRef>
          </c:yVal>
          <c:smooth val="1"/>
          <c:extLst>
            <c:ext xmlns:c16="http://schemas.microsoft.com/office/drawing/2014/chart" uri="{C3380CC4-5D6E-409C-BE32-E72D297353CC}">
              <c16:uniqueId val="{00000001-5B89-46B1-817B-194E0507800F}"/>
            </c:ext>
          </c:extLst>
        </c:ser>
        <c:ser>
          <c:idx val="1"/>
          <c:order val="1"/>
          <c:tx>
            <c:v>Wind tunnel, No tail</c:v>
          </c:tx>
          <c:spPr>
            <a:ln w="25400" cap="rnd">
              <a:noFill/>
              <a:round/>
            </a:ln>
            <a:effectLst/>
          </c:spPr>
          <c:marker>
            <c:symbol val="circle"/>
            <c:size val="5"/>
            <c:spPr>
              <a:noFill/>
              <a:ln w="9525">
                <a:solidFill>
                  <a:srgbClr val="FF0000"/>
                </a:solidFill>
              </a:ln>
              <a:effectLst/>
            </c:spPr>
          </c:marker>
          <c:trendline>
            <c:name>Wind tunnel, No tail</c:name>
            <c:spPr>
              <a:ln w="19050" cap="rnd">
                <a:solidFill>
                  <a:srgbClr val="FF0000"/>
                </a:solidFill>
                <a:prstDash val="sysDot"/>
              </a:ln>
              <a:effectLst/>
            </c:spPr>
            <c:trendlineType val="poly"/>
            <c:order val="2"/>
            <c:dispRSqr val="0"/>
            <c:dispEq val="0"/>
          </c:trendline>
          <c:errBars>
            <c:errDir val="x"/>
            <c:errBarType val="both"/>
            <c:errValType val="cust"/>
            <c:noEndCap val="0"/>
            <c:pl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errBars>
            <c:errDir val="y"/>
            <c:errBarType val="both"/>
            <c:errValType val="cust"/>
            <c:noEndCap val="0"/>
            <c:pl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plus>
            <c:min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minus>
            <c:spPr>
              <a:noFill/>
              <a:ln w="6350" cap="flat" cmpd="sng" algn="ctr">
                <a:solidFill>
                  <a:srgbClr val="FF0000"/>
                </a:solidFill>
                <a:round/>
              </a:ln>
              <a:effectLst/>
            </c:spPr>
          </c:errBars>
          <c:x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xVal>
          <c:yVal>
            <c:numRef>
              <c:f>WindTunnelData!$CF$16:$CF$23</c:f>
              <c:numCache>
                <c:formatCode>General</c:formatCode>
                <c:ptCount val="8"/>
                <c:pt idx="0">
                  <c:v>2.2788575242373904E-2</c:v>
                </c:pt>
                <c:pt idx="1">
                  <c:v>2.1499657916776167E-2</c:v>
                </c:pt>
                <c:pt idx="2">
                  <c:v>2.4315835428577383E-2</c:v>
                </c:pt>
                <c:pt idx="3">
                  <c:v>3.2029448189546388E-2</c:v>
                </c:pt>
                <c:pt idx="4">
                  <c:v>4.133202828660941E-2</c:v>
                </c:pt>
                <c:pt idx="5">
                  <c:v>5.5182342468022325E-2</c:v>
                </c:pt>
                <c:pt idx="6">
                  <c:v>6.8997923703347813E-2</c:v>
                </c:pt>
                <c:pt idx="7">
                  <c:v>9.2338968303444555E-2</c:v>
                </c:pt>
              </c:numCache>
            </c:numRef>
          </c:yVal>
          <c:smooth val="1"/>
          <c:extLst>
            <c:ext xmlns:c16="http://schemas.microsoft.com/office/drawing/2014/chart" uri="{C3380CC4-5D6E-409C-BE32-E72D297353CC}">
              <c16:uniqueId val="{00000003-5B89-46B1-817B-194E0507800F}"/>
            </c:ext>
          </c:extLst>
        </c:ser>
        <c:ser>
          <c:idx val="2"/>
          <c:order val="2"/>
          <c:tx>
            <c:v>Wind tunnel, ΔiH = +1 deg</c:v>
          </c:tx>
          <c:spPr>
            <a:ln w="25400" cap="rnd">
              <a:noFill/>
              <a:round/>
            </a:ln>
            <a:effectLst/>
          </c:spPr>
          <c:marker>
            <c:symbol val="square"/>
            <c:size val="5"/>
            <c:spPr>
              <a:noFill/>
              <a:ln w="9525">
                <a:solidFill>
                  <a:srgbClr val="0000FF"/>
                </a:solidFill>
              </a:ln>
              <a:effectLst/>
            </c:spPr>
          </c:marker>
          <c:trendline>
            <c:spPr>
              <a:ln w="19050" cap="rnd">
                <a:solidFill>
                  <a:schemeClr val="accent3"/>
                </a:solidFill>
                <a:prstDash val="sysDot"/>
              </a:ln>
              <a:effectLst/>
            </c:spPr>
            <c:trendlineType val="power"/>
            <c:dispRSqr val="0"/>
            <c:dispEq val="0"/>
          </c:trendline>
          <c:trendline>
            <c:name>Wind tunnel, ΔiH = +1 deg</c:name>
            <c:spPr>
              <a:ln w="15875" cap="rnd">
                <a:solidFill>
                  <a:srgbClr val="0000FF"/>
                </a:solidFill>
                <a:prstDash val="dash"/>
              </a:ln>
              <a:effectLst/>
            </c:spPr>
            <c:trendlineType val="poly"/>
            <c:order val="2"/>
            <c:dispRSqr val="0"/>
            <c:dispEq val="0"/>
          </c:trendline>
          <c:errBars>
            <c:errDir val="x"/>
            <c:errBarType val="both"/>
            <c:errValType val="cust"/>
            <c:noEndCap val="0"/>
            <c:pl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rgbClr val="0000FF"/>
                </a:solidFill>
                <a:round/>
              </a:ln>
              <a:effectLst/>
            </c:spPr>
          </c:errBars>
          <c:errBars>
            <c:errDir val="y"/>
            <c:errBarType val="both"/>
            <c:errValType val="cust"/>
            <c:noEndCap val="0"/>
            <c:pl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plus>
            <c:min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minus>
            <c:spPr>
              <a:noFill/>
              <a:ln w="6350" cap="flat" cmpd="sng" algn="ctr">
                <a:solidFill>
                  <a:srgbClr val="0000FF"/>
                </a:solidFill>
                <a:round/>
              </a:ln>
              <a:effectLst/>
            </c:spPr>
          </c:errBars>
          <c:x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xVal>
          <c:yVal>
            <c:numRef>
              <c:f>WindTunnelData!$CF$28:$CF$35</c:f>
              <c:numCache>
                <c:formatCode>General</c:formatCode>
                <c:ptCount val="8"/>
                <c:pt idx="0">
                  <c:v>2.6956112712433488E-2</c:v>
                </c:pt>
                <c:pt idx="1">
                  <c:v>2.639970638136184E-2</c:v>
                </c:pt>
                <c:pt idx="2">
                  <c:v>2.9727485529569567E-2</c:v>
                </c:pt>
                <c:pt idx="3">
                  <c:v>3.8063760025211224E-2</c:v>
                </c:pt>
                <c:pt idx="4">
                  <c:v>5.0115161613790635E-2</c:v>
                </c:pt>
                <c:pt idx="5">
                  <c:v>6.5104790445474028E-2</c:v>
                </c:pt>
                <c:pt idx="6">
                  <c:v>8.6509842313949786E-2</c:v>
                </c:pt>
                <c:pt idx="7">
                  <c:v>0.11084509641167141</c:v>
                </c:pt>
              </c:numCache>
            </c:numRef>
          </c:yVal>
          <c:smooth val="1"/>
          <c:extLst>
            <c:ext xmlns:c16="http://schemas.microsoft.com/office/drawing/2014/chart" uri="{C3380CC4-5D6E-409C-BE32-E72D297353CC}">
              <c16:uniqueId val="{00000006-5B89-46B1-817B-194E0507800F}"/>
            </c:ext>
          </c:extLst>
        </c:ser>
        <c:ser>
          <c:idx val="3"/>
          <c:order val="3"/>
          <c:tx>
            <c:v>Wind tunnel, ΔiH = -2 deg</c:v>
          </c:tx>
          <c:spPr>
            <a:ln w="25400" cap="rnd">
              <a:noFill/>
              <a:round/>
            </a:ln>
            <a:effectLst/>
          </c:spPr>
          <c:marker>
            <c:symbol val="triangle"/>
            <c:size val="6"/>
            <c:spPr>
              <a:noFill/>
              <a:ln w="9525">
                <a:solidFill>
                  <a:srgbClr val="00C800"/>
                </a:solidFill>
              </a:ln>
              <a:effectLst/>
            </c:spPr>
          </c:marker>
          <c:trendline>
            <c:spPr>
              <a:ln w="19050" cap="rnd">
                <a:solidFill>
                  <a:schemeClr val="accent4"/>
                </a:solidFill>
                <a:prstDash val="sysDot"/>
              </a:ln>
              <a:effectLst/>
            </c:spPr>
            <c:trendlineType val="log"/>
            <c:dispRSqr val="0"/>
            <c:dispEq val="0"/>
          </c:trendline>
          <c:errBars>
            <c:errDir val="x"/>
            <c:errBarType val="both"/>
            <c:errValType val="cust"/>
            <c:noEndCap val="0"/>
            <c:pl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plus>
            <c:min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minus>
            <c:spPr>
              <a:noFill/>
              <a:ln w="6350" cap="flat" cmpd="sng" algn="ctr">
                <a:solidFill>
                  <a:srgbClr val="00C800"/>
                </a:solidFill>
                <a:round/>
              </a:ln>
              <a:effectLst/>
            </c:spPr>
          </c:errBars>
          <c:errBars>
            <c:errDir val="y"/>
            <c:errBarType val="both"/>
            <c:errValType val="cust"/>
            <c:noEndCap val="0"/>
            <c:pl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plus>
            <c:min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minus>
            <c:spPr>
              <a:noFill/>
              <a:ln w="6350" cap="flat" cmpd="sng" algn="ctr">
                <a:solidFill>
                  <a:srgbClr val="00C800"/>
                </a:solidFill>
                <a:round/>
              </a:ln>
              <a:effectLst/>
            </c:spPr>
          </c:errBars>
          <c:x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xVal>
          <c:yVal>
            <c:numRef>
              <c:f>WindTunnelData!$CF$40:$CF$49</c:f>
              <c:numCache>
                <c:formatCode>General</c:formatCode>
                <c:ptCount val="10"/>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numCache>
            </c:numRef>
          </c:yVal>
          <c:smooth val="1"/>
          <c:extLst>
            <c:ext xmlns:c16="http://schemas.microsoft.com/office/drawing/2014/chart" uri="{C3380CC4-5D6E-409C-BE32-E72D297353CC}">
              <c16:uniqueId val="{00000008-5B89-46B1-817B-194E0507800F}"/>
            </c:ext>
          </c:extLst>
        </c:ser>
        <c:ser>
          <c:idx val="4"/>
          <c:order val="4"/>
          <c:tx>
            <c:v>ΔiH = -2 deg, before stall</c:v>
          </c:tx>
          <c:spPr>
            <a:ln w="25400" cap="rnd">
              <a:noFill/>
              <a:round/>
            </a:ln>
            <a:effectLst/>
          </c:spPr>
          <c:marker>
            <c:symbol val="none"/>
          </c:marker>
          <c:trendline>
            <c:name>Wind tunnel, ΔiH = -2 deg</c:name>
            <c:spPr>
              <a:ln w="15875" cap="rnd">
                <a:solidFill>
                  <a:srgbClr val="00C800"/>
                </a:solidFill>
                <a:prstDash val="lgDashDot"/>
              </a:ln>
              <a:effectLst/>
            </c:spPr>
            <c:trendlineType val="poly"/>
            <c:order val="2"/>
            <c:dispRSqr val="0"/>
            <c:dispEq val="0"/>
          </c:trendline>
          <c:x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xVal>
          <c:yVal>
            <c:numRef>
              <c:f>WindTunnelData!$CF$40:$CF$49</c:f>
              <c:numCache>
                <c:formatCode>General</c:formatCode>
                <c:ptCount val="10"/>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numCache>
            </c:numRef>
          </c:yVal>
          <c:smooth val="1"/>
          <c:extLst>
            <c:ext xmlns:c16="http://schemas.microsoft.com/office/drawing/2014/chart" uri="{C3380CC4-5D6E-409C-BE32-E72D297353CC}">
              <c16:uniqueId val="{0000000A-5B89-46B1-817B-194E0507800F}"/>
            </c:ext>
          </c:extLst>
        </c:ser>
        <c:ser>
          <c:idx val="5"/>
          <c:order val="5"/>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B-5B89-46B1-817B-194E0507800F}"/>
            </c:ext>
          </c:extLst>
        </c:ser>
        <c:dLbls>
          <c:showLegendKey val="0"/>
          <c:showVal val="0"/>
          <c:showCatName val="0"/>
          <c:showSerName val="0"/>
          <c:showPercent val="0"/>
          <c:showBubbleSize val="0"/>
        </c:dLbls>
        <c:axId val="689813263"/>
        <c:axId val="689819023"/>
        <c:extLst>
          <c:ext xmlns:c15="http://schemas.microsoft.com/office/drawing/2012/chart" uri="{02D57815-91ED-43cb-92C2-25804820EDAC}">
            <c15:filteredScatterSeries>
              <c15:ser>
                <c:idx val="6"/>
                <c:order val="6"/>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C-5B89-46B1-817B-194E0507800F}"/>
                  </c:ext>
                </c:extLst>
              </c15:ser>
            </c15:filteredScatterSeries>
          </c:ext>
        </c:extLst>
      </c:scatterChart>
      <c:valAx>
        <c:axId val="689813263"/>
        <c:scaling>
          <c:orientation val="minMax"/>
          <c:max val="1"/>
          <c:min val="-0.1"/>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L</a:t>
                </a:r>
                <a:endParaRPr lang="en-MY" sz="1800">
                  <a:solidFill>
                    <a:schemeClr val="tx1"/>
                  </a:solidFill>
                </a:endParaRPr>
              </a:p>
            </c:rich>
          </c:tx>
          <c:layout>
            <c:manualLayout>
              <c:xMode val="edge"/>
              <c:yMode val="edge"/>
              <c:x val="0.94070603470603475"/>
              <c:y val="0.8450095299405004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9023"/>
        <c:crosses val="autoZero"/>
        <c:crossBetween val="midCat"/>
        <c:majorUnit val="0.1"/>
        <c:minorUnit val="5.000000000000001E-2"/>
      </c:valAx>
      <c:valAx>
        <c:axId val="689819023"/>
        <c:scaling>
          <c:orientation val="minMax"/>
        </c:scaling>
        <c:delete val="0"/>
        <c:axPos val="l"/>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D</a:t>
                </a:r>
                <a:endParaRPr lang="en-MY" sz="1800">
                  <a:solidFill>
                    <a:schemeClr val="tx1"/>
                  </a:solidFill>
                </a:endParaRPr>
              </a:p>
            </c:rich>
          </c:tx>
          <c:layout>
            <c:manualLayout>
              <c:xMode val="edge"/>
              <c:yMode val="edge"/>
              <c:x val="1.6688089511779458E-3"/>
              <c:y val="0.4451038672420871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3263"/>
        <c:crosses val="autoZero"/>
        <c:crossBetween val="midCat"/>
        <c:majorUnit val="1.0000000000000002E-2"/>
        <c:minorUnit val="5.000000000000001E-3"/>
      </c:valAx>
      <c:spPr>
        <a:noFill/>
        <a:ln>
          <a:noFill/>
        </a:ln>
        <a:effectLst/>
      </c:spPr>
    </c:plotArea>
    <c:legend>
      <c:legendPos val="r"/>
      <c:legendEntry>
        <c:idx val="4"/>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5"/>
        <c:delete val="1"/>
      </c:legendEntry>
      <c:legendEntry>
        <c:idx val="8"/>
        <c:delete val="1"/>
      </c:legendEntry>
      <c:legendEntry>
        <c:idx val="10"/>
        <c:delete val="1"/>
      </c:legendEntry>
      <c:layout>
        <c:manualLayout>
          <c:xMode val="edge"/>
          <c:yMode val="edge"/>
          <c:x val="0.14067228607455226"/>
          <c:y val="9.6409469332593548E-2"/>
          <c:w val="0.3303944977758595"/>
          <c:h val="0.315829539127541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baseline="30000">
                <a:solidFill>
                  <a:schemeClr val="tx1"/>
                </a:solidFill>
              </a:rPr>
              <a:t>L</a:t>
            </a:r>
            <a:r>
              <a:rPr lang="en-US" sz="2000" baseline="0">
                <a:solidFill>
                  <a:schemeClr val="tx1"/>
                </a:solidFill>
              </a:rPr>
              <a:t>/</a:t>
            </a:r>
            <a:r>
              <a:rPr lang="en-US" sz="2000" baseline="-25000">
                <a:solidFill>
                  <a:schemeClr val="tx1"/>
                </a:solidFill>
              </a:rPr>
              <a:t>D</a:t>
            </a:r>
            <a:r>
              <a:rPr lang="en-US" sz="2000" baseline="0">
                <a:solidFill>
                  <a:schemeClr val="tx1"/>
                </a:solidFill>
              </a:rPr>
              <a:t> vs C</a:t>
            </a:r>
            <a:r>
              <a:rPr lang="en-US" sz="2000" baseline="-25000">
                <a:solidFill>
                  <a:schemeClr val="tx1"/>
                </a:solidFill>
              </a:rPr>
              <a:t>L</a:t>
            </a:r>
            <a:endParaRPr lang="en-US" sz="2000">
              <a:solidFill>
                <a:schemeClr val="tx1"/>
              </a:solidFill>
            </a:endParaRPr>
          </a:p>
        </c:rich>
      </c:tx>
      <c:layout>
        <c:manualLayout>
          <c:xMode val="edge"/>
          <c:yMode val="edge"/>
          <c:x val="0.35651860665821478"/>
          <c:y val="1.299947674547147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4.5219836809687101E-2"/>
          <c:y val="3.6975015508149689E-2"/>
          <c:w val="0.91990489257993824"/>
          <c:h val="0.88046131560436713"/>
        </c:manualLayout>
      </c:layout>
      <c:scatterChart>
        <c:scatterStyle val="smoothMarker"/>
        <c:varyColors val="0"/>
        <c:ser>
          <c:idx val="0"/>
          <c:order val="0"/>
          <c:tx>
            <c:v>Flight test</c:v>
          </c:tx>
          <c:spPr>
            <a:ln w="25400" cap="rnd">
              <a:noFill/>
              <a:round/>
            </a:ln>
            <a:effectLst/>
          </c:spPr>
          <c:marker>
            <c:symbol val="x"/>
            <c:size val="6"/>
            <c:spPr>
              <a:noFill/>
              <a:ln w="9525">
                <a:solidFill>
                  <a:schemeClr val="tx1"/>
                </a:solidFill>
              </a:ln>
              <a:effectLst/>
            </c:spPr>
          </c:marker>
          <c:trendline>
            <c:name>Flight test</c:name>
            <c:spPr>
              <a:ln w="9525" cap="rnd">
                <a:solidFill>
                  <a:schemeClr val="tx1"/>
                </a:solidFill>
                <a:prstDash val="solid"/>
              </a:ln>
              <a:effectLst/>
            </c:spPr>
            <c:trendlineType val="poly"/>
            <c:order val="2"/>
            <c:intercept val="0"/>
            <c:dispRSqr val="0"/>
            <c:dispEq val="0"/>
          </c:trendline>
          <c:errBars>
            <c:errDir val="x"/>
            <c:errBarType val="both"/>
            <c:errValType val="cust"/>
            <c:noEndCap val="0"/>
            <c:pl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plus>
            <c:minus>
              <c:numRef>
                <c:f>FlightSimData!$AD$52:$AD$64</c:f>
                <c:numCache>
                  <c:formatCode>General</c:formatCode>
                  <c:ptCount val="13"/>
                  <c:pt idx="0">
                    <c:v>1.3889269319577669E-2</c:v>
                  </c:pt>
                  <c:pt idx="1">
                    <c:v>8.0688191736335534E-3</c:v>
                  </c:pt>
                  <c:pt idx="2">
                    <c:v>5.390703201403153E-3</c:v>
                  </c:pt>
                  <c:pt idx="3">
                    <c:v>3.6160402595024981E-3</c:v>
                  </c:pt>
                  <c:pt idx="4">
                    <c:v>2.9811982784129377E-3</c:v>
                  </c:pt>
                  <c:pt idx="5">
                    <c:v>2.5428270912988687E-3</c:v>
                  </c:pt>
                  <c:pt idx="6">
                    <c:v>1.9834877942095522E-3</c:v>
                  </c:pt>
                  <c:pt idx="7">
                    <c:v>1.9835380057599311E-3</c:v>
                  </c:pt>
                  <c:pt idx="8">
                    <c:v>1.8577931160995084E-3</c:v>
                  </c:pt>
                  <c:pt idx="9">
                    <c:v>1.4784274278284214E-3</c:v>
                  </c:pt>
                  <c:pt idx="10">
                    <c:v>1.2964260770162593E-3</c:v>
                  </c:pt>
                  <c:pt idx="11">
                    <c:v>1.1257012221721002E-3</c:v>
                  </c:pt>
                  <c:pt idx="12">
                    <c:v>9.3936186038531724E-4</c:v>
                  </c:pt>
                </c:numCache>
              </c:numRef>
            </c:minus>
            <c:spPr>
              <a:noFill/>
              <a:ln w="6350" cap="flat" cmpd="sng" algn="ctr">
                <a:solidFill>
                  <a:schemeClr val="tx1"/>
                </a:solidFill>
                <a:round/>
              </a:ln>
              <a:effectLst/>
            </c:spPr>
          </c:errBars>
          <c:errBars>
            <c:errDir val="y"/>
            <c:errBarType val="both"/>
            <c:errValType val="cust"/>
            <c:noEndCap val="0"/>
            <c:plus>
              <c:numRef>
                <c:f>FlightSimData!$AI$52:$AI$64</c:f>
                <c:numCache>
                  <c:formatCode>General</c:formatCode>
                  <c:ptCount val="13"/>
                  <c:pt idx="0">
                    <c:v>4.2583178108615769</c:v>
                  </c:pt>
                  <c:pt idx="1">
                    <c:v>4.1312955786750987</c:v>
                  </c:pt>
                  <c:pt idx="2">
                    <c:v>3.1570535122135959</c:v>
                  </c:pt>
                  <c:pt idx="3">
                    <c:v>2.7714427443401202</c:v>
                  </c:pt>
                  <c:pt idx="4">
                    <c:v>1.8826122516959243</c:v>
                  </c:pt>
                  <c:pt idx="5">
                    <c:v>2.0233519497561425</c:v>
                  </c:pt>
                  <c:pt idx="6">
                    <c:v>1.2361760268607858</c:v>
                  </c:pt>
                  <c:pt idx="7">
                    <c:v>0.70241184753267483</c:v>
                  </c:pt>
                  <c:pt idx="8">
                    <c:v>1.1110512868812885</c:v>
                  </c:pt>
                  <c:pt idx="9">
                    <c:v>0.75211794832872592</c:v>
                  </c:pt>
                  <c:pt idx="10">
                    <c:v>0.6844848582472709</c:v>
                  </c:pt>
                  <c:pt idx="11">
                    <c:v>0.4054293805036997</c:v>
                  </c:pt>
                  <c:pt idx="12">
                    <c:v>0.22173025548363029</c:v>
                  </c:pt>
                </c:numCache>
              </c:numRef>
            </c:plus>
            <c:minus>
              <c:numRef>
                <c:f>FlightSimData!$AI$52:$AI$64</c:f>
                <c:numCache>
                  <c:formatCode>General</c:formatCode>
                  <c:ptCount val="13"/>
                  <c:pt idx="0">
                    <c:v>4.2583178108615769</c:v>
                  </c:pt>
                  <c:pt idx="1">
                    <c:v>4.1312955786750987</c:v>
                  </c:pt>
                  <c:pt idx="2">
                    <c:v>3.1570535122135959</c:v>
                  </c:pt>
                  <c:pt idx="3">
                    <c:v>2.7714427443401202</c:v>
                  </c:pt>
                  <c:pt idx="4">
                    <c:v>1.8826122516959243</c:v>
                  </c:pt>
                  <c:pt idx="5">
                    <c:v>2.0233519497561425</c:v>
                  </c:pt>
                  <c:pt idx="6">
                    <c:v>1.2361760268607858</c:v>
                  </c:pt>
                  <c:pt idx="7">
                    <c:v>0.70241184753267483</c:v>
                  </c:pt>
                  <c:pt idx="8">
                    <c:v>1.1110512868812885</c:v>
                  </c:pt>
                  <c:pt idx="9">
                    <c:v>0.75211794832872592</c:v>
                  </c:pt>
                  <c:pt idx="10">
                    <c:v>0.6844848582472709</c:v>
                  </c:pt>
                  <c:pt idx="11">
                    <c:v>0.4054293805036997</c:v>
                  </c:pt>
                  <c:pt idx="12">
                    <c:v>0.22173025548363029</c:v>
                  </c:pt>
                </c:numCache>
              </c:numRef>
            </c:minus>
            <c:spPr>
              <a:noFill/>
              <a:ln w="6350" cap="flat" cmpd="sng" algn="ctr">
                <a:solidFill>
                  <a:schemeClr val="tx1"/>
                </a:solidFill>
                <a:round/>
              </a:ln>
              <a:effectLst/>
            </c:spPr>
          </c:errBars>
          <c:xVal>
            <c:numRef>
              <c:f>FlightSimData!$AC$52:$AC$64</c:f>
              <c:numCache>
                <c:formatCode>General</c:formatCode>
                <c:ptCount val="13"/>
                <c:pt idx="0">
                  <c:v>0.69409115360927132</c:v>
                </c:pt>
                <c:pt idx="1">
                  <c:v>0.48381889011000306</c:v>
                </c:pt>
                <c:pt idx="2">
                  <c:v>0.37708328669135482</c:v>
                </c:pt>
                <c:pt idx="3">
                  <c:v>0.28905052552919225</c:v>
                </c:pt>
                <c:pt idx="4">
                  <c:v>0.25318284638885724</c:v>
                </c:pt>
                <c:pt idx="5">
                  <c:v>0.22864759801155807</c:v>
                </c:pt>
                <c:pt idx="6">
                  <c:v>0.19319913051511739</c:v>
                </c:pt>
                <c:pt idx="7">
                  <c:v>0.19320402614127932</c:v>
                </c:pt>
                <c:pt idx="8">
                  <c:v>0.18559315542514473</c:v>
                </c:pt>
                <c:pt idx="9">
                  <c:v>0.15875777994754964</c:v>
                </c:pt>
                <c:pt idx="10">
                  <c:v>0.14243763557651026</c:v>
                </c:pt>
                <c:pt idx="11">
                  <c:v>0.13211146280964212</c:v>
                </c:pt>
                <c:pt idx="12">
                  <c:v>0.11727130760031977</c:v>
                </c:pt>
              </c:numCache>
            </c:numRef>
          </c:xVal>
          <c:yVal>
            <c:numRef>
              <c:f>FlightSimData!$AH$52:$AH$64</c:f>
              <c:numCache>
                <c:formatCode>General</c:formatCode>
                <c:ptCount val="13"/>
                <c:pt idx="0">
                  <c:v>19.129046623860077</c:v>
                </c:pt>
                <c:pt idx="1">
                  <c:v>20.831951772411294</c:v>
                </c:pt>
                <c:pt idx="2">
                  <c:v>19.533772959614403</c:v>
                </c:pt>
                <c:pt idx="3">
                  <c:v>19.569409240750005</c:v>
                </c:pt>
                <c:pt idx="4">
                  <c:v>16.264325983183912</c:v>
                </c:pt>
                <c:pt idx="5">
                  <c:v>17.509050374277404</c:v>
                </c:pt>
                <c:pt idx="6">
                  <c:v>13.805968038110136</c:v>
                </c:pt>
                <c:pt idx="7">
                  <c:v>9.8563408181679968</c:v>
                </c:pt>
                <c:pt idx="8">
                  <c:v>13.163605888864838</c:v>
                </c:pt>
                <c:pt idx="9">
                  <c:v>10.898520223623427</c:v>
                </c:pt>
                <c:pt idx="10">
                  <c:v>10.439975830643911</c:v>
                </c:pt>
                <c:pt idx="11">
                  <c:v>7.870345415901828</c:v>
                </c:pt>
                <c:pt idx="12">
                  <c:v>5.5408962633032584</c:v>
                </c:pt>
              </c:numCache>
            </c:numRef>
          </c:yVal>
          <c:smooth val="1"/>
          <c:extLst>
            <c:ext xmlns:c16="http://schemas.microsoft.com/office/drawing/2014/chart" uri="{C3380CC4-5D6E-409C-BE32-E72D297353CC}">
              <c16:uniqueId val="{00000001-8CD9-4C86-B166-9640CEF106BB}"/>
            </c:ext>
          </c:extLst>
        </c:ser>
        <c:ser>
          <c:idx val="1"/>
          <c:order val="1"/>
          <c:tx>
            <c:v>Wind tunnel, No tail</c:v>
          </c:tx>
          <c:spPr>
            <a:ln w="25400" cap="rnd">
              <a:noFill/>
              <a:round/>
            </a:ln>
            <a:effectLst/>
          </c:spPr>
          <c:marker>
            <c:symbol val="circle"/>
            <c:size val="5"/>
            <c:spPr>
              <a:noFill/>
              <a:ln w="9525">
                <a:solidFill>
                  <a:srgbClr val="FF0000"/>
                </a:solidFill>
              </a:ln>
              <a:effectLst/>
            </c:spPr>
          </c:marker>
          <c:trendline>
            <c:name>Wind tunnel, No tail</c:name>
            <c:spPr>
              <a:ln w="19050" cap="rnd">
                <a:solidFill>
                  <a:srgbClr val="FF0000"/>
                </a:solidFill>
                <a:prstDash val="sysDot"/>
              </a:ln>
              <a:effectLst/>
            </c:spPr>
            <c:trendlineType val="poly"/>
            <c:order val="2"/>
            <c:intercept val="0"/>
            <c:dispRSqr val="0"/>
            <c:dispEq val="0"/>
          </c:trendline>
          <c:errBars>
            <c:errDir val="x"/>
            <c:errBarType val="both"/>
            <c:errValType val="cust"/>
            <c:noEndCap val="0"/>
            <c:pl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errBars>
            <c:errDir val="y"/>
            <c:errBarType val="both"/>
            <c:errValType val="cust"/>
            <c:noEndCap val="0"/>
            <c:plus>
              <c:numRef>
                <c:f>WindTunnelData!$CM$16:$CM$23</c:f>
                <c:numCache>
                  <c:formatCode>General</c:formatCode>
                  <c:ptCount val="8"/>
                  <c:pt idx="0">
                    <c:v>0.56643064800819953</c:v>
                  </c:pt>
                  <c:pt idx="1">
                    <c:v>2.7614508620802636</c:v>
                  </c:pt>
                  <c:pt idx="2">
                    <c:v>3.2489143686695638</c:v>
                  </c:pt>
                  <c:pt idx="3">
                    <c:v>3.8707686930131913</c:v>
                  </c:pt>
                  <c:pt idx="4">
                    <c:v>3.062872579853241</c:v>
                  </c:pt>
                  <c:pt idx="5">
                    <c:v>1.9461188921103032</c:v>
                  </c:pt>
                  <c:pt idx="6">
                    <c:v>1.7808892866935906</c:v>
                  </c:pt>
                  <c:pt idx="7">
                    <c:v>1.1199519486159824</c:v>
                  </c:pt>
                </c:numCache>
              </c:numRef>
            </c:plus>
            <c:minus>
              <c:numRef>
                <c:f>WindTunnelData!$CM$16:$CM$23</c:f>
                <c:numCache>
                  <c:formatCode>General</c:formatCode>
                  <c:ptCount val="8"/>
                  <c:pt idx="0">
                    <c:v>0.56643064800819953</c:v>
                  </c:pt>
                  <c:pt idx="1">
                    <c:v>2.7614508620802636</c:v>
                  </c:pt>
                  <c:pt idx="2">
                    <c:v>3.2489143686695638</c:v>
                  </c:pt>
                  <c:pt idx="3">
                    <c:v>3.8707686930131913</c:v>
                  </c:pt>
                  <c:pt idx="4">
                    <c:v>3.062872579853241</c:v>
                  </c:pt>
                  <c:pt idx="5">
                    <c:v>1.9461188921103032</c:v>
                  </c:pt>
                  <c:pt idx="6">
                    <c:v>1.7808892866935906</c:v>
                  </c:pt>
                  <c:pt idx="7">
                    <c:v>1.1199519486159824</c:v>
                  </c:pt>
                </c:numCache>
              </c:numRef>
            </c:minus>
            <c:spPr>
              <a:noFill/>
              <a:ln w="6350" cap="flat" cmpd="sng" algn="ctr">
                <a:solidFill>
                  <a:srgbClr val="FF0000"/>
                </a:solidFill>
                <a:round/>
              </a:ln>
              <a:effectLst/>
            </c:spPr>
          </c:errBars>
          <c:x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xVal>
          <c:yVal>
            <c:numRef>
              <c:f>WindTunnelData!$CL$16:$CL$23</c:f>
              <c:numCache>
                <c:formatCode>General</c:formatCode>
                <c:ptCount val="8"/>
                <c:pt idx="0">
                  <c:v>-0.26587394149947463</c:v>
                </c:pt>
                <c:pt idx="1">
                  <c:v>6.1882617321159366</c:v>
                </c:pt>
                <c:pt idx="2">
                  <c:v>11.334382186982426</c:v>
                </c:pt>
                <c:pt idx="3">
                  <c:v>13.030329143561135</c:v>
                </c:pt>
                <c:pt idx="4">
                  <c:v>13.347771791775275</c:v>
                </c:pt>
                <c:pt idx="5">
                  <c:v>12.063722057611235</c:v>
                </c:pt>
                <c:pt idx="6">
                  <c:v>10.979744650169865</c:v>
                </c:pt>
                <c:pt idx="7">
                  <c:v>9.0982930617630835</c:v>
                </c:pt>
              </c:numCache>
            </c:numRef>
          </c:yVal>
          <c:smooth val="1"/>
          <c:extLst>
            <c:ext xmlns:c16="http://schemas.microsoft.com/office/drawing/2014/chart" uri="{C3380CC4-5D6E-409C-BE32-E72D297353CC}">
              <c16:uniqueId val="{00000003-8CD9-4C86-B166-9640CEF106BB}"/>
            </c:ext>
          </c:extLst>
        </c:ser>
        <c:ser>
          <c:idx val="2"/>
          <c:order val="2"/>
          <c:tx>
            <c:v>Wind tunnel, ΔiH = +1 deg</c:v>
          </c:tx>
          <c:spPr>
            <a:ln w="25400" cap="rnd">
              <a:noFill/>
              <a:round/>
            </a:ln>
            <a:effectLst/>
          </c:spPr>
          <c:marker>
            <c:symbol val="square"/>
            <c:size val="5"/>
            <c:spPr>
              <a:noFill/>
              <a:ln w="9525">
                <a:solidFill>
                  <a:srgbClr val="0000FF"/>
                </a:solidFill>
              </a:ln>
              <a:effectLst/>
            </c:spPr>
          </c:marker>
          <c:trendline>
            <c:spPr>
              <a:ln w="19050" cap="rnd">
                <a:solidFill>
                  <a:schemeClr val="accent3"/>
                </a:solidFill>
                <a:prstDash val="sysDot"/>
              </a:ln>
              <a:effectLst/>
            </c:spPr>
            <c:trendlineType val="power"/>
            <c:dispRSqr val="0"/>
            <c:dispEq val="0"/>
          </c:trendline>
          <c:trendline>
            <c:name>Wind tunnel, ΔiH = +1 deg</c:name>
            <c:spPr>
              <a:ln w="15875" cap="rnd">
                <a:solidFill>
                  <a:srgbClr val="0000FF"/>
                </a:solidFill>
                <a:prstDash val="dash"/>
              </a:ln>
              <a:effectLst/>
            </c:spPr>
            <c:trendlineType val="poly"/>
            <c:order val="2"/>
            <c:intercept val="0"/>
            <c:dispRSqr val="0"/>
            <c:dispEq val="0"/>
          </c:trendline>
          <c:errBars>
            <c:errDir val="x"/>
            <c:errBarType val="both"/>
            <c:errValType val="cust"/>
            <c:noEndCap val="0"/>
            <c:pl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rgbClr val="0000FF"/>
                </a:solidFill>
                <a:round/>
              </a:ln>
              <a:effectLst/>
            </c:spPr>
          </c:errBars>
          <c:errBars>
            <c:errDir val="y"/>
            <c:errBarType val="both"/>
            <c:errValType val="cust"/>
            <c:noEndCap val="0"/>
            <c:plus>
              <c:numRef>
                <c:f>WindTunnelData!$CM$28:$CM$35</c:f>
                <c:numCache>
                  <c:formatCode>General</c:formatCode>
                  <c:ptCount val="8"/>
                  <c:pt idx="0">
                    <c:v>0.10440338989101065</c:v>
                  </c:pt>
                  <c:pt idx="1">
                    <c:v>1.7863535533044039</c:v>
                  </c:pt>
                  <c:pt idx="2">
                    <c:v>3.301487084931257</c:v>
                  </c:pt>
                  <c:pt idx="3">
                    <c:v>2.9903905913872397</c:v>
                  </c:pt>
                  <c:pt idx="4">
                    <c:v>2.0122875771459339</c:v>
                  </c:pt>
                  <c:pt idx="5">
                    <c:v>1.4608173266281481</c:v>
                  </c:pt>
                  <c:pt idx="6">
                    <c:v>1.2496945698929836</c:v>
                  </c:pt>
                  <c:pt idx="7">
                    <c:v>0.81903707419041938</c:v>
                  </c:pt>
                </c:numCache>
              </c:numRef>
            </c:plus>
            <c:minus>
              <c:numRef>
                <c:f>WindTunnelData!$CM$28:$CM$35</c:f>
                <c:numCache>
                  <c:formatCode>General</c:formatCode>
                  <c:ptCount val="8"/>
                  <c:pt idx="0">
                    <c:v>0.10440338989101065</c:v>
                  </c:pt>
                  <c:pt idx="1">
                    <c:v>1.7863535533044039</c:v>
                  </c:pt>
                  <c:pt idx="2">
                    <c:v>3.301487084931257</c:v>
                  </c:pt>
                  <c:pt idx="3">
                    <c:v>2.9903905913872397</c:v>
                  </c:pt>
                  <c:pt idx="4">
                    <c:v>2.0122875771459339</c:v>
                  </c:pt>
                  <c:pt idx="5">
                    <c:v>1.4608173266281481</c:v>
                  </c:pt>
                  <c:pt idx="6">
                    <c:v>1.2496945698929836</c:v>
                  </c:pt>
                  <c:pt idx="7">
                    <c:v>0.81903707419041938</c:v>
                  </c:pt>
                </c:numCache>
              </c:numRef>
            </c:minus>
            <c:spPr>
              <a:noFill/>
              <a:ln w="6350" cap="flat" cmpd="sng" algn="ctr">
                <a:solidFill>
                  <a:srgbClr val="0000FF"/>
                </a:solidFill>
                <a:round/>
              </a:ln>
              <a:effectLst/>
            </c:spPr>
          </c:errBars>
          <c:x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xVal>
          <c:yVal>
            <c:numRef>
              <c:f>WindTunnelData!$CL$28:$CL$35</c:f>
              <c:numCache>
                <c:formatCode>General</c:formatCode>
                <c:ptCount val="8"/>
                <c:pt idx="0">
                  <c:v>-1.1913403423226232</c:v>
                </c:pt>
                <c:pt idx="1">
                  <c:v>5.1364030148206785</c:v>
                </c:pt>
                <c:pt idx="2">
                  <c:v>9.9683848186215513</c:v>
                </c:pt>
                <c:pt idx="3">
                  <c:v>12.073156721511602</c:v>
                </c:pt>
                <c:pt idx="4">
                  <c:v>12.393658805194175</c:v>
                </c:pt>
                <c:pt idx="5">
                  <c:v>11.510843621962541</c:v>
                </c:pt>
                <c:pt idx="6">
                  <c:v>9.9409444799362845</c:v>
                </c:pt>
                <c:pt idx="7">
                  <c:v>8.604014038983367</c:v>
                </c:pt>
              </c:numCache>
            </c:numRef>
          </c:yVal>
          <c:smooth val="1"/>
          <c:extLst>
            <c:ext xmlns:c16="http://schemas.microsoft.com/office/drawing/2014/chart" uri="{C3380CC4-5D6E-409C-BE32-E72D297353CC}">
              <c16:uniqueId val="{00000006-8CD9-4C86-B166-9640CEF106BB}"/>
            </c:ext>
          </c:extLst>
        </c:ser>
        <c:ser>
          <c:idx val="3"/>
          <c:order val="3"/>
          <c:tx>
            <c:v>Wind tunnel, ΔiH = -2 deg</c:v>
          </c:tx>
          <c:spPr>
            <a:ln w="25400" cap="rnd">
              <a:noFill/>
              <a:round/>
            </a:ln>
            <a:effectLst/>
          </c:spPr>
          <c:marker>
            <c:symbol val="none"/>
          </c:marker>
          <c:trendline>
            <c:spPr>
              <a:ln w="19050" cap="rnd">
                <a:solidFill>
                  <a:schemeClr val="accent4"/>
                </a:solidFill>
                <a:prstDash val="sysDot"/>
              </a:ln>
              <a:effectLst/>
            </c:spPr>
            <c:trendlineType val="log"/>
            <c:dispRSqr val="0"/>
            <c:dispEq val="0"/>
          </c:trendline>
          <c:errBars>
            <c:errDir val="x"/>
            <c:errBarType val="both"/>
            <c:errValType val="cust"/>
            <c:noEndCap val="0"/>
            <c:pl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plus>
            <c:minus>
              <c:numRef>
                <c:f>WindTunnelData!$CH$40:$CH$55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minus>
            <c:spPr>
              <a:noFill/>
              <a:ln w="6350" cap="flat" cmpd="sng" algn="ctr">
                <a:solidFill>
                  <a:srgbClr val="00C800"/>
                </a:solidFill>
                <a:round/>
              </a:ln>
              <a:effectLst/>
            </c:spPr>
          </c:errBars>
          <c:errBars>
            <c:errDir val="y"/>
            <c:errBarType val="both"/>
            <c:errValType val="cust"/>
            <c:noEndCap val="0"/>
            <c:plus>
              <c:numRef>
                <c:f>WindTunnelData!$CM$40:$CM$55</c:f>
                <c:numCache>
                  <c:formatCode>General</c:formatCode>
                  <c:ptCount val="16"/>
                  <c:pt idx="0">
                    <c:v>-6.5212158463694131E-2</c:v>
                  </c:pt>
                  <c:pt idx="1">
                    <c:v>1.4904080438115295</c:v>
                  </c:pt>
                  <c:pt idx="2">
                    <c:v>2.812013510584678</c:v>
                  </c:pt>
                  <c:pt idx="3">
                    <c:v>2.7749938019111342</c:v>
                  </c:pt>
                  <c:pt idx="4">
                    <c:v>1.9050142249725326</c:v>
                  </c:pt>
                  <c:pt idx="5">
                    <c:v>1.9421564544017589</c:v>
                  </c:pt>
                  <c:pt idx="6">
                    <c:v>1.3624719495324507</c:v>
                  </c:pt>
                  <c:pt idx="7">
                    <c:v>1.2155340871594373</c:v>
                  </c:pt>
                  <c:pt idx="8">
                    <c:v>1.10039398199849</c:v>
                  </c:pt>
                  <c:pt idx="9">
                    <c:v>0.95026322627934745</c:v>
                  </c:pt>
                  <c:pt idx="10">
                    <c:v>1.4167684582584024</c:v>
                  </c:pt>
                  <c:pt idx="11">
                    <c:v>1.0145008635634449</c:v>
                  </c:pt>
                  <c:pt idx="12">
                    <c:v>0.77460013252193205</c:v>
                  </c:pt>
                  <c:pt idx="13">
                    <c:v>0.83960294625771736</c:v>
                  </c:pt>
                  <c:pt idx="14">
                    <c:v>0.68001679727385844</c:v>
                  </c:pt>
                  <c:pt idx="15">
                    <c:v>0.72303199446261579</c:v>
                  </c:pt>
                </c:numCache>
              </c:numRef>
            </c:plus>
            <c:minus>
              <c:numRef>
                <c:f>WindTunnelData!$CM$40:$CM$55</c:f>
                <c:numCache>
                  <c:formatCode>General</c:formatCode>
                  <c:ptCount val="16"/>
                  <c:pt idx="0">
                    <c:v>-6.5212158463694131E-2</c:v>
                  </c:pt>
                  <c:pt idx="1">
                    <c:v>1.4904080438115295</c:v>
                  </c:pt>
                  <c:pt idx="2">
                    <c:v>2.812013510584678</c:v>
                  </c:pt>
                  <c:pt idx="3">
                    <c:v>2.7749938019111342</c:v>
                  </c:pt>
                  <c:pt idx="4">
                    <c:v>1.9050142249725326</c:v>
                  </c:pt>
                  <c:pt idx="5">
                    <c:v>1.9421564544017589</c:v>
                  </c:pt>
                  <c:pt idx="6">
                    <c:v>1.3624719495324507</c:v>
                  </c:pt>
                  <c:pt idx="7">
                    <c:v>1.2155340871594373</c:v>
                  </c:pt>
                  <c:pt idx="8">
                    <c:v>1.10039398199849</c:v>
                  </c:pt>
                  <c:pt idx="9">
                    <c:v>0.95026322627934745</c:v>
                  </c:pt>
                  <c:pt idx="10">
                    <c:v>1.4167684582584024</c:v>
                  </c:pt>
                  <c:pt idx="11">
                    <c:v>1.0145008635634449</c:v>
                  </c:pt>
                  <c:pt idx="12">
                    <c:v>0.77460013252193205</c:v>
                  </c:pt>
                  <c:pt idx="13">
                    <c:v>0.83960294625771736</c:v>
                  </c:pt>
                  <c:pt idx="14">
                    <c:v>0.68001679727385844</c:v>
                  </c:pt>
                  <c:pt idx="15">
                    <c:v>0.72303199446261579</c:v>
                  </c:pt>
                </c:numCache>
              </c:numRef>
            </c:minus>
            <c:spPr>
              <a:noFill/>
              <a:ln w="6350" cap="flat" cmpd="sng" algn="ctr">
                <a:solidFill>
                  <a:srgbClr val="00C800"/>
                </a:solidFill>
                <a:round/>
              </a:ln>
              <a:effectLst/>
            </c:spPr>
          </c:errBars>
          <c:x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xVal>
          <c:yVal>
            <c:numRef>
              <c:f>WindTunnelData!$CL$40:$CL$55</c:f>
              <c:numCache>
                <c:formatCode>General</c:formatCode>
                <c:ptCount val="16"/>
                <c:pt idx="0">
                  <c:v>-2.6339964257917359</c:v>
                </c:pt>
                <c:pt idx="1">
                  <c:v>2.7369801026529648</c:v>
                </c:pt>
                <c:pt idx="2">
                  <c:v>8.6425683609778012</c:v>
                </c:pt>
                <c:pt idx="3">
                  <c:v>11.017998509262856</c:v>
                </c:pt>
                <c:pt idx="4">
                  <c:v>12.257034988493089</c:v>
                </c:pt>
                <c:pt idx="5">
                  <c:v>11.198304113965557</c:v>
                </c:pt>
                <c:pt idx="6">
                  <c:v>9.9990946842123023</c:v>
                </c:pt>
                <c:pt idx="7">
                  <c:v>9.4813408662010144</c:v>
                </c:pt>
                <c:pt idx="8">
                  <c:v>8.7022957650960215</c:v>
                </c:pt>
                <c:pt idx="9">
                  <c:v>8.1630986266833379</c:v>
                </c:pt>
                <c:pt idx="10">
                  <c:v>5.9054644770820435</c:v>
                </c:pt>
                <c:pt idx="11">
                  <c:v>5.3786496532382362</c:v>
                </c:pt>
                <c:pt idx="12">
                  <c:v>4.3259543018050968</c:v>
                </c:pt>
                <c:pt idx="13">
                  <c:v>3.4351783124958573</c:v>
                </c:pt>
                <c:pt idx="14">
                  <c:v>2.5756469015941925</c:v>
                </c:pt>
                <c:pt idx="15">
                  <c:v>2.5615935793149363</c:v>
                </c:pt>
              </c:numCache>
            </c:numRef>
          </c:yVal>
          <c:smooth val="1"/>
          <c:extLst>
            <c:ext xmlns:c16="http://schemas.microsoft.com/office/drawing/2014/chart" uri="{C3380CC4-5D6E-409C-BE32-E72D297353CC}">
              <c16:uniqueId val="{00000008-8CD9-4C86-B166-9640CEF106BB}"/>
            </c:ext>
          </c:extLst>
        </c:ser>
        <c:ser>
          <c:idx val="4"/>
          <c:order val="4"/>
          <c:tx>
            <c:v>Wind tunnel, ΔiH = -2 deg</c:v>
          </c:tx>
          <c:spPr>
            <a:ln w="25400" cap="rnd">
              <a:noFill/>
              <a:round/>
            </a:ln>
            <a:effectLst/>
          </c:spPr>
          <c:marker>
            <c:symbol val="triangle"/>
            <c:size val="6"/>
            <c:spPr>
              <a:noFill/>
              <a:ln w="9525">
                <a:solidFill>
                  <a:srgbClr val="00C800"/>
                </a:solidFill>
              </a:ln>
              <a:effectLst/>
            </c:spPr>
          </c:marker>
          <c:trendline>
            <c:name>Wind tunnel, ΔiH = -2 deg</c:name>
            <c:spPr>
              <a:ln w="15875" cap="rnd">
                <a:solidFill>
                  <a:srgbClr val="00C800"/>
                </a:solidFill>
                <a:prstDash val="lgDashDot"/>
              </a:ln>
              <a:effectLst/>
            </c:spPr>
            <c:trendlineType val="poly"/>
            <c:order val="2"/>
            <c:intercept val="0"/>
            <c:dispRSqr val="0"/>
            <c:dispEq val="0"/>
          </c:trendline>
          <c:x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xVal>
          <c:yVal>
            <c:numRef>
              <c:f>WindTunnelData!$CL$40:$CL$55</c:f>
              <c:numCache>
                <c:formatCode>General</c:formatCode>
                <c:ptCount val="16"/>
                <c:pt idx="0">
                  <c:v>-2.6339964257917359</c:v>
                </c:pt>
                <c:pt idx="1">
                  <c:v>2.7369801026529648</c:v>
                </c:pt>
                <c:pt idx="2">
                  <c:v>8.6425683609778012</c:v>
                </c:pt>
                <c:pt idx="3">
                  <c:v>11.017998509262856</c:v>
                </c:pt>
                <c:pt idx="4">
                  <c:v>12.257034988493089</c:v>
                </c:pt>
                <c:pt idx="5">
                  <c:v>11.198304113965557</c:v>
                </c:pt>
                <c:pt idx="6">
                  <c:v>9.9990946842123023</c:v>
                </c:pt>
                <c:pt idx="7">
                  <c:v>9.4813408662010144</c:v>
                </c:pt>
                <c:pt idx="8">
                  <c:v>8.7022957650960215</c:v>
                </c:pt>
                <c:pt idx="9">
                  <c:v>8.1630986266833379</c:v>
                </c:pt>
                <c:pt idx="10">
                  <c:v>5.9054644770820435</c:v>
                </c:pt>
                <c:pt idx="11">
                  <c:v>5.3786496532382362</c:v>
                </c:pt>
                <c:pt idx="12">
                  <c:v>4.3259543018050968</c:v>
                </c:pt>
                <c:pt idx="13">
                  <c:v>3.4351783124958573</c:v>
                </c:pt>
                <c:pt idx="14">
                  <c:v>2.5756469015941925</c:v>
                </c:pt>
                <c:pt idx="15">
                  <c:v>2.5615935793149363</c:v>
                </c:pt>
              </c:numCache>
            </c:numRef>
          </c:yVal>
          <c:smooth val="1"/>
          <c:extLst>
            <c:ext xmlns:c16="http://schemas.microsoft.com/office/drawing/2014/chart" uri="{C3380CC4-5D6E-409C-BE32-E72D297353CC}">
              <c16:uniqueId val="{0000000A-8CD9-4C86-B166-9640CEF106BB}"/>
            </c:ext>
          </c:extLst>
        </c:ser>
        <c:ser>
          <c:idx val="5"/>
          <c:order val="5"/>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B-8CD9-4C86-B166-9640CEF106BB}"/>
            </c:ext>
          </c:extLst>
        </c:ser>
        <c:ser>
          <c:idx val="6"/>
          <c:order val="6"/>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xmlns:c15="http://schemas.microsoft.com/office/drawing/2012/chart">
            <c:ext xmlns:c16="http://schemas.microsoft.com/office/drawing/2014/chart" uri="{C3380CC4-5D6E-409C-BE32-E72D297353CC}">
              <c16:uniqueId val="{0000000C-8CD9-4C86-B166-9640CEF106BB}"/>
            </c:ext>
          </c:extLst>
        </c:ser>
        <c:ser>
          <c:idx val="7"/>
          <c:order val="7"/>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D-8CD9-4C86-B166-9640CEF106BB}"/>
            </c:ext>
          </c:extLst>
        </c:ser>
        <c:dLbls>
          <c:showLegendKey val="0"/>
          <c:showVal val="0"/>
          <c:showCatName val="0"/>
          <c:showSerName val="0"/>
          <c:showPercent val="0"/>
          <c:showBubbleSize val="0"/>
        </c:dLbls>
        <c:axId val="689813263"/>
        <c:axId val="689819023"/>
        <c:extLst/>
      </c:scatterChart>
      <c:valAx>
        <c:axId val="689813263"/>
        <c:scaling>
          <c:orientation val="minMax"/>
          <c:max val="1"/>
          <c:min val="-0.1"/>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L</a:t>
                </a:r>
                <a:endParaRPr lang="en-MY" sz="1800">
                  <a:solidFill>
                    <a:schemeClr val="tx1"/>
                  </a:solidFill>
                </a:endParaRPr>
              </a:p>
            </c:rich>
          </c:tx>
          <c:layout>
            <c:manualLayout>
              <c:xMode val="edge"/>
              <c:yMode val="edge"/>
              <c:x val="0.94070598969507346"/>
              <c:y val="0.6900932932526369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9023"/>
        <c:crosses val="autoZero"/>
        <c:crossBetween val="midCat"/>
        <c:majorUnit val="0.1"/>
        <c:minorUnit val="5.000000000000001E-2"/>
      </c:valAx>
      <c:valAx>
        <c:axId val="689819023"/>
        <c:scaling>
          <c:orientation val="minMax"/>
          <c:max val="25"/>
        </c:scaling>
        <c:delete val="0"/>
        <c:axPos val="l"/>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b="0" i="0" u="none" strike="noStrike" kern="1200" baseline="30000">
                    <a:solidFill>
                      <a:schemeClr val="tx1"/>
                    </a:solidFill>
                  </a:rPr>
                  <a:t>L</a:t>
                </a:r>
                <a:r>
                  <a:rPr lang="en-US" sz="1800" b="0" i="0" u="none" strike="noStrike" kern="1200" baseline="0">
                    <a:solidFill>
                      <a:schemeClr val="tx1"/>
                    </a:solidFill>
                  </a:rPr>
                  <a:t>/</a:t>
                </a:r>
                <a:r>
                  <a:rPr lang="en-US" sz="1800" b="0" i="0" u="none" strike="noStrike" kern="1200" baseline="-25000">
                    <a:solidFill>
                      <a:schemeClr val="tx1"/>
                    </a:solidFill>
                  </a:rPr>
                  <a:t>D</a:t>
                </a:r>
                <a:r>
                  <a:rPr lang="en-US" sz="1800" b="0" i="0" u="none" strike="noStrike" kern="1200" baseline="0">
                    <a:solidFill>
                      <a:schemeClr val="tx1"/>
                    </a:solidFill>
                  </a:rPr>
                  <a:t> </a:t>
                </a:r>
                <a:endParaRPr lang="en-MY" sz="1800">
                  <a:solidFill>
                    <a:schemeClr val="tx1"/>
                  </a:solidFill>
                </a:endParaRPr>
              </a:p>
            </c:rich>
          </c:tx>
          <c:layout>
            <c:manualLayout>
              <c:xMode val="edge"/>
              <c:yMode val="edge"/>
              <c:x val="1.6688197693609033E-3"/>
              <c:y val="0.35261442218838046"/>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3263"/>
        <c:crosses val="autoZero"/>
        <c:crossBetween val="midCat"/>
        <c:majorUnit val="2.5"/>
      </c:valAx>
      <c:spPr>
        <a:noFill/>
        <a:ln>
          <a:noFill/>
        </a:ln>
        <a:effectLst/>
      </c:spPr>
    </c:plotArea>
    <c:legend>
      <c:legendPos val="r"/>
      <c:legendEntry>
        <c:idx val="3"/>
        <c:delete val="1"/>
      </c:legendEntry>
      <c:legendEntry>
        <c:idx val="5"/>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6"/>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7"/>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10"/>
        <c:delete val="1"/>
      </c:legendEntry>
      <c:legendEntry>
        <c:idx val="12"/>
        <c:delete val="1"/>
      </c:legendEntry>
      <c:layout>
        <c:manualLayout>
          <c:xMode val="edge"/>
          <c:yMode val="edge"/>
          <c:x val="0.29062887270885851"/>
          <c:y val="0.61073388981120613"/>
          <c:w val="0.32193794755162491"/>
          <c:h val="0.3861771971606736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 vs AoA Trim test (Tarek)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864023426622417E-2"/>
          <c:y val="1.9775709911272255E-2"/>
          <c:w val="0.87910781780160796"/>
          <c:h val="0.70687297703318708"/>
        </c:manualLayout>
      </c:layout>
      <c:scatterChart>
        <c:scatterStyle val="lineMarker"/>
        <c:varyColors val="0"/>
        <c:ser>
          <c:idx val="0"/>
          <c:order val="0"/>
          <c:tx>
            <c:v>Cl vs AoA Trim test </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FlightSimData!$I$70:$I$87</c:f>
              <c:numCache>
                <c:formatCode>General</c:formatCode>
                <c:ptCount val="18"/>
                <c:pt idx="0">
                  <c:v>-1.7</c:v>
                </c:pt>
                <c:pt idx="1">
                  <c:v>-1.5</c:v>
                </c:pt>
                <c:pt idx="2">
                  <c:v>-1.3</c:v>
                </c:pt>
                <c:pt idx="3">
                  <c:v>-0.9</c:v>
                </c:pt>
                <c:pt idx="4">
                  <c:v>-0.5</c:v>
                </c:pt>
                <c:pt idx="5">
                  <c:v>0.1</c:v>
                </c:pt>
                <c:pt idx="6">
                  <c:v>-1.7</c:v>
                </c:pt>
                <c:pt idx="7">
                  <c:v>-1.5</c:v>
                </c:pt>
                <c:pt idx="8">
                  <c:v>-1.1000000000000001</c:v>
                </c:pt>
                <c:pt idx="9">
                  <c:v>-0.8</c:v>
                </c:pt>
                <c:pt idx="10">
                  <c:v>-0.2</c:v>
                </c:pt>
                <c:pt idx="11">
                  <c:v>0.2</c:v>
                </c:pt>
                <c:pt idx="12">
                  <c:v>-1.4</c:v>
                </c:pt>
                <c:pt idx="13">
                  <c:v>-1.6</c:v>
                </c:pt>
                <c:pt idx="14">
                  <c:v>-1</c:v>
                </c:pt>
                <c:pt idx="15">
                  <c:v>-0.4</c:v>
                </c:pt>
                <c:pt idx="16">
                  <c:v>-0.5</c:v>
                </c:pt>
                <c:pt idx="17">
                  <c:v>0</c:v>
                </c:pt>
              </c:numCache>
            </c:numRef>
          </c:xVal>
          <c:yVal>
            <c:numRef>
              <c:f>FlightSimData!$S$70:$S$87</c:f>
              <c:numCache>
                <c:formatCode>General</c:formatCode>
                <c:ptCount val="18"/>
                <c:pt idx="0">
                  <c:v>6.2409625365696435E-2</c:v>
                </c:pt>
                <c:pt idx="1">
                  <c:v>8.221695458867774E-2</c:v>
                </c:pt>
                <c:pt idx="2">
                  <c:v>0.10743281591186328</c:v>
                </c:pt>
                <c:pt idx="3">
                  <c:v>0.14154953319607821</c:v>
                </c:pt>
                <c:pt idx="4">
                  <c:v>0.17742188279355167</c:v>
                </c:pt>
                <c:pt idx="5">
                  <c:v>0.23785150003915551</c:v>
                </c:pt>
                <c:pt idx="6">
                  <c:v>6.2009239032486112E-2</c:v>
                </c:pt>
                <c:pt idx="7">
                  <c:v>8.230056112471347E-2</c:v>
                </c:pt>
                <c:pt idx="8">
                  <c:v>0.1078925404671665</c:v>
                </c:pt>
                <c:pt idx="9">
                  <c:v>0.14122007857538413</c:v>
                </c:pt>
                <c:pt idx="10">
                  <c:v>0.18625587144305442</c:v>
                </c:pt>
                <c:pt idx="11">
                  <c:v>0.23759837183612512</c:v>
                </c:pt>
                <c:pt idx="12">
                  <c:v>6.228202265694651E-2</c:v>
                </c:pt>
                <c:pt idx="13">
                  <c:v>8.2846162493322315E-2</c:v>
                </c:pt>
                <c:pt idx="14">
                  <c:v>0.10945456796581098</c:v>
                </c:pt>
                <c:pt idx="15">
                  <c:v>0.14343172176821734</c:v>
                </c:pt>
                <c:pt idx="16">
                  <c:v>0.1827309730516373</c:v>
                </c:pt>
                <c:pt idx="17">
                  <c:v>0.22023141021972498</c:v>
                </c:pt>
              </c:numCache>
            </c:numRef>
          </c:yVal>
          <c:smooth val="0"/>
          <c:extLst>
            <c:ext xmlns:c16="http://schemas.microsoft.com/office/drawing/2014/chart" uri="{C3380CC4-5D6E-409C-BE32-E72D297353CC}">
              <c16:uniqueId val="{00000000-25D5-784F-BF4B-3FAE629FC387}"/>
            </c:ext>
          </c:extLst>
        </c:ser>
        <c:dLbls>
          <c:showLegendKey val="0"/>
          <c:showVal val="0"/>
          <c:showCatName val="0"/>
          <c:showSerName val="0"/>
          <c:showPercent val="0"/>
          <c:showBubbleSize val="0"/>
        </c:dLbls>
        <c:axId val="853652416"/>
        <c:axId val="829790784"/>
      </c:scatterChart>
      <c:valAx>
        <c:axId val="853652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Angle</a:t>
                </a:r>
                <a:r>
                  <a:rPr lang="en-US" baseline="0"/>
                  <a:t> of attack (degrees)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90784"/>
        <c:crosses val="autoZero"/>
        <c:crossBetween val="midCat"/>
      </c:valAx>
      <c:valAx>
        <c:axId val="82979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Coefficient</a:t>
                </a:r>
                <a:r>
                  <a:rPr lang="en-US" baseline="0"/>
                  <a:t> of lift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65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C</a:t>
            </a:r>
            <a:r>
              <a:rPr lang="en-US" sz="2000" baseline="-25000">
                <a:solidFill>
                  <a:schemeClr val="tx1"/>
                </a:solidFill>
              </a:rPr>
              <a:t>D</a:t>
            </a:r>
            <a:r>
              <a:rPr lang="en-US" sz="2000" baseline="0">
                <a:solidFill>
                  <a:schemeClr val="tx1"/>
                </a:solidFill>
              </a:rPr>
              <a:t> vs C</a:t>
            </a:r>
            <a:r>
              <a:rPr lang="en-US" sz="2000" baseline="-25000">
                <a:solidFill>
                  <a:schemeClr val="tx1"/>
                </a:solidFill>
              </a:rPr>
              <a:t>L</a:t>
            </a:r>
            <a:r>
              <a:rPr lang="en-US" sz="2000" baseline="30000">
                <a:solidFill>
                  <a:schemeClr val="tx1"/>
                </a:solidFill>
              </a:rPr>
              <a:t>2</a:t>
            </a:r>
            <a:endParaRPr lang="en-US" sz="2000">
              <a:solidFill>
                <a:schemeClr val="tx1"/>
              </a:solidFill>
            </a:endParaRPr>
          </a:p>
        </c:rich>
      </c:tx>
      <c:layout>
        <c:manualLayout>
          <c:xMode val="edge"/>
          <c:yMode val="edge"/>
          <c:x val="0.4323578935499563"/>
          <c:y val="8.0282357899172947E-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2.867140232767084E-2"/>
          <c:y val="1.7495924524616773E-2"/>
          <c:w val="0.92565026460984123"/>
          <c:h val="0.92566057988485684"/>
        </c:manualLayout>
      </c:layout>
      <c:scatterChart>
        <c:scatterStyle val="smoothMarker"/>
        <c:varyColors val="0"/>
        <c:ser>
          <c:idx val="0"/>
          <c:order val="0"/>
          <c:tx>
            <c:v>Flight test</c:v>
          </c:tx>
          <c:spPr>
            <a:ln w="19050" cap="rnd">
              <a:noFill/>
              <a:round/>
            </a:ln>
            <a:effectLst/>
          </c:spPr>
          <c:marker>
            <c:symbol val="x"/>
            <c:size val="6"/>
            <c:spPr>
              <a:noFill/>
              <a:ln w="9525">
                <a:solidFill>
                  <a:schemeClr val="tx1"/>
                </a:solidFill>
              </a:ln>
              <a:effectLst/>
            </c:spPr>
          </c:marker>
          <c:errBars>
            <c:errDir val="x"/>
            <c:errBarType val="both"/>
            <c:errValType val="cust"/>
            <c:noEndCap val="0"/>
            <c:plus>
              <c:numRef>
                <c:f>FlightSimData!$AL$52:$AL$64</c:f>
                <c:numCache>
                  <c:formatCode>General</c:formatCode>
                  <c:ptCount val="13"/>
                  <c:pt idx="0">
                    <c:v>1.9280837929631048E-2</c:v>
                  </c:pt>
                  <c:pt idx="1">
                    <c:v>7.8076942741713961E-3</c:v>
                  </c:pt>
                  <c:pt idx="2">
                    <c:v>4.0654881615254188E-3</c:v>
                  </c:pt>
                  <c:pt idx="3">
                    <c:v>2.0904366746878275E-3</c:v>
                  </c:pt>
                  <c:pt idx="4">
                    <c:v>1.5095765315562969E-3</c:v>
                  </c:pt>
                  <c:pt idx="5">
                    <c:v>1.1628226131684064E-3</c:v>
                  </c:pt>
                  <c:pt idx="6">
                    <c:v>7.664162344572672E-4</c:v>
                  </c:pt>
                  <c:pt idx="7">
                    <c:v>7.6645505743412558E-4</c:v>
                  </c:pt>
                  <c:pt idx="8">
                    <c:v>6.8958737308804003E-4</c:v>
                  </c:pt>
                  <c:pt idx="9">
                    <c:v>4.6942371251121269E-4</c:v>
                  </c:pt>
                  <c:pt idx="10">
                    <c:v>3.6931973021985356E-4</c:v>
                  </c:pt>
                  <c:pt idx="11">
                    <c:v>2.974360702955162E-4</c:v>
                  </c:pt>
                  <c:pt idx="12">
                    <c:v>2.2032038735451034E-4</c:v>
                  </c:pt>
                </c:numCache>
              </c:numRef>
            </c:plus>
            <c:minus>
              <c:numRef>
                <c:f>FlightSimData!$AL$52:$AL$64</c:f>
                <c:numCache>
                  <c:formatCode>General</c:formatCode>
                  <c:ptCount val="13"/>
                  <c:pt idx="0">
                    <c:v>1.9280837929631048E-2</c:v>
                  </c:pt>
                  <c:pt idx="1">
                    <c:v>7.8076942741713961E-3</c:v>
                  </c:pt>
                  <c:pt idx="2">
                    <c:v>4.0654881615254188E-3</c:v>
                  </c:pt>
                  <c:pt idx="3">
                    <c:v>2.0904366746878275E-3</c:v>
                  </c:pt>
                  <c:pt idx="4">
                    <c:v>1.5095765315562969E-3</c:v>
                  </c:pt>
                  <c:pt idx="5">
                    <c:v>1.1628226131684064E-3</c:v>
                  </c:pt>
                  <c:pt idx="6">
                    <c:v>7.664162344572672E-4</c:v>
                  </c:pt>
                  <c:pt idx="7">
                    <c:v>7.6645505743412558E-4</c:v>
                  </c:pt>
                  <c:pt idx="8">
                    <c:v>6.8958737308804003E-4</c:v>
                  </c:pt>
                  <c:pt idx="9">
                    <c:v>4.6942371251121269E-4</c:v>
                  </c:pt>
                  <c:pt idx="10">
                    <c:v>3.6931973021985356E-4</c:v>
                  </c:pt>
                  <c:pt idx="11">
                    <c:v>2.974360702955162E-4</c:v>
                  </c:pt>
                  <c:pt idx="12">
                    <c:v>2.2032038735451034E-4</c:v>
                  </c:pt>
                </c:numCache>
              </c:numRef>
            </c:minus>
            <c:spPr>
              <a:noFill/>
              <a:ln w="6350" cap="flat" cmpd="sng" algn="ctr">
                <a:solidFill>
                  <a:schemeClr val="tx1"/>
                </a:solidFill>
                <a:round/>
              </a:ln>
              <a:effectLst/>
            </c:spPr>
          </c:errBars>
          <c:errBars>
            <c:errDir val="y"/>
            <c:errBarType val="both"/>
            <c:errValType val="cust"/>
            <c:noEndCap val="0"/>
            <c:pl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plus>
            <c:min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minus>
            <c:spPr>
              <a:noFill/>
              <a:ln w="6350" cap="flat" cmpd="sng" algn="ctr">
                <a:solidFill>
                  <a:schemeClr val="tx1"/>
                </a:solidFill>
                <a:round/>
              </a:ln>
              <a:effectLst/>
            </c:spPr>
          </c:errBars>
          <c:xVal>
            <c:numRef>
              <c:f>FlightSimData!$AK$52:$AK$64</c:f>
              <c:numCache>
                <c:formatCode>General</c:formatCode>
                <c:ptCount val="13"/>
                <c:pt idx="0">
                  <c:v>0.48176252951864906</c:v>
                </c:pt>
                <c:pt idx="1">
                  <c:v>0.23408071842727521</c:v>
                </c:pt>
                <c:pt idx="2">
                  <c:v>0.1421918051019545</c:v>
                </c:pt>
                <c:pt idx="3">
                  <c:v>8.3550206308702218E-2</c:v>
                </c:pt>
                <c:pt idx="4">
                  <c:v>6.4101553705563682E-2</c:v>
                </c:pt>
                <c:pt idx="5">
                  <c:v>5.227972407645505E-2</c:v>
                </c:pt>
                <c:pt idx="6">
                  <c:v>3.7325904031797363E-2</c:v>
                </c:pt>
                <c:pt idx="7">
                  <c:v>3.7327795717200143E-2</c:v>
                </c:pt>
                <c:pt idx="8">
                  <c:v>3.4444819340661931E-2</c:v>
                </c:pt>
                <c:pt idx="9">
                  <c:v>2.5204032693874594E-2</c:v>
                </c:pt>
                <c:pt idx="10">
                  <c:v>2.0288480028626741E-2</c:v>
                </c:pt>
                <c:pt idx="11">
                  <c:v>1.7453438605703451E-2</c:v>
                </c:pt>
                <c:pt idx="12">
                  <c:v>1.3752559586288817E-2</c:v>
                </c:pt>
              </c:numCache>
            </c:numRef>
          </c:xVal>
          <c:yVal>
            <c:numRef>
              <c:f>FlightSimData!$AE$52:$AE$64</c:f>
              <c:numCache>
                <c:formatCode>General</c:formatCode>
                <c:ptCount val="13"/>
                <c:pt idx="0">
                  <c:v>3.6284670493903041E-2</c:v>
                </c:pt>
                <c:pt idx="1">
                  <c:v>2.3224846879241843E-2</c:v>
                </c:pt>
                <c:pt idx="2">
                  <c:v>1.9304170652078595E-2</c:v>
                </c:pt>
                <c:pt idx="3">
                  <c:v>1.4770528939999533E-2</c:v>
                </c:pt>
                <c:pt idx="4">
                  <c:v>1.5566759215883231E-2</c:v>
                </c:pt>
                <c:pt idx="5">
                  <c:v>1.3058823472657599E-2</c:v>
                </c:pt>
                <c:pt idx="6">
                  <c:v>1.3993885106919597E-2</c:v>
                </c:pt>
                <c:pt idx="7">
                  <c:v>1.960200339107087E-2</c:v>
                </c:pt>
                <c:pt idx="8">
                  <c:v>1.4098960193129067E-2</c:v>
                </c:pt>
                <c:pt idx="9">
                  <c:v>1.4566911533863951E-2</c:v>
                </c:pt>
                <c:pt idx="10">
                  <c:v>1.364348326922564E-2</c:v>
                </c:pt>
                <c:pt idx="11">
                  <c:v>1.6785980262405555E-2</c:v>
                </c:pt>
                <c:pt idx="12">
                  <c:v>2.1164682034744926E-2</c:v>
                </c:pt>
              </c:numCache>
            </c:numRef>
          </c:yVal>
          <c:smooth val="1"/>
          <c:extLst>
            <c:ext xmlns:c16="http://schemas.microsoft.com/office/drawing/2014/chart" uri="{C3380CC4-5D6E-409C-BE32-E72D297353CC}">
              <c16:uniqueId val="{00000000-557E-47E9-9A6E-E420359A8035}"/>
            </c:ext>
          </c:extLst>
        </c:ser>
        <c:ser>
          <c:idx val="1"/>
          <c:order val="1"/>
          <c:tx>
            <c:v>Wind tunnel, No tail</c:v>
          </c:tx>
          <c:spPr>
            <a:ln w="25400" cap="rnd">
              <a:noFill/>
              <a:round/>
            </a:ln>
            <a:effectLst/>
          </c:spPr>
          <c:marker>
            <c:symbol val="circle"/>
            <c:size val="5"/>
            <c:spPr>
              <a:noFill/>
              <a:ln w="9525">
                <a:solidFill>
                  <a:srgbClr val="FF0000"/>
                </a:solidFill>
              </a:ln>
              <a:effectLst/>
            </c:spPr>
          </c:marker>
          <c:errBars>
            <c:errDir val="x"/>
            <c:errBarType val="both"/>
            <c:errValType val="cust"/>
            <c:noEndCap val="0"/>
            <c:plus>
              <c:numRef>
                <c:f>WindTunnelData!$CP$16:$CP$23</c:f>
                <c:numCache>
                  <c:formatCode>General</c:formatCode>
                  <c:ptCount val="8"/>
                  <c:pt idx="0">
                    <c:v>-1.7987668549181409E-4</c:v>
                  </c:pt>
                  <c:pt idx="1">
                    <c:v>4.1621141492175868E-3</c:v>
                  </c:pt>
                  <c:pt idx="2">
                    <c:v>6.3013608593957366E-3</c:v>
                  </c:pt>
                  <c:pt idx="3">
                    <c:v>1.2266644816616743E-2</c:v>
                  </c:pt>
                  <c:pt idx="4">
                    <c:v>1.6992904023442536E-2</c:v>
                  </c:pt>
                  <c:pt idx="5">
                    <c:v>1.9578434667812859E-2</c:v>
                  </c:pt>
                  <c:pt idx="6">
                    <c:v>3.2693914316626889E-2</c:v>
                  </c:pt>
                  <c:pt idx="7">
                    <c:v>3.0116078202704163E-2</c:v>
                  </c:pt>
                </c:numCache>
              </c:numRef>
            </c:plus>
            <c:minus>
              <c:numRef>
                <c:f>WindTunnelData!$CP$16:$CP$23</c:f>
                <c:numCache>
                  <c:formatCode>General</c:formatCode>
                  <c:ptCount val="8"/>
                  <c:pt idx="0">
                    <c:v>-1.7987668549181409E-4</c:v>
                  </c:pt>
                  <c:pt idx="1">
                    <c:v>4.1621141492175868E-3</c:v>
                  </c:pt>
                  <c:pt idx="2">
                    <c:v>6.3013608593957366E-3</c:v>
                  </c:pt>
                  <c:pt idx="3">
                    <c:v>1.2266644816616743E-2</c:v>
                  </c:pt>
                  <c:pt idx="4">
                    <c:v>1.6992904023442536E-2</c:v>
                  </c:pt>
                  <c:pt idx="5">
                    <c:v>1.9578434667812859E-2</c:v>
                  </c:pt>
                  <c:pt idx="6">
                    <c:v>3.2693914316626889E-2</c:v>
                  </c:pt>
                  <c:pt idx="7">
                    <c:v>3.0116078202704163E-2</c:v>
                  </c:pt>
                </c:numCache>
              </c:numRef>
            </c:minus>
            <c:spPr>
              <a:noFill/>
              <a:ln w="6350" cap="flat" cmpd="sng" algn="ctr">
                <a:solidFill>
                  <a:srgbClr val="FF0000"/>
                </a:solidFill>
                <a:round/>
              </a:ln>
              <a:effectLst/>
            </c:spPr>
          </c:errBars>
          <c:errBars>
            <c:errDir val="y"/>
            <c:errBarType val="both"/>
            <c:errValType val="cust"/>
            <c:noEndCap val="0"/>
            <c:pl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plus>
            <c:min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minus>
            <c:spPr>
              <a:noFill/>
              <a:ln w="6350" cap="flat" cmpd="sng" algn="ctr">
                <a:solidFill>
                  <a:srgbClr val="FF0000"/>
                </a:solidFill>
                <a:round/>
              </a:ln>
              <a:effectLst/>
            </c:spPr>
          </c:errBars>
          <c:xVal>
            <c:numRef>
              <c:f>WindTunnelData!$CO$16:$CO$23</c:f>
              <c:numCache>
                <c:formatCode>General</c:formatCode>
                <c:ptCount val="8"/>
                <c:pt idx="0">
                  <c:v>3.6710127684499752E-5</c:v>
                </c:pt>
                <c:pt idx="1">
                  <c:v>1.7701107821622902E-2</c:v>
                </c:pt>
                <c:pt idx="2">
                  <c:v>7.5958100559847155E-2</c:v>
                </c:pt>
                <c:pt idx="3">
                  <c:v>0.17418457182643937</c:v>
                </c:pt>
                <c:pt idx="4">
                  <c:v>0.30436238711384245</c:v>
                </c:pt>
                <c:pt idx="5">
                  <c:v>0.44316240412800617</c:v>
                </c:pt>
                <c:pt idx="6">
                  <c:v>0.57392682557037045</c:v>
                </c:pt>
                <c:pt idx="7">
                  <c:v>0.70581336713223275</c:v>
                </c:pt>
              </c:numCache>
            </c:numRef>
          </c:xVal>
          <c:yVal>
            <c:numRef>
              <c:f>WindTunnelData!$CF$16:$CF$23</c:f>
              <c:numCache>
                <c:formatCode>General</c:formatCode>
                <c:ptCount val="8"/>
                <c:pt idx="0">
                  <c:v>2.2788575242373904E-2</c:v>
                </c:pt>
                <c:pt idx="1">
                  <c:v>2.1499657916776167E-2</c:v>
                </c:pt>
                <c:pt idx="2">
                  <c:v>2.4315835428577383E-2</c:v>
                </c:pt>
                <c:pt idx="3">
                  <c:v>3.2029448189546388E-2</c:v>
                </c:pt>
                <c:pt idx="4">
                  <c:v>4.133202828660941E-2</c:v>
                </c:pt>
                <c:pt idx="5">
                  <c:v>5.5182342468022325E-2</c:v>
                </c:pt>
                <c:pt idx="6">
                  <c:v>6.8997923703347813E-2</c:v>
                </c:pt>
                <c:pt idx="7">
                  <c:v>9.2338968303444555E-2</c:v>
                </c:pt>
              </c:numCache>
            </c:numRef>
          </c:yVal>
          <c:smooth val="1"/>
          <c:extLst>
            <c:ext xmlns:c16="http://schemas.microsoft.com/office/drawing/2014/chart" uri="{C3380CC4-5D6E-409C-BE32-E72D297353CC}">
              <c16:uniqueId val="{00000001-557E-47E9-9A6E-E420359A8035}"/>
            </c:ext>
          </c:extLst>
        </c:ser>
        <c:ser>
          <c:idx val="2"/>
          <c:order val="2"/>
          <c:tx>
            <c:v>Wind tunnel, ΔiH = +1 deg</c:v>
          </c:tx>
          <c:spPr>
            <a:ln w="25400" cap="rnd">
              <a:noFill/>
              <a:round/>
            </a:ln>
            <a:effectLst/>
          </c:spPr>
          <c:marker>
            <c:symbol val="square"/>
            <c:size val="5"/>
            <c:spPr>
              <a:noFill/>
              <a:ln w="9525">
                <a:solidFill>
                  <a:srgbClr val="0000FF"/>
                </a:solidFill>
              </a:ln>
              <a:effectLst/>
            </c:spPr>
          </c:marker>
          <c:errBars>
            <c:errDir val="x"/>
            <c:errBarType val="both"/>
            <c:errValType val="cust"/>
            <c:noEndCap val="0"/>
            <c:plus>
              <c:numRef>
                <c:f>WindTunnelData!$CP$28:$CP$35</c:f>
                <c:numCache>
                  <c:formatCode>General</c:formatCode>
                  <c:ptCount val="8"/>
                  <c:pt idx="0">
                    <c:v>-7.7293432230337829E-4</c:v>
                  </c:pt>
                  <c:pt idx="1">
                    <c:v>4.074424996413006E-3</c:v>
                  </c:pt>
                  <c:pt idx="2">
                    <c:v>9.5929310640025401E-3</c:v>
                  </c:pt>
                  <c:pt idx="3">
                    <c:v>1.3468771394686845E-2</c:v>
                  </c:pt>
                  <c:pt idx="4">
                    <c:v>1.7201120181636755E-2</c:v>
                  </c:pt>
                  <c:pt idx="5">
                    <c:v>2.0166657741494422E-2</c:v>
                  </c:pt>
                  <c:pt idx="6">
                    <c:v>2.7123591579250761E-2</c:v>
                  </c:pt>
                  <c:pt idx="7">
                    <c:v>2.90081063280553E-2</c:v>
                  </c:pt>
                </c:numCache>
              </c:numRef>
            </c:plus>
            <c:minus>
              <c:numRef>
                <c:f>WindTunnelData!$CP$28:$CP$35</c:f>
                <c:numCache>
                  <c:formatCode>General</c:formatCode>
                  <c:ptCount val="8"/>
                  <c:pt idx="0">
                    <c:v>-7.7293432230337829E-4</c:v>
                  </c:pt>
                  <c:pt idx="1">
                    <c:v>4.074424996413006E-3</c:v>
                  </c:pt>
                  <c:pt idx="2">
                    <c:v>9.5929310640025401E-3</c:v>
                  </c:pt>
                  <c:pt idx="3">
                    <c:v>1.3468771394686845E-2</c:v>
                  </c:pt>
                  <c:pt idx="4">
                    <c:v>1.7201120181636755E-2</c:v>
                  </c:pt>
                  <c:pt idx="5">
                    <c:v>2.0166657741494422E-2</c:v>
                  </c:pt>
                  <c:pt idx="6">
                    <c:v>2.7123591579250761E-2</c:v>
                  </c:pt>
                  <c:pt idx="7">
                    <c:v>2.90081063280553E-2</c:v>
                  </c:pt>
                </c:numCache>
              </c:numRef>
            </c:minus>
            <c:spPr>
              <a:noFill/>
              <a:ln w="6350" cap="flat" cmpd="sng" algn="ctr">
                <a:solidFill>
                  <a:srgbClr val="0000FF"/>
                </a:solidFill>
                <a:round/>
              </a:ln>
              <a:effectLst/>
            </c:spPr>
          </c:errBars>
          <c:errBars>
            <c:errDir val="y"/>
            <c:errBarType val="both"/>
            <c:errValType val="cust"/>
            <c:noEndCap val="0"/>
            <c:pl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plus>
            <c:min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minus>
            <c:spPr>
              <a:noFill/>
              <a:ln w="6350" cap="flat" cmpd="sng" algn="ctr">
                <a:solidFill>
                  <a:srgbClr val="0000FF"/>
                </a:solidFill>
                <a:round/>
              </a:ln>
              <a:effectLst/>
            </c:spPr>
          </c:errBars>
          <c:xVal>
            <c:numRef>
              <c:f>WindTunnelData!$CO$28:$CO$35</c:f>
              <c:numCache>
                <c:formatCode>General</c:formatCode>
                <c:ptCount val="8"/>
                <c:pt idx="0">
                  <c:v>1.0313028652228519E-3</c:v>
                </c:pt>
                <c:pt idx="1">
                  <c:v>1.838723292881074E-2</c:v>
                </c:pt>
                <c:pt idx="2">
                  <c:v>8.7814441381012756E-2</c:v>
                </c:pt>
                <c:pt idx="3">
                  <c:v>0.21118596371272536</c:v>
                </c:pt>
                <c:pt idx="4">
                  <c:v>0.38577789794566658</c:v>
                </c:pt>
                <c:pt idx="5">
                  <c:v>0.56161693963587322</c:v>
                </c:pt>
                <c:pt idx="6">
                  <c:v>0.73958200789637407</c:v>
                </c:pt>
                <c:pt idx="7">
                  <c:v>0.90956803941810604</c:v>
                </c:pt>
              </c:numCache>
            </c:numRef>
          </c:xVal>
          <c:yVal>
            <c:numRef>
              <c:f>WindTunnelData!$CF$28:$CF$35</c:f>
              <c:numCache>
                <c:formatCode>General</c:formatCode>
                <c:ptCount val="8"/>
                <c:pt idx="0">
                  <c:v>2.6956112712433488E-2</c:v>
                </c:pt>
                <c:pt idx="1">
                  <c:v>2.639970638136184E-2</c:v>
                </c:pt>
                <c:pt idx="2">
                  <c:v>2.9727485529569567E-2</c:v>
                </c:pt>
                <c:pt idx="3">
                  <c:v>3.8063760025211224E-2</c:v>
                </c:pt>
                <c:pt idx="4">
                  <c:v>5.0115161613790635E-2</c:v>
                </c:pt>
                <c:pt idx="5">
                  <c:v>6.5104790445474028E-2</c:v>
                </c:pt>
                <c:pt idx="6">
                  <c:v>8.6509842313949786E-2</c:v>
                </c:pt>
                <c:pt idx="7">
                  <c:v>0.11084509641167141</c:v>
                </c:pt>
              </c:numCache>
            </c:numRef>
          </c:yVal>
          <c:smooth val="1"/>
          <c:extLst>
            <c:ext xmlns:c16="http://schemas.microsoft.com/office/drawing/2014/chart" uri="{C3380CC4-5D6E-409C-BE32-E72D297353CC}">
              <c16:uniqueId val="{00000002-557E-47E9-9A6E-E420359A8035}"/>
            </c:ext>
          </c:extLst>
        </c:ser>
        <c:ser>
          <c:idx val="3"/>
          <c:order val="3"/>
          <c:tx>
            <c:v>Wind tunnel, ΔiH = -2 deg</c:v>
          </c:tx>
          <c:spPr>
            <a:ln w="25400" cap="rnd">
              <a:noFill/>
              <a:round/>
            </a:ln>
            <a:effectLst/>
          </c:spPr>
          <c:marker>
            <c:symbol val="triangle"/>
            <c:size val="6"/>
            <c:spPr>
              <a:noFill/>
              <a:ln w="9525">
                <a:solidFill>
                  <a:srgbClr val="00C800"/>
                </a:solidFill>
              </a:ln>
              <a:effectLst/>
            </c:spPr>
          </c:marker>
          <c:errBars>
            <c:errDir val="x"/>
            <c:errBarType val="both"/>
            <c:errValType val="cust"/>
            <c:noEndCap val="0"/>
            <c:plus>
              <c:numRef>
                <c:f>WindTunnelData!$CP$40:$CP$49</c:f>
                <c:numCache>
                  <c:formatCode>General</c:formatCode>
                  <c:ptCount val="10"/>
                  <c:pt idx="0">
                    <c:v>-3.0755527828746332E-3</c:v>
                  </c:pt>
                  <c:pt idx="1">
                    <c:v>2.754681372571643E-3</c:v>
                  </c:pt>
                  <c:pt idx="2">
                    <c:v>7.5506764411252363E-3</c:v>
                  </c:pt>
                  <c:pt idx="3">
                    <c:v>1.2366853186980532E-2</c:v>
                  </c:pt>
                  <c:pt idx="4">
                    <c:v>1.3539444323238772E-2</c:v>
                  </c:pt>
                  <c:pt idx="5">
                    <c:v>2.3503201312401939E-2</c:v>
                  </c:pt>
                  <c:pt idx="6">
                    <c:v>2.8969101842351536E-2</c:v>
                  </c:pt>
                  <c:pt idx="7">
                    <c:v>3.4599652857075107E-2</c:v>
                  </c:pt>
                  <c:pt idx="8">
                    <c:v>4.0146879710192984E-2</c:v>
                  </c:pt>
                  <c:pt idx="9">
                    <c:v>4.0965758464212763E-2</c:v>
                  </c:pt>
                </c:numCache>
              </c:numRef>
            </c:plus>
            <c:minus>
              <c:numRef>
                <c:f>WindTunnelData!$CP$40:$CP$49</c:f>
                <c:numCache>
                  <c:formatCode>General</c:formatCode>
                  <c:ptCount val="10"/>
                  <c:pt idx="0">
                    <c:v>-3.0755527828746332E-3</c:v>
                  </c:pt>
                  <c:pt idx="1">
                    <c:v>2.754681372571643E-3</c:v>
                  </c:pt>
                  <c:pt idx="2">
                    <c:v>7.5506764411252363E-3</c:v>
                  </c:pt>
                  <c:pt idx="3">
                    <c:v>1.2366853186980532E-2</c:v>
                  </c:pt>
                  <c:pt idx="4">
                    <c:v>1.3539444323238772E-2</c:v>
                  </c:pt>
                  <c:pt idx="5">
                    <c:v>2.3503201312401939E-2</c:v>
                  </c:pt>
                  <c:pt idx="6">
                    <c:v>2.8969101842351536E-2</c:v>
                  </c:pt>
                  <c:pt idx="7">
                    <c:v>3.4599652857075107E-2</c:v>
                  </c:pt>
                  <c:pt idx="8">
                    <c:v>4.0146879710192984E-2</c:v>
                  </c:pt>
                  <c:pt idx="9">
                    <c:v>4.0965758464212763E-2</c:v>
                  </c:pt>
                </c:numCache>
              </c:numRef>
            </c:minus>
            <c:spPr>
              <a:noFill/>
              <a:ln w="6350" cap="flat" cmpd="sng" algn="ctr">
                <a:solidFill>
                  <a:srgbClr val="00C800"/>
                </a:solidFill>
                <a:round/>
              </a:ln>
              <a:effectLst/>
            </c:spPr>
          </c:errBars>
          <c:errBars>
            <c:errDir val="y"/>
            <c:errBarType val="both"/>
            <c:errValType val="cust"/>
            <c:noEndCap val="0"/>
            <c:pl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plus>
            <c:min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minus>
            <c:spPr>
              <a:noFill/>
              <a:ln w="6350" cap="flat" cmpd="sng" algn="ctr">
                <a:solidFill>
                  <a:srgbClr val="00C800"/>
                </a:solidFill>
                <a:round/>
              </a:ln>
              <a:effectLst/>
            </c:spPr>
          </c:errBars>
          <c:xVal>
            <c:numRef>
              <c:f>WindTunnelData!$CO$40:$CO$49</c:f>
              <c:numCache>
                <c:formatCode>General</c:formatCode>
                <c:ptCount val="10"/>
                <c:pt idx="0">
                  <c:v>6.7568839233843325E-3</c:v>
                </c:pt>
                <c:pt idx="1">
                  <c:v>6.0198679694221944E-3</c:v>
                </c:pt>
                <c:pt idx="2">
                  <c:v>6.0719806514543742E-2</c:v>
                </c:pt>
                <c:pt idx="3">
                  <c:v>0.16819823355559885</c:v>
                </c:pt>
                <c:pt idx="4">
                  <c:v>0.31858374268546819</c:v>
                </c:pt>
                <c:pt idx="5">
                  <c:v>0.48990206584504381</c:v>
                </c:pt>
                <c:pt idx="6">
                  <c:v>0.66450779791405501</c:v>
                </c:pt>
                <c:pt idx="7">
                  <c:v>0.76014809679287387</c:v>
                </c:pt>
                <c:pt idx="8">
                  <c:v>0.84247200917877185</c:v>
                </c:pt>
                <c:pt idx="9">
                  <c:v>0.91862821870019251</c:v>
                </c:pt>
              </c:numCache>
            </c:numRef>
          </c:xVal>
          <c:yVal>
            <c:numRef>
              <c:f>WindTunnelData!$CF$40:$CF$49</c:f>
              <c:numCache>
                <c:formatCode>General</c:formatCode>
                <c:ptCount val="10"/>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numCache>
            </c:numRef>
          </c:yVal>
          <c:smooth val="1"/>
          <c:extLst>
            <c:ext xmlns:c16="http://schemas.microsoft.com/office/drawing/2014/chart" uri="{C3380CC4-5D6E-409C-BE32-E72D297353CC}">
              <c16:uniqueId val="{00000003-557E-47E9-9A6E-E420359A8035}"/>
            </c:ext>
          </c:extLst>
        </c:ser>
        <c:ser>
          <c:idx val="5"/>
          <c:order val="4"/>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4-557E-47E9-9A6E-E420359A8035}"/>
            </c:ext>
          </c:extLst>
        </c:ser>
        <c:ser>
          <c:idx val="6"/>
          <c:order val="5"/>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xmlns:c15="http://schemas.microsoft.com/office/drawing/2012/chart">
            <c:ext xmlns:c16="http://schemas.microsoft.com/office/drawing/2014/chart" uri="{C3380CC4-5D6E-409C-BE32-E72D297353CC}">
              <c16:uniqueId val="{00000005-557E-47E9-9A6E-E420359A8035}"/>
            </c:ext>
          </c:extLst>
        </c:ser>
        <c:ser>
          <c:idx val="9"/>
          <c:order val="6"/>
          <c:tx>
            <c:v>FT</c:v>
          </c:tx>
          <c:spPr>
            <a:ln w="25400" cap="rnd">
              <a:noFill/>
              <a:round/>
            </a:ln>
            <a:effectLst/>
          </c:spPr>
          <c:marker>
            <c:symbol val="none"/>
          </c:marker>
          <c:trendline>
            <c:name>Flight test</c:name>
            <c:spPr>
              <a:ln w="9525" cap="rnd">
                <a:solidFill>
                  <a:schemeClr val="tx1"/>
                </a:solidFill>
                <a:prstDash val="solid"/>
              </a:ln>
              <a:effectLst/>
            </c:spPr>
            <c:trendlineType val="linear"/>
            <c:forward val="0.55000000000000004"/>
            <c:backward val="0.15000000000000002"/>
            <c:dispRSqr val="0"/>
            <c:dispEq val="0"/>
          </c:trendline>
          <c:xVal>
            <c:numRef>
              <c:f>FlightSimData!$AK$52:$AK$57</c:f>
              <c:numCache>
                <c:formatCode>General</c:formatCode>
                <c:ptCount val="6"/>
                <c:pt idx="0">
                  <c:v>0.48176252951864906</c:v>
                </c:pt>
                <c:pt idx="1">
                  <c:v>0.23408071842727521</c:v>
                </c:pt>
                <c:pt idx="2">
                  <c:v>0.1421918051019545</c:v>
                </c:pt>
                <c:pt idx="3">
                  <c:v>8.3550206308702218E-2</c:v>
                </c:pt>
                <c:pt idx="4">
                  <c:v>6.4101553705563682E-2</c:v>
                </c:pt>
                <c:pt idx="5">
                  <c:v>5.227972407645505E-2</c:v>
                </c:pt>
              </c:numCache>
            </c:numRef>
          </c:xVal>
          <c:yVal>
            <c:numRef>
              <c:f>FlightSimData!$AE$52:$AE$57</c:f>
              <c:numCache>
                <c:formatCode>General</c:formatCode>
                <c:ptCount val="6"/>
                <c:pt idx="0">
                  <c:v>3.6284670493903041E-2</c:v>
                </c:pt>
                <c:pt idx="1">
                  <c:v>2.3224846879241843E-2</c:v>
                </c:pt>
                <c:pt idx="2">
                  <c:v>1.9304170652078595E-2</c:v>
                </c:pt>
                <c:pt idx="3">
                  <c:v>1.4770528939999533E-2</c:v>
                </c:pt>
                <c:pt idx="4">
                  <c:v>1.5566759215883231E-2</c:v>
                </c:pt>
                <c:pt idx="5">
                  <c:v>1.3058823472657599E-2</c:v>
                </c:pt>
              </c:numCache>
            </c:numRef>
          </c:yVal>
          <c:smooth val="1"/>
          <c:extLst>
            <c:ext xmlns:c16="http://schemas.microsoft.com/office/drawing/2014/chart" uri="{C3380CC4-5D6E-409C-BE32-E72D297353CC}">
              <c16:uniqueId val="{00000007-557E-47E9-9A6E-E420359A8035}"/>
            </c:ext>
          </c:extLst>
        </c:ser>
        <c:ser>
          <c:idx val="8"/>
          <c:order val="7"/>
          <c:tx>
            <c:v>no tail</c:v>
          </c:tx>
          <c:spPr>
            <a:ln w="25400" cap="rnd">
              <a:noFill/>
              <a:round/>
            </a:ln>
            <a:effectLst/>
          </c:spPr>
          <c:marker>
            <c:symbol val="none"/>
          </c:marker>
          <c:trendline>
            <c:name>Wind tunnel, No tail</c:name>
            <c:spPr>
              <a:ln w="19050" cap="rnd">
                <a:solidFill>
                  <a:srgbClr val="FF0000"/>
                </a:solidFill>
                <a:prstDash val="sysDot"/>
              </a:ln>
              <a:effectLst/>
            </c:spPr>
            <c:trendlineType val="linear"/>
            <c:forward val="0.70000000000000007"/>
            <c:backward val="0.12000000000000001"/>
            <c:dispRSqr val="0"/>
            <c:dispEq val="0"/>
          </c:trendline>
          <c:xVal>
            <c:numRef>
              <c:f>WindTunnelData!$CO$17:$CO$20</c:f>
              <c:numCache>
                <c:formatCode>General</c:formatCode>
                <c:ptCount val="4"/>
                <c:pt idx="0">
                  <c:v>1.7701107821622902E-2</c:v>
                </c:pt>
                <c:pt idx="1">
                  <c:v>7.5958100559847155E-2</c:v>
                </c:pt>
                <c:pt idx="2">
                  <c:v>0.17418457182643937</c:v>
                </c:pt>
                <c:pt idx="3">
                  <c:v>0.30436238711384245</c:v>
                </c:pt>
              </c:numCache>
            </c:numRef>
          </c:xVal>
          <c:yVal>
            <c:numRef>
              <c:f>WindTunnelData!$CF$17:$CF$20</c:f>
              <c:numCache>
                <c:formatCode>General</c:formatCode>
                <c:ptCount val="4"/>
                <c:pt idx="0">
                  <c:v>2.1499657916776167E-2</c:v>
                </c:pt>
                <c:pt idx="1">
                  <c:v>2.4315835428577383E-2</c:v>
                </c:pt>
                <c:pt idx="2">
                  <c:v>3.2029448189546388E-2</c:v>
                </c:pt>
                <c:pt idx="3">
                  <c:v>4.133202828660941E-2</c:v>
                </c:pt>
              </c:numCache>
            </c:numRef>
          </c:yVal>
          <c:smooth val="1"/>
          <c:extLst>
            <c:ext xmlns:c16="http://schemas.microsoft.com/office/drawing/2014/chart" uri="{C3380CC4-5D6E-409C-BE32-E72D297353CC}">
              <c16:uniqueId val="{00000009-557E-47E9-9A6E-E420359A8035}"/>
            </c:ext>
          </c:extLst>
        </c:ser>
        <c:ser>
          <c:idx val="7"/>
          <c:order val="8"/>
          <c:tx>
            <c:v>  ΔiH = +1 deg</c:v>
          </c:tx>
          <c:spPr>
            <a:ln w="25400" cap="rnd">
              <a:noFill/>
              <a:round/>
            </a:ln>
            <a:effectLst/>
          </c:spPr>
          <c:marker>
            <c:symbol val="none"/>
          </c:marker>
          <c:trendline>
            <c:name>Wind tunnel, ΔiH = +1 deg</c:name>
            <c:spPr>
              <a:ln w="15875" cap="rnd">
                <a:solidFill>
                  <a:srgbClr val="0000FF"/>
                </a:solidFill>
                <a:prstDash val="dash"/>
              </a:ln>
              <a:effectLst/>
            </c:spPr>
            <c:trendlineType val="linear"/>
            <c:forward val="0.45"/>
            <c:backward val="0.2"/>
            <c:dispRSqr val="0"/>
            <c:dispEq val="0"/>
          </c:trendline>
          <c:xVal>
            <c:numRef>
              <c:f>WindTunnelData!$CO$30:$CO$33</c:f>
              <c:numCache>
                <c:formatCode>General</c:formatCode>
                <c:ptCount val="4"/>
                <c:pt idx="0">
                  <c:v>8.7814441381012756E-2</c:v>
                </c:pt>
                <c:pt idx="1">
                  <c:v>0.21118596371272536</c:v>
                </c:pt>
                <c:pt idx="2">
                  <c:v>0.38577789794566658</c:v>
                </c:pt>
                <c:pt idx="3">
                  <c:v>0.56161693963587322</c:v>
                </c:pt>
              </c:numCache>
            </c:numRef>
          </c:xVal>
          <c:yVal>
            <c:numRef>
              <c:f>WindTunnelData!$CF$30:$CF$33</c:f>
              <c:numCache>
                <c:formatCode>General</c:formatCode>
                <c:ptCount val="4"/>
                <c:pt idx="0">
                  <c:v>2.9727485529569567E-2</c:v>
                </c:pt>
                <c:pt idx="1">
                  <c:v>3.8063760025211224E-2</c:v>
                </c:pt>
                <c:pt idx="2">
                  <c:v>5.0115161613790635E-2</c:v>
                </c:pt>
                <c:pt idx="3">
                  <c:v>6.5104790445474028E-2</c:v>
                </c:pt>
              </c:numCache>
            </c:numRef>
          </c:yVal>
          <c:smooth val="1"/>
          <c:extLst>
            <c:ext xmlns:c16="http://schemas.microsoft.com/office/drawing/2014/chart" uri="{C3380CC4-5D6E-409C-BE32-E72D297353CC}">
              <c16:uniqueId val="{0000000B-557E-47E9-9A6E-E420359A8035}"/>
            </c:ext>
          </c:extLst>
        </c:ser>
        <c:ser>
          <c:idx val="4"/>
          <c:order val="9"/>
          <c:tx>
            <c:v>ΔiH = -2 deg, before stall</c:v>
          </c:tx>
          <c:spPr>
            <a:ln w="25400" cap="rnd">
              <a:noFill/>
              <a:round/>
            </a:ln>
            <a:effectLst/>
          </c:spPr>
          <c:marker>
            <c:symbol val="none"/>
          </c:marker>
          <c:trendline>
            <c:name>Wind tunnel, ΔiH = -2 deg</c:name>
            <c:spPr>
              <a:ln w="15875" cap="rnd">
                <a:solidFill>
                  <a:srgbClr val="00C800"/>
                </a:solidFill>
                <a:prstDash val="lgDashDot"/>
              </a:ln>
              <a:effectLst/>
            </c:spPr>
            <c:trendlineType val="linear"/>
            <c:forward val="0.55000000000000004"/>
            <c:backward val="0.16000000000000003"/>
            <c:dispRSqr val="0"/>
            <c:dispEq val="0"/>
          </c:trendline>
          <c:xVal>
            <c:numRef>
              <c:f>WindTunnelData!$CO$42:$CO$45</c:f>
              <c:numCache>
                <c:formatCode>General</c:formatCode>
                <c:ptCount val="4"/>
                <c:pt idx="0">
                  <c:v>6.0719806514543742E-2</c:v>
                </c:pt>
                <c:pt idx="1">
                  <c:v>0.16819823355559885</c:v>
                </c:pt>
                <c:pt idx="2">
                  <c:v>0.31858374268546819</c:v>
                </c:pt>
                <c:pt idx="3">
                  <c:v>0.48990206584504381</c:v>
                </c:pt>
              </c:numCache>
            </c:numRef>
          </c:xVal>
          <c:yVal>
            <c:numRef>
              <c:f>WindTunnelData!$CF$42:$CF$45</c:f>
              <c:numCache>
                <c:formatCode>General</c:formatCode>
                <c:ptCount val="4"/>
                <c:pt idx="0">
                  <c:v>2.8511650982190752E-2</c:v>
                </c:pt>
                <c:pt idx="1">
                  <c:v>3.722271147320718E-2</c:v>
                </c:pt>
                <c:pt idx="2">
                  <c:v>4.6049654823073619E-2</c:v>
                </c:pt>
                <c:pt idx="3">
                  <c:v>6.2503218024203694E-2</c:v>
                </c:pt>
              </c:numCache>
            </c:numRef>
          </c:yVal>
          <c:smooth val="1"/>
          <c:extLst>
            <c:ext xmlns:c16="http://schemas.microsoft.com/office/drawing/2014/chart" uri="{C3380CC4-5D6E-409C-BE32-E72D297353CC}">
              <c16:uniqueId val="{0000000D-557E-47E9-9A6E-E420359A8035}"/>
            </c:ext>
          </c:extLst>
        </c:ser>
        <c:dLbls>
          <c:showLegendKey val="0"/>
          <c:showVal val="0"/>
          <c:showCatName val="0"/>
          <c:showSerName val="0"/>
          <c:showPercent val="0"/>
          <c:showBubbleSize val="0"/>
        </c:dLbls>
        <c:axId val="689813263"/>
        <c:axId val="689819023"/>
        <c:extLst/>
      </c:scatterChart>
      <c:valAx>
        <c:axId val="689813263"/>
        <c:scaling>
          <c:orientation val="minMax"/>
          <c:max val="1"/>
          <c:min val="-0.1"/>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L</a:t>
                </a:r>
                <a:r>
                  <a:rPr lang="en-MY" sz="1800" baseline="30000">
                    <a:solidFill>
                      <a:schemeClr val="tx1"/>
                    </a:solidFill>
                  </a:rPr>
                  <a:t>2</a:t>
                </a:r>
                <a:endParaRPr lang="en-MY" sz="1800">
                  <a:solidFill>
                    <a:schemeClr val="tx1"/>
                  </a:solidFill>
                </a:endParaRPr>
              </a:p>
            </c:rich>
          </c:tx>
          <c:layout>
            <c:manualLayout>
              <c:xMode val="edge"/>
              <c:yMode val="edge"/>
              <c:x val="0.93321322078503111"/>
              <c:y val="0.8631893314312311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9023"/>
        <c:crosses val="autoZero"/>
        <c:crossBetween val="midCat"/>
        <c:majorUnit val="0.1"/>
        <c:minorUnit val="5.000000000000001E-2"/>
      </c:valAx>
      <c:valAx>
        <c:axId val="689819023"/>
        <c:scaling>
          <c:orientation val="minMax"/>
          <c:max val="0.13"/>
        </c:scaling>
        <c:delete val="0"/>
        <c:axPos val="l"/>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D</a:t>
                </a:r>
                <a:endParaRPr lang="en-MY" sz="1800">
                  <a:solidFill>
                    <a:schemeClr val="tx1"/>
                  </a:solidFill>
                </a:endParaRPr>
              </a:p>
            </c:rich>
          </c:tx>
          <c:layout>
            <c:manualLayout>
              <c:xMode val="edge"/>
              <c:yMode val="edge"/>
              <c:x val="1.6688089511779458E-3"/>
              <c:y val="0.4451038672420871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3263"/>
        <c:crosses val="autoZero"/>
        <c:crossBetween val="midCat"/>
        <c:majorUnit val="1.0000000000000002E-2"/>
        <c:minorUnit val="5.000000000000001E-3"/>
      </c:valAx>
      <c:spPr>
        <a:noFill/>
        <a:ln>
          <a:noFill/>
        </a:ln>
        <a:effectLst/>
      </c:spPr>
    </c:plotArea>
    <c:legend>
      <c:legendPos val="r"/>
      <c:legendEntry>
        <c:idx val="4"/>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14289783553840224"/>
          <c:y val="7.619386513191824E-2"/>
          <c:w val="0.32112469931455301"/>
          <c:h val="0.4295315304164861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Wind tunnel: Cl vs AoA (Tarek)</a:t>
            </a:r>
            <a:endParaRPr lang="en-US"/>
          </a:p>
        </c:rich>
      </c:tx>
      <c:layout>
        <c:manualLayout>
          <c:xMode val="edge"/>
          <c:yMode val="edge"/>
          <c:x val="0.28135658526435842"/>
          <c:y val="5.26718423569838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Cl vs AoA test1  </c:v>
          </c:tx>
          <c:spPr>
            <a:ln w="25400" cap="rnd">
              <a:solidFill>
                <a:schemeClr val="accent3">
                  <a:lumMod val="60000"/>
                  <a:lumOff val="40000"/>
                </a:schemeClr>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WindTunnelData!$C$16:$C$23</c:f>
              <c:numCache>
                <c:formatCode>General</c:formatCode>
                <c:ptCount val="8"/>
                <c:pt idx="0">
                  <c:v>-2</c:v>
                </c:pt>
                <c:pt idx="1">
                  <c:v>0</c:v>
                </c:pt>
                <c:pt idx="2">
                  <c:v>2</c:v>
                </c:pt>
                <c:pt idx="3">
                  <c:v>4</c:v>
                </c:pt>
                <c:pt idx="4">
                  <c:v>6</c:v>
                </c:pt>
                <c:pt idx="5">
                  <c:v>8</c:v>
                </c:pt>
                <c:pt idx="6">
                  <c:v>10</c:v>
                </c:pt>
                <c:pt idx="7">
                  <c:v>12</c:v>
                </c:pt>
              </c:numCache>
            </c:numRef>
          </c:xVal>
          <c:y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yVal>
          <c:smooth val="0"/>
          <c:extLst>
            <c:ext xmlns:c16="http://schemas.microsoft.com/office/drawing/2014/chart" uri="{C3380CC4-5D6E-409C-BE32-E72D297353CC}">
              <c16:uniqueId val="{00000001-8C00-724E-9F66-086C8796734F}"/>
            </c:ext>
          </c:extLst>
        </c:ser>
        <c:ser>
          <c:idx val="1"/>
          <c:order val="1"/>
          <c:tx>
            <c:v>Cl vs AoA test2 </c:v>
          </c:tx>
          <c:spPr>
            <a:ln w="25400" cap="rnd">
              <a:solidFill>
                <a:schemeClr val="accent4"/>
              </a:solidFill>
              <a:round/>
            </a:ln>
            <a:effectLst/>
          </c:spPr>
          <c:marker>
            <c:symbol val="circle"/>
            <c:size val="5"/>
            <c:spPr>
              <a:solidFill>
                <a:schemeClr val="accent2"/>
              </a:solidFill>
              <a:ln w="9525">
                <a:solidFill>
                  <a:schemeClr val="tx1"/>
                </a:solidFill>
              </a:ln>
              <a:effectLst/>
            </c:spPr>
          </c:marker>
          <c:trendline>
            <c:spPr>
              <a:ln w="19050" cap="rnd">
                <a:solidFill>
                  <a:schemeClr val="accent2"/>
                </a:solidFill>
                <a:prstDash val="sysDot"/>
              </a:ln>
              <a:effectLst/>
            </c:spPr>
            <c:trendlineType val="linear"/>
            <c:dispRSqr val="0"/>
            <c:dispEq val="0"/>
          </c:trendline>
          <c:xVal>
            <c:numRef>
              <c:f>WindTunnelData!$C$28:$C$35</c:f>
              <c:numCache>
                <c:formatCode>General</c:formatCode>
                <c:ptCount val="8"/>
                <c:pt idx="0">
                  <c:v>-2</c:v>
                </c:pt>
                <c:pt idx="1">
                  <c:v>0</c:v>
                </c:pt>
                <c:pt idx="2">
                  <c:v>2</c:v>
                </c:pt>
                <c:pt idx="3">
                  <c:v>4</c:v>
                </c:pt>
                <c:pt idx="4">
                  <c:v>6</c:v>
                </c:pt>
                <c:pt idx="5">
                  <c:v>8</c:v>
                </c:pt>
                <c:pt idx="6">
                  <c:v>10</c:v>
                </c:pt>
                <c:pt idx="7">
                  <c:v>12</c:v>
                </c:pt>
              </c:numCache>
            </c:numRef>
          </c:xVal>
          <c:y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yVal>
          <c:smooth val="0"/>
          <c:extLst>
            <c:ext xmlns:c16="http://schemas.microsoft.com/office/drawing/2014/chart" uri="{C3380CC4-5D6E-409C-BE32-E72D297353CC}">
              <c16:uniqueId val="{00000003-8C00-724E-9F66-086C8796734F}"/>
            </c:ext>
          </c:extLst>
        </c:ser>
        <c:ser>
          <c:idx val="2"/>
          <c:order val="2"/>
          <c:tx>
            <c:v>Cl vs AoA test3</c:v>
          </c:tx>
          <c:spPr>
            <a:ln w="25400" cap="rnd">
              <a:solidFill>
                <a:schemeClr val="accent5"/>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WindTunnelData!$C$40:$C$49</c:f>
              <c:numCache>
                <c:formatCode>General</c:formatCode>
                <c:ptCount val="10"/>
                <c:pt idx="0">
                  <c:v>-2</c:v>
                </c:pt>
                <c:pt idx="1">
                  <c:v>0</c:v>
                </c:pt>
                <c:pt idx="2">
                  <c:v>2</c:v>
                </c:pt>
                <c:pt idx="3">
                  <c:v>4</c:v>
                </c:pt>
                <c:pt idx="4">
                  <c:v>6</c:v>
                </c:pt>
                <c:pt idx="5">
                  <c:v>8</c:v>
                </c:pt>
                <c:pt idx="6">
                  <c:v>10</c:v>
                </c:pt>
                <c:pt idx="7">
                  <c:v>11</c:v>
                </c:pt>
                <c:pt idx="8">
                  <c:v>12</c:v>
                </c:pt>
                <c:pt idx="9">
                  <c:v>13</c:v>
                </c:pt>
              </c:numCache>
            </c:numRef>
          </c:xVal>
          <c:yVal>
            <c:numRef>
              <c:f>WindTunnelData!$CE$40:$CE$49</c:f>
              <c:numCache>
                <c:formatCode>General</c:formatCode>
                <c:ptCount val="10"/>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numCache>
            </c:numRef>
          </c:yVal>
          <c:smooth val="0"/>
          <c:extLst>
            <c:ext xmlns:c16="http://schemas.microsoft.com/office/drawing/2014/chart" uri="{C3380CC4-5D6E-409C-BE32-E72D297353CC}">
              <c16:uniqueId val="{00000005-8C00-724E-9F66-086C8796734F}"/>
            </c:ext>
          </c:extLst>
        </c:ser>
        <c:dLbls>
          <c:showLegendKey val="0"/>
          <c:showVal val="0"/>
          <c:showCatName val="0"/>
          <c:showSerName val="0"/>
          <c:showPercent val="0"/>
          <c:showBubbleSize val="0"/>
        </c:dLbls>
        <c:axId val="903219488"/>
        <c:axId val="830166960"/>
      </c:scatterChart>
      <c:valAx>
        <c:axId val="903219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Angle</a:t>
                </a:r>
                <a:r>
                  <a:rPr lang="en-US" baseline="0"/>
                  <a:t> of attack (degrees)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166960"/>
        <c:crosses val="autoZero"/>
        <c:crossBetween val="midCat"/>
      </c:valAx>
      <c:valAx>
        <c:axId val="83016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Coefficient</a:t>
                </a:r>
                <a:r>
                  <a:rPr lang="en-US" baseline="0"/>
                  <a:t> of lift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194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n-lt"/>
                <a:ea typeface="+mn-ea"/>
                <a:cs typeface="+mn-cs"/>
              </a:defRPr>
            </a:pPr>
            <a:r>
              <a:rPr lang="en-US" sz="2400">
                <a:solidFill>
                  <a:schemeClr val="tx1"/>
                </a:solidFill>
              </a:rPr>
              <a:t>C</a:t>
            </a:r>
            <a:r>
              <a:rPr lang="en-US" sz="2400" baseline="-25000">
                <a:solidFill>
                  <a:schemeClr val="tx1"/>
                </a:solidFill>
              </a:rPr>
              <a:t>L</a:t>
            </a:r>
            <a:r>
              <a:rPr lang="en-US" sz="2400" baseline="0">
                <a:solidFill>
                  <a:schemeClr val="tx1"/>
                </a:solidFill>
              </a:rPr>
              <a:t> vs </a:t>
            </a:r>
            <a:r>
              <a:rPr lang="el-GR" sz="2400" baseline="0">
                <a:solidFill>
                  <a:schemeClr val="tx1"/>
                </a:solidFill>
              </a:rPr>
              <a:t>α</a:t>
            </a:r>
            <a:endParaRPr lang="en-US" sz="2400">
              <a:solidFill>
                <a:schemeClr val="tx1"/>
              </a:solidFill>
            </a:endParaRPr>
          </a:p>
        </c:rich>
      </c:tx>
      <c:layout>
        <c:manualLayout>
          <c:xMode val="edge"/>
          <c:yMode val="edge"/>
          <c:x val="0.43791425195152056"/>
          <c:y val="7.0397557808371417E-4"/>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3.4737080937292178E-2"/>
          <c:y val="1.7985960408755091E-2"/>
          <c:w val="0.93983716149585694"/>
          <c:h val="0.9640279348731835"/>
        </c:manualLayout>
      </c:layout>
      <c:scatterChart>
        <c:scatterStyle val="smoothMarker"/>
        <c:varyColors val="0"/>
        <c:ser>
          <c:idx val="0"/>
          <c:order val="0"/>
          <c:tx>
            <c:v>Flight test</c:v>
          </c:tx>
          <c:spPr>
            <a:ln w="25400" cap="rnd">
              <a:noFill/>
              <a:round/>
            </a:ln>
            <a:effectLst/>
          </c:spPr>
          <c:marker>
            <c:symbol val="x"/>
            <c:size val="6"/>
            <c:spPr>
              <a:noFill/>
              <a:ln w="9525">
                <a:solidFill>
                  <a:schemeClr val="tx1"/>
                </a:solidFill>
              </a:ln>
              <a:effectLst/>
            </c:spPr>
          </c:marker>
          <c:trendline>
            <c:name>Flight test</c:name>
            <c:spPr>
              <a:ln w="9525" cap="rnd">
                <a:solidFill>
                  <a:schemeClr val="tx1"/>
                </a:solidFill>
                <a:prstDash val="solid"/>
              </a:ln>
              <a:effectLst/>
            </c:spPr>
            <c:trendlineType val="linear"/>
            <c:forward val="0.55000000000000004"/>
            <c:backward val="2"/>
            <c:dispRSqr val="0"/>
            <c:dispEq val="0"/>
          </c:trendline>
          <c:errBars>
            <c:errDir val="x"/>
            <c:errBarType val="both"/>
            <c:errValType val="fixedVal"/>
            <c:noEndCap val="0"/>
            <c:val val="5.000000000000001E-2"/>
            <c:spPr>
              <a:noFill/>
              <a:ln w="6350" cap="flat" cmpd="sng" algn="ctr">
                <a:solidFill>
                  <a:schemeClr val="tx1"/>
                </a:solidFill>
                <a:round/>
              </a:ln>
              <a:effectLst/>
            </c:spPr>
          </c:errBars>
          <c:errBars>
            <c:errDir val="y"/>
            <c:errBarType val="both"/>
            <c:errValType val="cust"/>
            <c:noEndCap val="0"/>
            <c:plus>
              <c:numRef>
                <c:f>FlightSimData!$T$70:$T$87</c:f>
                <c:numCache>
                  <c:formatCode>General</c:formatCode>
                  <c:ptCount val="18"/>
                  <c:pt idx="0">
                    <c:v>1.8434742482128635E-4</c:v>
                  </c:pt>
                  <c:pt idx="1">
                    <c:v>2.786450451517421E-4</c:v>
                  </c:pt>
                  <c:pt idx="2">
                    <c:v>4.1609543419159544E-4</c:v>
                  </c:pt>
                  <c:pt idx="3">
                    <c:v>6.2884260605154685E-4</c:v>
                  </c:pt>
                  <c:pt idx="4">
                    <c:v>8.7519175307657039E-4</c:v>
                  </c:pt>
                  <c:pt idx="5">
                    <c:v>1.3568422636940872E-3</c:v>
                  </c:pt>
                  <c:pt idx="6">
                    <c:v>1.8321976727056968E-4</c:v>
                  </c:pt>
                  <c:pt idx="7">
                    <c:v>2.7991159831664057E-4</c:v>
                  </c:pt>
                  <c:pt idx="8">
                    <c:v>4.195059062029216E-4</c:v>
                  </c:pt>
                  <c:pt idx="9">
                    <c:v>6.2742657388783465E-4</c:v>
                  </c:pt>
                  <c:pt idx="10">
                    <c:v>9.4150199608852489E-4</c:v>
                  </c:pt>
                  <c:pt idx="11">
                    <c:v>1.3554318804332034E-3</c:v>
                  </c:pt>
                  <c:pt idx="12">
                    <c:v>1.8341764918363687E-4</c:v>
                  </c:pt>
                  <c:pt idx="13">
                    <c:v>2.806921799817942E-4</c:v>
                  </c:pt>
                  <c:pt idx="14">
                    <c:v>4.2536207174647235E-4</c:v>
                  </c:pt>
                  <c:pt idx="15">
                    <c:v>6.3694367523696384E-4</c:v>
                  </c:pt>
                  <c:pt idx="16">
                    <c:v>9.1461876303292609E-4</c:v>
                  </c:pt>
                  <c:pt idx="17">
                    <c:v>1.2089740941278997E-3</c:v>
                  </c:pt>
                </c:numCache>
              </c:numRef>
            </c:plus>
            <c:minus>
              <c:numRef>
                <c:f>FlightSimData!$T$70:$T$87</c:f>
                <c:numCache>
                  <c:formatCode>General</c:formatCode>
                  <c:ptCount val="18"/>
                  <c:pt idx="0">
                    <c:v>1.8434742482128635E-4</c:v>
                  </c:pt>
                  <c:pt idx="1">
                    <c:v>2.786450451517421E-4</c:v>
                  </c:pt>
                  <c:pt idx="2">
                    <c:v>4.1609543419159544E-4</c:v>
                  </c:pt>
                  <c:pt idx="3">
                    <c:v>6.2884260605154685E-4</c:v>
                  </c:pt>
                  <c:pt idx="4">
                    <c:v>8.7519175307657039E-4</c:v>
                  </c:pt>
                  <c:pt idx="5">
                    <c:v>1.3568422636940872E-3</c:v>
                  </c:pt>
                  <c:pt idx="6">
                    <c:v>1.8321976727056968E-4</c:v>
                  </c:pt>
                  <c:pt idx="7">
                    <c:v>2.7991159831664057E-4</c:v>
                  </c:pt>
                  <c:pt idx="8">
                    <c:v>4.195059062029216E-4</c:v>
                  </c:pt>
                  <c:pt idx="9">
                    <c:v>6.2742657388783465E-4</c:v>
                  </c:pt>
                  <c:pt idx="10">
                    <c:v>9.4150199608852489E-4</c:v>
                  </c:pt>
                  <c:pt idx="11">
                    <c:v>1.3554318804332034E-3</c:v>
                  </c:pt>
                  <c:pt idx="12">
                    <c:v>1.8341764918363687E-4</c:v>
                  </c:pt>
                  <c:pt idx="13">
                    <c:v>2.806921799817942E-4</c:v>
                  </c:pt>
                  <c:pt idx="14">
                    <c:v>4.2536207174647235E-4</c:v>
                  </c:pt>
                  <c:pt idx="15">
                    <c:v>6.3694367523696384E-4</c:v>
                  </c:pt>
                  <c:pt idx="16">
                    <c:v>9.1461876303292609E-4</c:v>
                  </c:pt>
                  <c:pt idx="17">
                    <c:v>1.2089740941278997E-3</c:v>
                  </c:pt>
                </c:numCache>
              </c:numRef>
            </c:minus>
            <c:spPr>
              <a:noFill/>
              <a:ln w="6350" cap="flat" cmpd="sng" algn="ctr">
                <a:solidFill>
                  <a:schemeClr val="tx1"/>
                </a:solidFill>
                <a:round/>
              </a:ln>
              <a:effectLst/>
            </c:spPr>
          </c:errBars>
          <c:xVal>
            <c:numRef>
              <c:f>FlightSimData!$I$70:$I$87</c:f>
              <c:numCache>
                <c:formatCode>General</c:formatCode>
                <c:ptCount val="18"/>
                <c:pt idx="0">
                  <c:v>-1.7</c:v>
                </c:pt>
                <c:pt idx="1">
                  <c:v>-1.5</c:v>
                </c:pt>
                <c:pt idx="2">
                  <c:v>-1.3</c:v>
                </c:pt>
                <c:pt idx="3">
                  <c:v>-0.9</c:v>
                </c:pt>
                <c:pt idx="4">
                  <c:v>-0.5</c:v>
                </c:pt>
                <c:pt idx="5">
                  <c:v>0.1</c:v>
                </c:pt>
                <c:pt idx="6">
                  <c:v>-1.7</c:v>
                </c:pt>
                <c:pt idx="7">
                  <c:v>-1.5</c:v>
                </c:pt>
                <c:pt idx="8">
                  <c:v>-1.1000000000000001</c:v>
                </c:pt>
                <c:pt idx="9">
                  <c:v>-0.8</c:v>
                </c:pt>
                <c:pt idx="10">
                  <c:v>-0.2</c:v>
                </c:pt>
                <c:pt idx="11">
                  <c:v>0.2</c:v>
                </c:pt>
                <c:pt idx="12">
                  <c:v>-1.4</c:v>
                </c:pt>
                <c:pt idx="13">
                  <c:v>-1.6</c:v>
                </c:pt>
                <c:pt idx="14">
                  <c:v>-1</c:v>
                </c:pt>
                <c:pt idx="15">
                  <c:v>-0.4</c:v>
                </c:pt>
                <c:pt idx="16">
                  <c:v>-0.5</c:v>
                </c:pt>
                <c:pt idx="17">
                  <c:v>0</c:v>
                </c:pt>
              </c:numCache>
            </c:numRef>
          </c:xVal>
          <c:yVal>
            <c:numRef>
              <c:f>FlightSimData!$S$70:$S$87</c:f>
              <c:numCache>
                <c:formatCode>General</c:formatCode>
                <c:ptCount val="18"/>
                <c:pt idx="0">
                  <c:v>6.2409625365696435E-2</c:v>
                </c:pt>
                <c:pt idx="1">
                  <c:v>8.221695458867774E-2</c:v>
                </c:pt>
                <c:pt idx="2">
                  <c:v>0.10743281591186328</c:v>
                </c:pt>
                <c:pt idx="3">
                  <c:v>0.14154953319607821</c:v>
                </c:pt>
                <c:pt idx="4">
                  <c:v>0.17742188279355167</c:v>
                </c:pt>
                <c:pt idx="5">
                  <c:v>0.23785150003915551</c:v>
                </c:pt>
                <c:pt idx="6">
                  <c:v>6.2009239032486112E-2</c:v>
                </c:pt>
                <c:pt idx="7">
                  <c:v>8.230056112471347E-2</c:v>
                </c:pt>
                <c:pt idx="8">
                  <c:v>0.1078925404671665</c:v>
                </c:pt>
                <c:pt idx="9">
                  <c:v>0.14122007857538413</c:v>
                </c:pt>
                <c:pt idx="10">
                  <c:v>0.18625587144305442</c:v>
                </c:pt>
                <c:pt idx="11">
                  <c:v>0.23759837183612512</c:v>
                </c:pt>
                <c:pt idx="12">
                  <c:v>6.228202265694651E-2</c:v>
                </c:pt>
                <c:pt idx="13">
                  <c:v>8.2846162493322315E-2</c:v>
                </c:pt>
                <c:pt idx="14">
                  <c:v>0.10945456796581098</c:v>
                </c:pt>
                <c:pt idx="15">
                  <c:v>0.14343172176821734</c:v>
                </c:pt>
                <c:pt idx="16">
                  <c:v>0.1827309730516373</c:v>
                </c:pt>
                <c:pt idx="17">
                  <c:v>0.22023141021972498</c:v>
                </c:pt>
              </c:numCache>
            </c:numRef>
          </c:yVal>
          <c:smooth val="1"/>
          <c:extLst>
            <c:ext xmlns:c16="http://schemas.microsoft.com/office/drawing/2014/chart" uri="{C3380CC4-5D6E-409C-BE32-E72D297353CC}">
              <c16:uniqueId val="{00000001-B313-4F85-9708-A7424998A1EE}"/>
            </c:ext>
          </c:extLst>
        </c:ser>
        <c:ser>
          <c:idx val="1"/>
          <c:order val="1"/>
          <c:tx>
            <c:v>Wind tunnel, No tail</c:v>
          </c:tx>
          <c:spPr>
            <a:ln w="25400" cap="rnd">
              <a:noFill/>
              <a:round/>
            </a:ln>
            <a:effectLst/>
          </c:spPr>
          <c:marker>
            <c:symbol val="circle"/>
            <c:size val="5"/>
            <c:spPr>
              <a:noFill/>
              <a:ln w="9525">
                <a:solidFill>
                  <a:srgbClr val="FF0000"/>
                </a:solidFill>
              </a:ln>
              <a:effectLst/>
            </c:spPr>
          </c:marker>
          <c:trendline>
            <c:spPr>
              <a:ln w="6350" cap="rnd">
                <a:solidFill>
                  <a:srgbClr val="FF0000"/>
                </a:solidFill>
                <a:prstDash val="solid"/>
              </a:ln>
              <a:effectLst/>
            </c:spPr>
            <c:trendlineType val="poly"/>
            <c:order val="3"/>
            <c:dispRSqr val="0"/>
            <c:dispEq val="0"/>
          </c:trendline>
          <c:errBars>
            <c:errDir val="x"/>
            <c:errBarType val="both"/>
            <c:errValType val="cust"/>
            <c:noEndCap val="0"/>
            <c:plus>
              <c:numRef>
                <c:f>WindTunnelData!$BN$16:$BN$23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WindTunnelData!$BN$16:$BN$23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errBars>
            <c:errDir val="y"/>
            <c:errBarType val="both"/>
            <c:errValType val="cust"/>
            <c:noEndCap val="0"/>
            <c:pl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plus>
            <c:minus>
              <c:numRef>
                <c:f>WindTunnelData!$CH$16:$CH$23</c:f>
                <c:numCache>
                  <c:formatCode>General</c:formatCode>
                  <c:ptCount val="8"/>
                  <c:pt idx="0">
                    <c:v>1.4844033753922991E-2</c:v>
                  </c:pt>
                  <c:pt idx="1">
                    <c:v>1.5641693352080023E-2</c:v>
                  </c:pt>
                  <c:pt idx="2">
                    <c:v>1.1431870794937874E-2</c:v>
                  </c:pt>
                  <c:pt idx="3">
                    <c:v>1.4695722820673994E-2</c:v>
                  </c:pt>
                  <c:pt idx="4">
                    <c:v>1.5400758759337344E-2</c:v>
                  </c:pt>
                  <c:pt idx="5">
                    <c:v>1.4705050343619141E-2</c:v>
                  </c:pt>
                  <c:pt idx="6">
                    <c:v>2.1577874471555337E-2</c:v>
                  </c:pt>
                  <c:pt idx="7">
                    <c:v>1.7923527273045598E-2</c:v>
                  </c:pt>
                </c:numCache>
              </c:numRef>
            </c:minus>
            <c:spPr>
              <a:noFill/>
              <a:ln w="6350" cap="flat" cmpd="sng" algn="ctr">
                <a:solidFill>
                  <a:srgbClr val="FF0000"/>
                </a:solidFill>
                <a:round/>
              </a:ln>
              <a:effectLst/>
            </c:spPr>
          </c:errBars>
          <c:xVal>
            <c:numRef>
              <c:f>WindTunnelData!$BM$16:$BM$23</c:f>
              <c:numCache>
                <c:formatCode>General</c:formatCode>
                <c:ptCount val="8"/>
                <c:pt idx="0">
                  <c:v>-2.0050288773063034</c:v>
                </c:pt>
                <c:pt idx="1">
                  <c:v>0.11042777358217459</c:v>
                </c:pt>
                <c:pt idx="2">
                  <c:v>2.2287521267129087</c:v>
                </c:pt>
                <c:pt idx="3">
                  <c:v>4.3464040293230353</c:v>
                </c:pt>
                <c:pt idx="4">
                  <c:v>6.4579030994465159</c:v>
                </c:pt>
                <c:pt idx="5">
                  <c:v>8.5525346868783743</c:v>
                </c:pt>
                <c:pt idx="6">
                  <c:v>10.628791054433369</c:v>
                </c:pt>
                <c:pt idx="7">
                  <c:v>12.69730540555584</c:v>
                </c:pt>
              </c:numCache>
            </c:numRef>
          </c:xVal>
          <c:yVal>
            <c:numRef>
              <c:f>WindTunnelData!$CE$16:$CE$23</c:f>
              <c:numCache>
                <c:formatCode>General</c:formatCode>
                <c:ptCount val="8"/>
                <c:pt idx="0">
                  <c:v>-6.058888320847295E-3</c:v>
                </c:pt>
                <c:pt idx="1">
                  <c:v>0.13304551033996939</c:v>
                </c:pt>
                <c:pt idx="2">
                  <c:v>0.27560497194326367</c:v>
                </c:pt>
                <c:pt idx="3">
                  <c:v>0.41735425219642769</c:v>
                </c:pt>
                <c:pt idx="4">
                  <c:v>0.55169048126086284</c:v>
                </c:pt>
                <c:pt idx="5">
                  <c:v>0.66570444202213808</c:v>
                </c:pt>
                <c:pt idx="6">
                  <c:v>0.7575795836546616</c:v>
                </c:pt>
                <c:pt idx="7">
                  <c:v>0.84012699464559093</c:v>
                </c:pt>
              </c:numCache>
            </c:numRef>
          </c:yVal>
          <c:smooth val="1"/>
          <c:extLst>
            <c:ext xmlns:c16="http://schemas.microsoft.com/office/drawing/2014/chart" uri="{C3380CC4-5D6E-409C-BE32-E72D297353CC}">
              <c16:uniqueId val="{00000003-B313-4F85-9708-A7424998A1EE}"/>
            </c:ext>
          </c:extLst>
        </c:ser>
        <c:ser>
          <c:idx val="2"/>
          <c:order val="2"/>
          <c:tx>
            <c:v>Wind tunnel, ΔiH = +1 deg</c:v>
          </c:tx>
          <c:spPr>
            <a:ln w="25400" cap="rnd">
              <a:noFill/>
              <a:round/>
            </a:ln>
            <a:effectLst/>
          </c:spPr>
          <c:marker>
            <c:symbol val="square"/>
            <c:size val="5"/>
            <c:spPr>
              <a:noFill/>
              <a:ln w="9525">
                <a:solidFill>
                  <a:srgbClr val="0000FF"/>
                </a:solidFill>
              </a:ln>
              <a:effectLst/>
            </c:spPr>
          </c:marker>
          <c:trendline>
            <c:spPr>
              <a:ln w="6350" cap="rnd">
                <a:solidFill>
                  <a:srgbClr val="0000FF"/>
                </a:solidFill>
                <a:prstDash val="solid"/>
              </a:ln>
              <a:effectLst/>
            </c:spPr>
            <c:trendlineType val="poly"/>
            <c:order val="3"/>
            <c:dispRSqr val="0"/>
            <c:dispEq val="0"/>
          </c:trendline>
          <c:errBars>
            <c:errDir val="x"/>
            <c:errBarType val="both"/>
            <c:errValType val="cust"/>
            <c:noEndCap val="0"/>
            <c:plus>
              <c:numRef>
                <c:f>WindTunnelData!$BN$28:$BN$35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WindTunnelData!$BN$28:$BN$35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rgbClr val="0000FF"/>
                </a:solidFill>
                <a:round/>
              </a:ln>
              <a:effectLst/>
            </c:spPr>
          </c:errBars>
          <c:errBars>
            <c:errDir val="y"/>
            <c:errBarType val="both"/>
            <c:errValType val="cust"/>
            <c:noEndCap val="0"/>
            <c:pl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plus>
            <c:minus>
              <c:numRef>
                <c:f>WindTunnelData!$CH$28:$CH$35</c:f>
                <c:numCache>
                  <c:formatCode>General</c:formatCode>
                  <c:ptCount val="8"/>
                  <c:pt idx="0">
                    <c:v>1.2034262622655636E-2</c:v>
                  </c:pt>
                  <c:pt idx="1">
                    <c:v>1.5023742902781578E-2</c:v>
                  </c:pt>
                  <c:pt idx="2">
                    <c:v>1.6185956036068743E-2</c:v>
                  </c:pt>
                  <c:pt idx="3">
                    <c:v>1.4654312924853067E-2</c:v>
                  </c:pt>
                  <c:pt idx="4">
                    <c:v>1.3847075602432257E-2</c:v>
                  </c:pt>
                  <c:pt idx="5">
                    <c:v>1.3455004047766771E-2</c:v>
                  </c:pt>
                  <c:pt idx="6">
                    <c:v>1.5769721802562239E-2</c:v>
                  </c:pt>
                  <c:pt idx="7">
                    <c:v>1.5207988910276617E-2</c:v>
                  </c:pt>
                </c:numCache>
              </c:numRef>
            </c:minus>
            <c:spPr>
              <a:noFill/>
              <a:ln w="6350" cap="flat" cmpd="sng" algn="ctr">
                <a:solidFill>
                  <a:srgbClr val="0000FF"/>
                </a:solidFill>
                <a:round/>
              </a:ln>
              <a:effectLst/>
            </c:spPr>
          </c:errBars>
          <c:xVal>
            <c:numRef>
              <c:f>WindTunnelData!$BM$28:$BM$35</c:f>
              <c:numCache>
                <c:formatCode>General</c:formatCode>
                <c:ptCount val="8"/>
                <c:pt idx="0">
                  <c:v>-2.0266545407736096</c:v>
                </c:pt>
                <c:pt idx="1">
                  <c:v>0.11254761110151436</c:v>
                </c:pt>
                <c:pt idx="2">
                  <c:v>2.2459580628224649</c:v>
                </c:pt>
                <c:pt idx="3">
                  <c:v>4.3814262843613383</c:v>
                </c:pt>
                <c:pt idx="4">
                  <c:v>6.5155214776270434</c:v>
                </c:pt>
                <c:pt idx="5">
                  <c:v>8.6220111813425486</c:v>
                </c:pt>
                <c:pt idx="6">
                  <c:v>10.713791317711145</c:v>
                </c:pt>
                <c:pt idx="7">
                  <c:v>12.791581595513144</c:v>
                </c:pt>
              </c:numCache>
            </c:numRef>
          </c:xVal>
          <c:yVal>
            <c:numRef>
              <c:f>WindTunnelData!$CE$28:$CE$35</c:f>
              <c:numCache>
                <c:formatCode>General</c:formatCode>
                <c:ptCount val="8"/>
                <c:pt idx="0">
                  <c:v>-3.2113904546517726E-2</c:v>
                </c:pt>
                <c:pt idx="1">
                  <c:v>0.13559953144760767</c:v>
                </c:pt>
                <c:pt idx="2">
                  <c:v>0.29633501544875313</c:v>
                </c:pt>
                <c:pt idx="3">
                  <c:v>0.45954974019438349</c:v>
                </c:pt>
                <c:pt idx="4">
                  <c:v>0.62111021400848543</c:v>
                </c:pt>
                <c:pt idx="5">
                  <c:v>0.74941106185849249</c:v>
                </c:pt>
                <c:pt idx="6">
                  <c:v>0.85998953941101752</c:v>
                </c:pt>
                <c:pt idx="7">
                  <c:v>0.95371276567848562</c:v>
                </c:pt>
              </c:numCache>
            </c:numRef>
          </c:yVal>
          <c:smooth val="1"/>
          <c:extLst>
            <c:ext xmlns:c16="http://schemas.microsoft.com/office/drawing/2014/chart" uri="{C3380CC4-5D6E-409C-BE32-E72D297353CC}">
              <c16:uniqueId val="{00000005-B313-4F85-9708-A7424998A1EE}"/>
            </c:ext>
          </c:extLst>
        </c:ser>
        <c:ser>
          <c:idx val="3"/>
          <c:order val="3"/>
          <c:tx>
            <c:v>Wind tunnel, ΔiH = -2 deg</c:v>
          </c:tx>
          <c:spPr>
            <a:ln w="25400" cap="rnd">
              <a:noFill/>
              <a:round/>
            </a:ln>
            <a:effectLst/>
          </c:spPr>
          <c:marker>
            <c:symbol val="triangle"/>
            <c:size val="6"/>
            <c:spPr>
              <a:noFill/>
              <a:ln w="9525">
                <a:solidFill>
                  <a:srgbClr val="00C800"/>
                </a:solidFill>
              </a:ln>
              <a:effectLst/>
            </c:spPr>
          </c:marker>
          <c:errBars>
            <c:errDir val="x"/>
            <c:errBarType val="both"/>
            <c:errValType val="cust"/>
            <c:noEndCap val="0"/>
            <c:plus>
              <c:numRef>
                <c:f>WindTunnelData!$BN$40:$BN$55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plus>
            <c:minus>
              <c:numRef>
                <c:f>WindTunnelData!$BN$40:$BN$55</c:f>
                <c:numCache>
                  <c:formatCode>General</c:formatCode>
                  <c:ptCount val="16"/>
                  <c:pt idx="0">
                    <c:v>1.8707681182990842E-2</c:v>
                  </c:pt>
                  <c:pt idx="1">
                    <c:v>1.7752024700735752E-2</c:v>
                  </c:pt>
                  <c:pt idx="2">
                    <c:v>1.532112568503096E-2</c:v>
                  </c:pt>
                  <c:pt idx="3">
                    <c:v>1.5077123567874048E-2</c:v>
                  </c:pt>
                  <c:pt idx="4">
                    <c:v>1.1993861791216935E-2</c:v>
                  </c:pt>
                  <c:pt idx="5">
                    <c:v>1.6789678861081354E-2</c:v>
                  </c:pt>
                  <c:pt idx="6">
                    <c:v>1.7768672959166343E-2</c:v>
                  </c:pt>
                  <c:pt idx="7">
                    <c:v>1.9842328694089029E-2</c:v>
                  </c:pt>
                  <c:pt idx="8">
                    <c:v>2.1869762202885383E-2</c:v>
                  </c:pt>
                  <c:pt idx="9">
                    <c:v>2.1370816405618734E-2</c:v>
                  </c:pt>
                  <c:pt idx="10">
                    <c:v>3.6491636263858047E-2</c:v>
                  </c:pt>
                  <c:pt idx="11">
                    <c:v>3.5373621889359573E-2</c:v>
                  </c:pt>
                  <c:pt idx="12">
                    <c:v>4.2024472590397835E-2</c:v>
                  </c:pt>
                  <c:pt idx="13">
                    <c:v>4.6326952491687411E-2</c:v>
                  </c:pt>
                  <c:pt idx="14">
                    <c:v>5.3169198554965387E-2</c:v>
                  </c:pt>
                  <c:pt idx="15">
                    <c:v>6.2035053456535066E-2</c:v>
                  </c:pt>
                </c:numCache>
              </c:numRef>
            </c:minus>
            <c:spPr>
              <a:noFill/>
              <a:ln w="6350" cap="flat" cmpd="sng" algn="ctr">
                <a:solidFill>
                  <a:srgbClr val="00C800"/>
                </a:solidFill>
                <a:round/>
              </a:ln>
              <a:effectLst/>
            </c:spPr>
          </c:errBars>
          <c:errBars>
            <c:errDir val="y"/>
            <c:errBarType val="both"/>
            <c:errValType val="cust"/>
            <c:noEndCap val="0"/>
            <c:pl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plus>
            <c:min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minus>
            <c:spPr>
              <a:noFill/>
              <a:ln w="6350" cap="flat" cmpd="sng" algn="ctr">
                <a:solidFill>
                  <a:srgbClr val="00C800"/>
                </a:solidFill>
                <a:round/>
              </a:ln>
              <a:effectLst/>
            </c:spPr>
          </c:errBars>
          <c:xVal>
            <c:numRef>
              <c:f>WindTunnelData!$BM$40:$BM$55</c:f>
              <c:numCache>
                <c:formatCode>General</c:formatCode>
                <c:ptCount val="16"/>
                <c:pt idx="0">
                  <c:v>-2.0682262217539522</c:v>
                </c:pt>
                <c:pt idx="1">
                  <c:v>6.4397880742575297E-2</c:v>
                </c:pt>
                <c:pt idx="2">
                  <c:v>2.2045235309392766</c:v>
                </c:pt>
                <c:pt idx="3">
                  <c:v>4.3403994170036899</c:v>
                </c:pt>
                <c:pt idx="4">
                  <c:v>6.468478751210788</c:v>
                </c:pt>
                <c:pt idx="5">
                  <c:v>8.5809419361353161</c:v>
                </c:pt>
                <c:pt idx="6">
                  <c:v>10.67659398606771</c:v>
                </c:pt>
                <c:pt idx="7">
                  <c:v>11.723647720842546</c:v>
                </c:pt>
                <c:pt idx="8">
                  <c:v>12.761826074063665</c:v>
                </c:pt>
                <c:pt idx="9">
                  <c:v>13.795514286397525</c:v>
                </c:pt>
                <c:pt idx="10">
                  <c:v>14.766944672253016</c:v>
                </c:pt>
                <c:pt idx="11">
                  <c:v>15.783563712221987</c:v>
                </c:pt>
                <c:pt idx="12">
                  <c:v>16.759975319054341</c:v>
                </c:pt>
                <c:pt idx="13">
                  <c:v>17.657022257309169</c:v>
                </c:pt>
                <c:pt idx="14">
                  <c:v>18.545517465020609</c:v>
                </c:pt>
                <c:pt idx="15">
                  <c:v>19.571299854914667</c:v>
                </c:pt>
              </c:numCache>
            </c:numRef>
          </c:xVal>
          <c:yVal>
            <c:numRef>
              <c:f>WindTunnelData!$CE$40:$CE$55</c:f>
              <c:numCache>
                <c:formatCode>General</c:formatCode>
                <c:ptCount val="16"/>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0.92402972560604368</c:v>
                </c:pt>
                <c:pt idx="11">
                  <c:v>0.94405266532769461</c:v>
                </c:pt>
                <c:pt idx="12">
                  <c:v>0.91563291452330309</c:v>
                </c:pt>
                <c:pt idx="13">
                  <c:v>0.79159308109538473</c:v>
                </c:pt>
                <c:pt idx="14">
                  <c:v>0.65724995785615525</c:v>
                </c:pt>
                <c:pt idx="15">
                  <c:v>0.68831307821044208</c:v>
                </c:pt>
              </c:numCache>
            </c:numRef>
          </c:yVal>
          <c:smooth val="1"/>
          <c:extLst>
            <c:ext xmlns:c16="http://schemas.microsoft.com/office/drawing/2014/chart" uri="{C3380CC4-5D6E-409C-BE32-E72D297353CC}">
              <c16:uniqueId val="{00000006-B313-4F85-9708-A7424998A1EE}"/>
            </c:ext>
          </c:extLst>
        </c:ser>
        <c:ser>
          <c:idx val="6"/>
          <c:order val="5"/>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xmlns:c15="http://schemas.microsoft.com/office/drawing/2012/chart">
            <c:ext xmlns:c16="http://schemas.microsoft.com/office/drawing/2014/chart" uri="{C3380CC4-5D6E-409C-BE32-E72D297353CC}">
              <c16:uniqueId val="{00000007-B313-4F85-9708-A7424998A1EE}"/>
            </c:ext>
          </c:extLst>
        </c:ser>
        <c:ser>
          <c:idx val="4"/>
          <c:order val="6"/>
          <c:tx>
            <c:v>No tail linear</c:v>
          </c:tx>
          <c:spPr>
            <a:ln w="25400" cap="rnd">
              <a:noFill/>
              <a:round/>
            </a:ln>
            <a:effectLst/>
          </c:spPr>
          <c:marker>
            <c:symbol val="none"/>
          </c:marker>
          <c:trendline>
            <c:name>Wind Tunnel, No tail</c:name>
            <c:spPr>
              <a:ln w="19050" cap="rnd">
                <a:solidFill>
                  <a:srgbClr val="FF0000"/>
                </a:solidFill>
                <a:prstDash val="sysDot"/>
              </a:ln>
              <a:effectLst/>
            </c:spPr>
            <c:trendlineType val="linear"/>
            <c:forward val="7"/>
            <c:backward val="1.5"/>
            <c:dispRSqr val="0"/>
            <c:dispEq val="0"/>
          </c:trendline>
          <c:xVal>
            <c:numRef>
              <c:f>WindTunnelData!$BM$16:$BM$20</c:f>
              <c:numCache>
                <c:formatCode>General</c:formatCode>
                <c:ptCount val="5"/>
                <c:pt idx="0">
                  <c:v>-2.0050288773063034</c:v>
                </c:pt>
                <c:pt idx="1">
                  <c:v>0.11042777358217459</c:v>
                </c:pt>
                <c:pt idx="2">
                  <c:v>2.2287521267129087</c:v>
                </c:pt>
                <c:pt idx="3">
                  <c:v>4.3464040293230353</c:v>
                </c:pt>
                <c:pt idx="4">
                  <c:v>6.4579030994465159</c:v>
                </c:pt>
              </c:numCache>
            </c:numRef>
          </c:xVal>
          <c:yVal>
            <c:numRef>
              <c:f>WindTunnelData!$CE$16:$CE$20</c:f>
              <c:numCache>
                <c:formatCode>General</c:formatCode>
                <c:ptCount val="5"/>
                <c:pt idx="0">
                  <c:v>-6.058888320847295E-3</c:v>
                </c:pt>
                <c:pt idx="1">
                  <c:v>0.13304551033996939</c:v>
                </c:pt>
                <c:pt idx="2">
                  <c:v>0.27560497194326367</c:v>
                </c:pt>
                <c:pt idx="3">
                  <c:v>0.41735425219642769</c:v>
                </c:pt>
                <c:pt idx="4">
                  <c:v>0.55169048126086284</c:v>
                </c:pt>
              </c:numCache>
            </c:numRef>
          </c:yVal>
          <c:smooth val="1"/>
          <c:extLst>
            <c:ext xmlns:c16="http://schemas.microsoft.com/office/drawing/2014/chart" uri="{C3380CC4-5D6E-409C-BE32-E72D297353CC}">
              <c16:uniqueId val="{00000009-B313-4F85-9708-A7424998A1EE}"/>
            </c:ext>
          </c:extLst>
        </c:ser>
        <c:ser>
          <c:idx val="7"/>
          <c:order val="7"/>
          <c:tx>
            <c:v>ΔiH = +1 deg linear</c:v>
          </c:tx>
          <c:spPr>
            <a:ln w="25400" cap="rnd">
              <a:noFill/>
              <a:round/>
            </a:ln>
            <a:effectLst/>
          </c:spPr>
          <c:marker>
            <c:symbol val="none"/>
          </c:marker>
          <c:trendline>
            <c:name>Wind Tunnel, ΔiH = +1 deg</c:name>
            <c:spPr>
              <a:ln w="15875" cap="rnd">
                <a:solidFill>
                  <a:srgbClr val="0000FF"/>
                </a:solidFill>
                <a:prstDash val="dash"/>
              </a:ln>
              <a:effectLst/>
            </c:spPr>
            <c:trendlineType val="linear"/>
            <c:forward val="5"/>
            <c:backward val="1"/>
            <c:dispRSqr val="0"/>
            <c:dispEq val="0"/>
          </c:trendline>
          <c:xVal>
            <c:numRef>
              <c:f>WindTunnelData!$BM$28:$BM$32</c:f>
              <c:numCache>
                <c:formatCode>General</c:formatCode>
                <c:ptCount val="5"/>
                <c:pt idx="0">
                  <c:v>-2.0266545407736096</c:v>
                </c:pt>
                <c:pt idx="1">
                  <c:v>0.11254761110151436</c:v>
                </c:pt>
                <c:pt idx="2">
                  <c:v>2.2459580628224649</c:v>
                </c:pt>
                <c:pt idx="3">
                  <c:v>4.3814262843613383</c:v>
                </c:pt>
                <c:pt idx="4">
                  <c:v>6.5155214776270434</c:v>
                </c:pt>
              </c:numCache>
            </c:numRef>
          </c:xVal>
          <c:yVal>
            <c:numRef>
              <c:f>WindTunnelData!$CE$28:$CE$32</c:f>
              <c:numCache>
                <c:formatCode>General</c:formatCode>
                <c:ptCount val="5"/>
                <c:pt idx="0">
                  <c:v>-3.2113904546517726E-2</c:v>
                </c:pt>
                <c:pt idx="1">
                  <c:v>0.13559953144760767</c:v>
                </c:pt>
                <c:pt idx="2">
                  <c:v>0.29633501544875313</c:v>
                </c:pt>
                <c:pt idx="3">
                  <c:v>0.45954974019438349</c:v>
                </c:pt>
                <c:pt idx="4">
                  <c:v>0.62111021400848543</c:v>
                </c:pt>
              </c:numCache>
            </c:numRef>
          </c:yVal>
          <c:smooth val="1"/>
          <c:extLst>
            <c:ext xmlns:c16="http://schemas.microsoft.com/office/drawing/2014/chart" uri="{C3380CC4-5D6E-409C-BE32-E72D297353CC}">
              <c16:uniqueId val="{0000000B-B313-4F85-9708-A7424998A1EE}"/>
            </c:ext>
          </c:extLst>
        </c:ser>
        <c:ser>
          <c:idx val="8"/>
          <c:order val="8"/>
          <c:tx>
            <c:v>ΔiH = -2 deg linear</c:v>
          </c:tx>
          <c:spPr>
            <a:ln w="25400" cap="rnd">
              <a:noFill/>
              <a:round/>
            </a:ln>
            <a:effectLst/>
          </c:spPr>
          <c:marker>
            <c:symbol val="none"/>
          </c:marker>
          <c:trendline>
            <c:name>Wind tunnel, ΔiH = -2 deg</c:name>
            <c:spPr>
              <a:ln w="15875" cap="rnd">
                <a:solidFill>
                  <a:srgbClr val="00C800"/>
                </a:solidFill>
                <a:prstDash val="lgDashDot"/>
              </a:ln>
              <a:effectLst/>
            </c:spPr>
            <c:trendlineType val="linear"/>
            <c:forward val="6"/>
            <c:backward val="0.5"/>
            <c:dispRSqr val="0"/>
            <c:dispEq val="0"/>
          </c:trendline>
          <c:xVal>
            <c:numRef>
              <c:f>WindTunnelData!$BM$40:$BM$44</c:f>
              <c:numCache>
                <c:formatCode>General</c:formatCode>
                <c:ptCount val="5"/>
                <c:pt idx="0">
                  <c:v>-2.0682262217539522</c:v>
                </c:pt>
                <c:pt idx="1">
                  <c:v>6.4397880742575297E-2</c:v>
                </c:pt>
                <c:pt idx="2">
                  <c:v>2.2045235309392766</c:v>
                </c:pt>
                <c:pt idx="3">
                  <c:v>4.3403994170036899</c:v>
                </c:pt>
                <c:pt idx="4">
                  <c:v>6.468478751210788</c:v>
                </c:pt>
              </c:numCache>
            </c:numRef>
          </c:xVal>
          <c:yVal>
            <c:numRef>
              <c:f>WindTunnelData!$CE$40:$CE$44</c:f>
              <c:numCache>
                <c:formatCode>General</c:formatCode>
                <c:ptCount val="5"/>
                <c:pt idx="0">
                  <c:v>-8.2200267173436439E-2</c:v>
                </c:pt>
                <c:pt idx="1">
                  <c:v>7.7587808123584692E-2</c:v>
                </c:pt>
                <c:pt idx="2">
                  <c:v>0.24641389269792346</c:v>
                </c:pt>
                <c:pt idx="3">
                  <c:v>0.4101197795225181</c:v>
                </c:pt>
                <c:pt idx="4">
                  <c:v>0.5644322303744429</c:v>
                </c:pt>
              </c:numCache>
            </c:numRef>
          </c:yVal>
          <c:smooth val="1"/>
          <c:extLst>
            <c:ext xmlns:c16="http://schemas.microsoft.com/office/drawing/2014/chart" uri="{C3380CC4-5D6E-409C-BE32-E72D297353CC}">
              <c16:uniqueId val="{0000000D-B313-4F85-9708-A7424998A1EE}"/>
            </c:ext>
          </c:extLst>
        </c:ser>
        <c:ser>
          <c:idx val="9"/>
          <c:order val="9"/>
          <c:tx>
            <c:v>ΔiH = -2 deg full line </c:v>
          </c:tx>
          <c:spPr>
            <a:ln w="25400" cap="rnd">
              <a:noFill/>
              <a:round/>
            </a:ln>
            <a:effectLst/>
          </c:spPr>
          <c:marker>
            <c:symbol val="none"/>
          </c:marker>
          <c:trendline>
            <c:spPr>
              <a:ln w="6350" cap="rnd">
                <a:solidFill>
                  <a:srgbClr val="00C800"/>
                </a:solidFill>
                <a:prstDash val="solid"/>
              </a:ln>
              <a:effectLst/>
            </c:spPr>
            <c:trendlineType val="poly"/>
            <c:order val="6"/>
            <c:dispRSqr val="0"/>
            <c:dispEq val="0"/>
          </c:trendline>
          <c:xVal>
            <c:numRef>
              <c:f>(WindTunnelData!$BM$40:$BM$49,WindTunnelData!$BM$51:$BM$54)</c:f>
              <c:numCache>
                <c:formatCode>General</c:formatCode>
                <c:ptCount val="14"/>
                <c:pt idx="0">
                  <c:v>-2.0682262217539522</c:v>
                </c:pt>
                <c:pt idx="1">
                  <c:v>6.4397880742575297E-2</c:v>
                </c:pt>
                <c:pt idx="2">
                  <c:v>2.2045235309392766</c:v>
                </c:pt>
                <c:pt idx="3">
                  <c:v>4.3403994170036899</c:v>
                </c:pt>
                <c:pt idx="4">
                  <c:v>6.468478751210788</c:v>
                </c:pt>
                <c:pt idx="5">
                  <c:v>8.5809419361353161</c:v>
                </c:pt>
                <c:pt idx="6">
                  <c:v>10.67659398606771</c:v>
                </c:pt>
                <c:pt idx="7">
                  <c:v>11.723647720842546</c:v>
                </c:pt>
                <c:pt idx="8">
                  <c:v>12.761826074063665</c:v>
                </c:pt>
                <c:pt idx="9">
                  <c:v>13.795514286397525</c:v>
                </c:pt>
                <c:pt idx="10">
                  <c:v>15.783563712221987</c:v>
                </c:pt>
                <c:pt idx="11">
                  <c:v>16.759975319054341</c:v>
                </c:pt>
                <c:pt idx="12">
                  <c:v>17.657022257309169</c:v>
                </c:pt>
                <c:pt idx="13">
                  <c:v>18.545517465020609</c:v>
                </c:pt>
              </c:numCache>
            </c:numRef>
          </c:xVal>
          <c:yVal>
            <c:numRef>
              <c:f>(WindTunnelData!$CE$40:$CE$49,WindTunnelData!$CE$51:$CE$54)</c:f>
              <c:numCache>
                <c:formatCode>General</c:formatCode>
                <c:ptCount val="14"/>
                <c:pt idx="0">
                  <c:v>-8.2200267173436439E-2</c:v>
                </c:pt>
                <c:pt idx="1">
                  <c:v>7.7587808123584692E-2</c:v>
                </c:pt>
                <c:pt idx="2">
                  <c:v>0.24641389269792346</c:v>
                </c:pt>
                <c:pt idx="3">
                  <c:v>0.4101197795225181</c:v>
                </c:pt>
                <c:pt idx="4">
                  <c:v>0.5644322303744429</c:v>
                </c:pt>
                <c:pt idx="5">
                  <c:v>0.69993004353652644</c:v>
                </c:pt>
                <c:pt idx="6">
                  <c:v>0.81517347719001199</c:v>
                </c:pt>
                <c:pt idx="7">
                  <c:v>0.87186472390668146</c:v>
                </c:pt>
                <c:pt idx="8">
                  <c:v>0.91786273983574029</c:v>
                </c:pt>
                <c:pt idx="9">
                  <c:v>0.95845094746689696</c:v>
                </c:pt>
                <c:pt idx="10">
                  <c:v>0.94405266532769461</c:v>
                </c:pt>
                <c:pt idx="11">
                  <c:v>0.91563291452330309</c:v>
                </c:pt>
                <c:pt idx="12">
                  <c:v>0.79159308109538473</c:v>
                </c:pt>
                <c:pt idx="13">
                  <c:v>0.65724995785615525</c:v>
                </c:pt>
              </c:numCache>
            </c:numRef>
          </c:yVal>
          <c:smooth val="1"/>
          <c:extLst>
            <c:ext xmlns:c16="http://schemas.microsoft.com/office/drawing/2014/chart" uri="{C3380CC4-5D6E-409C-BE32-E72D297353CC}">
              <c16:uniqueId val="{0000000F-B313-4F85-9708-A7424998A1EE}"/>
            </c:ext>
          </c:extLst>
        </c:ser>
        <c:ser>
          <c:idx val="10"/>
          <c:order val="10"/>
          <c:tx>
            <c:v>CLmax</c:v>
          </c:tx>
          <c:spPr>
            <a:ln w="6350" cap="rnd">
              <a:solidFill>
                <a:srgbClr val="00C800"/>
              </a:solidFill>
              <a:round/>
            </a:ln>
            <a:effectLst/>
          </c:spPr>
          <c:marker>
            <c:symbol val="none"/>
          </c:marker>
          <c:xVal>
            <c:numRef>
              <c:f>WindTunnelData!$DW$39:$DW$40</c:f>
              <c:numCache>
                <c:formatCode>General</c:formatCode>
                <c:ptCount val="2"/>
                <c:pt idx="0">
                  <c:v>-4</c:v>
                </c:pt>
                <c:pt idx="1">
                  <c:v>20</c:v>
                </c:pt>
              </c:numCache>
            </c:numRef>
          </c:xVal>
          <c:yVal>
            <c:numRef>
              <c:f>WindTunnelData!$DX$39:$DX$40</c:f>
              <c:numCache>
                <c:formatCode>General</c:formatCode>
                <c:ptCount val="2"/>
                <c:pt idx="0">
                  <c:v>0.96650000000000003</c:v>
                </c:pt>
                <c:pt idx="1">
                  <c:v>0.96650000000000003</c:v>
                </c:pt>
              </c:numCache>
            </c:numRef>
          </c:yVal>
          <c:smooth val="1"/>
          <c:extLst>
            <c:ext xmlns:c16="http://schemas.microsoft.com/office/drawing/2014/chart" uri="{C3380CC4-5D6E-409C-BE32-E72D297353CC}">
              <c16:uniqueId val="{00000010-B313-4F85-9708-A7424998A1EE}"/>
            </c:ext>
          </c:extLst>
        </c:ser>
        <c:dLbls>
          <c:showLegendKey val="0"/>
          <c:showVal val="0"/>
          <c:showCatName val="0"/>
          <c:showSerName val="0"/>
          <c:showPercent val="0"/>
          <c:showBubbleSize val="0"/>
        </c:dLbls>
        <c:axId val="689813263"/>
        <c:axId val="689819023"/>
        <c:extLst>
          <c:ext xmlns:c15="http://schemas.microsoft.com/office/drawing/2012/chart" uri="{02D57815-91ED-43cb-92C2-25804820EDAC}">
            <c15:filteredScatterSeries>
              <c15:ser>
                <c:idx val="5"/>
                <c:order val="4"/>
                <c:tx>
                  <c:v>space</c:v>
                </c:tx>
                <c:spPr>
                  <a:ln w="25400" cap="rnd">
                    <a:noFill/>
                    <a:round/>
                  </a:ln>
                  <a:effectLst/>
                </c:spPr>
                <c:marker>
                  <c:symbol val="triangle"/>
                  <c:size val="6"/>
                  <c:spPr>
                    <a:noFill/>
                    <a:ln w="9525">
                      <a:solidFill>
                        <a:srgbClr val="00C800"/>
                      </a:solidFill>
                    </a:ln>
                    <a:effectLst/>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11-B313-4F85-9708-A7424998A1EE}"/>
                  </c:ext>
                </c:extLst>
              </c15:ser>
            </c15:filteredScatterSeries>
          </c:ext>
        </c:extLst>
      </c:scatterChart>
      <c:valAx>
        <c:axId val="689813263"/>
        <c:scaling>
          <c:orientation val="minMax"/>
          <c:max val="20"/>
          <c:min val="-4"/>
        </c:scaling>
        <c:delete val="0"/>
        <c:axPos val="b"/>
        <c:title>
          <c:tx>
            <c:rich>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r>
                  <a:rPr lang="el-GR" sz="2000">
                    <a:solidFill>
                      <a:schemeClr val="tx1"/>
                    </a:solidFill>
                  </a:rPr>
                  <a:t>α</a:t>
                </a:r>
                <a:endParaRPr lang="en-MY" sz="2000">
                  <a:solidFill>
                    <a:schemeClr val="tx1"/>
                  </a:solidFill>
                </a:endParaRPr>
              </a:p>
            </c:rich>
          </c:tx>
          <c:layout>
            <c:manualLayout>
              <c:xMode val="edge"/>
              <c:yMode val="edge"/>
              <c:x val="0.91287279021428069"/>
              <c:y val="0.9319865714069971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MY"/>
            </a:p>
          </c:txPr>
        </c:title>
        <c:numFmt formatCode="#,##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89819023"/>
        <c:crosses val="autoZero"/>
        <c:crossBetween val="midCat"/>
        <c:majorUnit val="2"/>
      </c:valAx>
      <c:valAx>
        <c:axId val="689819023"/>
        <c:scaling>
          <c:orientation val="minMax"/>
          <c:max val="1.05"/>
          <c:min val="-0.1"/>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mn-lt"/>
                    <a:ea typeface="+mn-ea"/>
                    <a:cs typeface="+mn-cs"/>
                  </a:defRPr>
                </a:pPr>
                <a:r>
                  <a:rPr lang="en-MY" sz="2000">
                    <a:solidFill>
                      <a:schemeClr val="tx1"/>
                    </a:solidFill>
                  </a:rPr>
                  <a:t>C</a:t>
                </a:r>
                <a:r>
                  <a:rPr lang="en-MY" sz="2000" baseline="-25000">
                    <a:solidFill>
                      <a:schemeClr val="tx1"/>
                    </a:solidFill>
                  </a:rPr>
                  <a:t>L</a:t>
                </a:r>
                <a:endParaRPr lang="en-MY" sz="2000">
                  <a:solidFill>
                    <a:schemeClr val="tx1"/>
                  </a:solidFill>
                </a:endParaRPr>
              </a:p>
            </c:rich>
          </c:tx>
          <c:layout>
            <c:manualLayout>
              <c:xMode val="edge"/>
              <c:yMode val="edge"/>
              <c:x val="4.5402210763197025E-2"/>
              <c:y val="0.3961842678183004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MY"/>
            </a:p>
          </c:txPr>
        </c:title>
        <c:numFmt formatCode="#,##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89813263"/>
        <c:crosses val="autoZero"/>
        <c:crossBetween val="midCat"/>
        <c:majorUnit val="0.1"/>
      </c:valAx>
      <c:spPr>
        <a:noFill/>
        <a:ln>
          <a:noFill/>
        </a:ln>
        <a:effectLst/>
      </c:spPr>
    </c:plotArea>
    <c:legend>
      <c:legendPos val="r"/>
      <c:legendEntry>
        <c:idx val="2"/>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Entry>
      <c:legendEntry>
        <c:idx val="4"/>
        <c:delete val="1"/>
      </c:legendEntry>
      <c:legendEntry>
        <c:idx val="5"/>
        <c:txPr>
          <a:bodyPr rot="0" spcFirstLastPara="1" vertOverflow="ellipsis" vert="horz" wrap="square" anchor="ctr" anchorCtr="1"/>
          <a:lstStyle/>
          <a:p>
            <a:pPr>
              <a:defRPr sz="1400" b="0" i="0" u="none" strike="noStrike" kern="1200" baseline="0">
                <a:noFill/>
                <a:latin typeface="+mn-lt"/>
                <a:ea typeface="+mn-ea"/>
                <a:cs typeface="+mn-cs"/>
              </a:defRPr>
            </a:pPr>
            <a:endParaRPr lang="en-US"/>
          </a:p>
        </c:txPr>
      </c:legendEntry>
      <c:legendEntry>
        <c:idx val="6"/>
        <c:delete val="1"/>
      </c:legendEntry>
      <c:legendEntry>
        <c:idx val="7"/>
        <c:delete val="1"/>
      </c:legendEntry>
      <c:legendEntry>
        <c:idx val="8"/>
        <c:txPr>
          <a:bodyPr rot="0" spcFirstLastPara="1" vertOverflow="ellipsis" vert="horz" wrap="square" anchor="ctr" anchorCtr="1"/>
          <a:lstStyle/>
          <a:p>
            <a:pPr>
              <a:defRPr sz="1400" b="0" i="0" u="none" strike="noStrike" kern="1200" baseline="0">
                <a:noFill/>
                <a:latin typeface="+mn-lt"/>
                <a:ea typeface="+mn-ea"/>
                <a:cs typeface="+mn-cs"/>
              </a:defRPr>
            </a:pPr>
            <a:endParaRPr lang="en-US"/>
          </a:p>
        </c:txPr>
      </c:legendEntry>
      <c:legendEntry>
        <c:idx val="9"/>
        <c:delete val="1"/>
      </c:legendEntry>
      <c:legendEntry>
        <c:idx val="14"/>
        <c:delete val="1"/>
      </c:legendEntry>
      <c:legendEntry>
        <c:idx val="15"/>
        <c:delete val="1"/>
      </c:legendEntry>
      <c:legendEntry>
        <c:idx val="16"/>
        <c:delete val="1"/>
      </c:legendEntry>
      <c:layout>
        <c:manualLayout>
          <c:xMode val="edge"/>
          <c:yMode val="edge"/>
          <c:x val="0.38267084882814995"/>
          <c:y val="0.582211614367664"/>
          <c:w val="0.39462158892088173"/>
          <c:h val="0.2922006081994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dLbls>
          <c:showLegendKey val="0"/>
          <c:showVal val="0"/>
          <c:showCatName val="0"/>
          <c:showSerName val="0"/>
          <c:showPercent val="0"/>
          <c:showBubbleSize val="0"/>
        </c:dLbls>
        <c:axId val="66519375"/>
        <c:axId val="66542415"/>
      </c:scatterChart>
      <c:valAx>
        <c:axId val="66519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2415"/>
        <c:crosses val="autoZero"/>
        <c:crossBetween val="midCat"/>
      </c:valAx>
      <c:valAx>
        <c:axId val="6654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9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C</a:t>
            </a:r>
            <a:r>
              <a:rPr lang="en-US" sz="2000" baseline="-25000">
                <a:solidFill>
                  <a:schemeClr val="tx1"/>
                </a:solidFill>
              </a:rPr>
              <a:t>D</a:t>
            </a:r>
            <a:r>
              <a:rPr lang="en-US" sz="2000" baseline="0">
                <a:solidFill>
                  <a:schemeClr val="tx1"/>
                </a:solidFill>
              </a:rPr>
              <a:t> vs C</a:t>
            </a:r>
            <a:r>
              <a:rPr lang="en-US" sz="2000" baseline="-25000">
                <a:solidFill>
                  <a:schemeClr val="tx1"/>
                </a:solidFill>
              </a:rPr>
              <a:t>L</a:t>
            </a:r>
            <a:r>
              <a:rPr lang="en-US" sz="2000" baseline="30000">
                <a:solidFill>
                  <a:schemeClr val="tx1"/>
                </a:solidFill>
              </a:rPr>
              <a:t>2</a:t>
            </a:r>
            <a:endParaRPr lang="en-US" sz="2000">
              <a:solidFill>
                <a:schemeClr val="tx1"/>
              </a:solidFill>
            </a:endParaRPr>
          </a:p>
        </c:rich>
      </c:tx>
      <c:layout>
        <c:manualLayout>
          <c:xMode val="edge"/>
          <c:yMode val="edge"/>
          <c:x val="0.4323578935499563"/>
          <c:y val="8.0282357899172947E-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2.867140232767084E-2"/>
          <c:y val="1.7495924524616773E-2"/>
          <c:w val="0.92565026460984123"/>
          <c:h val="0.92566057988485684"/>
        </c:manualLayout>
      </c:layout>
      <c:scatterChart>
        <c:scatterStyle val="smoothMarker"/>
        <c:varyColors val="0"/>
        <c:ser>
          <c:idx val="0"/>
          <c:order val="0"/>
          <c:tx>
            <c:v>Flight test</c:v>
          </c:tx>
          <c:spPr>
            <a:ln w="19050" cap="rnd">
              <a:noFill/>
              <a:round/>
            </a:ln>
            <a:effectLst/>
          </c:spPr>
          <c:marker>
            <c:symbol val="x"/>
            <c:size val="6"/>
            <c:spPr>
              <a:noFill/>
              <a:ln w="9525">
                <a:solidFill>
                  <a:schemeClr val="tx1"/>
                </a:solidFill>
              </a:ln>
              <a:effectLst/>
            </c:spPr>
          </c:marker>
          <c:errBars>
            <c:errDir val="x"/>
            <c:errBarType val="both"/>
            <c:errValType val="cust"/>
            <c:noEndCap val="0"/>
            <c:plus>
              <c:numRef>
                <c:f>FlightSimData!$AL$52:$AL$64</c:f>
                <c:numCache>
                  <c:formatCode>General</c:formatCode>
                  <c:ptCount val="13"/>
                  <c:pt idx="0">
                    <c:v>1.9280837929631048E-2</c:v>
                  </c:pt>
                  <c:pt idx="1">
                    <c:v>7.8076942741713961E-3</c:v>
                  </c:pt>
                  <c:pt idx="2">
                    <c:v>4.0654881615254188E-3</c:v>
                  </c:pt>
                  <c:pt idx="3">
                    <c:v>2.0904366746878275E-3</c:v>
                  </c:pt>
                  <c:pt idx="4">
                    <c:v>1.5095765315562969E-3</c:v>
                  </c:pt>
                  <c:pt idx="5">
                    <c:v>1.1628226131684064E-3</c:v>
                  </c:pt>
                  <c:pt idx="6">
                    <c:v>7.664162344572672E-4</c:v>
                  </c:pt>
                  <c:pt idx="7">
                    <c:v>7.6645505743412558E-4</c:v>
                  </c:pt>
                  <c:pt idx="8">
                    <c:v>6.8958737308804003E-4</c:v>
                  </c:pt>
                  <c:pt idx="9">
                    <c:v>4.6942371251121269E-4</c:v>
                  </c:pt>
                  <c:pt idx="10">
                    <c:v>3.6931973021985356E-4</c:v>
                  </c:pt>
                  <c:pt idx="11">
                    <c:v>2.974360702955162E-4</c:v>
                  </c:pt>
                  <c:pt idx="12">
                    <c:v>2.2032038735451034E-4</c:v>
                  </c:pt>
                </c:numCache>
              </c:numRef>
            </c:plus>
            <c:minus>
              <c:numRef>
                <c:f>FlightSimData!$AL$52:$AL$64</c:f>
                <c:numCache>
                  <c:formatCode>General</c:formatCode>
                  <c:ptCount val="13"/>
                  <c:pt idx="0">
                    <c:v>1.9280837929631048E-2</c:v>
                  </c:pt>
                  <c:pt idx="1">
                    <c:v>7.8076942741713961E-3</c:v>
                  </c:pt>
                  <c:pt idx="2">
                    <c:v>4.0654881615254188E-3</c:v>
                  </c:pt>
                  <c:pt idx="3">
                    <c:v>2.0904366746878275E-3</c:v>
                  </c:pt>
                  <c:pt idx="4">
                    <c:v>1.5095765315562969E-3</c:v>
                  </c:pt>
                  <c:pt idx="5">
                    <c:v>1.1628226131684064E-3</c:v>
                  </c:pt>
                  <c:pt idx="6">
                    <c:v>7.664162344572672E-4</c:v>
                  </c:pt>
                  <c:pt idx="7">
                    <c:v>7.6645505743412558E-4</c:v>
                  </c:pt>
                  <c:pt idx="8">
                    <c:v>6.8958737308804003E-4</c:v>
                  </c:pt>
                  <c:pt idx="9">
                    <c:v>4.6942371251121269E-4</c:v>
                  </c:pt>
                  <c:pt idx="10">
                    <c:v>3.6931973021985356E-4</c:v>
                  </c:pt>
                  <c:pt idx="11">
                    <c:v>2.974360702955162E-4</c:v>
                  </c:pt>
                  <c:pt idx="12">
                    <c:v>2.2032038735451034E-4</c:v>
                  </c:pt>
                </c:numCache>
              </c:numRef>
            </c:minus>
            <c:spPr>
              <a:noFill/>
              <a:ln w="6350" cap="flat" cmpd="sng" algn="ctr">
                <a:solidFill>
                  <a:schemeClr val="tx1"/>
                </a:solidFill>
                <a:round/>
              </a:ln>
              <a:effectLst/>
            </c:spPr>
          </c:errBars>
          <c:errBars>
            <c:errDir val="y"/>
            <c:errBarType val="both"/>
            <c:errValType val="cust"/>
            <c:noEndCap val="0"/>
            <c:pl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plus>
            <c:minus>
              <c:numRef>
                <c:f>FlightSimData!$AF$52:$AF$64</c:f>
                <c:numCache>
                  <c:formatCode>General</c:formatCode>
                  <c:ptCount val="13"/>
                  <c:pt idx="0">
                    <c:v>7.3512492321730141E-3</c:v>
                  </c:pt>
                  <c:pt idx="1">
                    <c:v>4.2185143770526482E-3</c:v>
                  </c:pt>
                  <c:pt idx="2">
                    <c:v>2.8439767714597635E-3</c:v>
                  </c:pt>
                  <c:pt idx="3">
                    <c:v>1.9070394278235597E-3</c:v>
                  </c:pt>
                  <c:pt idx="4">
                    <c:v>1.618571428525677E-3</c:v>
                  </c:pt>
                  <c:pt idx="5">
                    <c:v>1.363852883689569E-3</c:v>
                  </c:pt>
                  <c:pt idx="6">
                    <c:v>1.109333112703999E-3</c:v>
                  </c:pt>
                  <c:pt idx="7">
                    <c:v>1.1956913451877191E-3</c:v>
                  </c:pt>
                  <c:pt idx="8">
                    <c:v>1.0488672227602855E-3</c:v>
                  </c:pt>
                  <c:pt idx="9">
                    <c:v>8.6962339785945462E-4</c:v>
                  </c:pt>
                  <c:pt idx="10">
                    <c:v>7.7034006256148908E-4</c:v>
                  </c:pt>
                  <c:pt idx="11">
                    <c:v>7.2167459706233084E-4</c:v>
                  </c:pt>
                  <c:pt idx="12">
                    <c:v>6.7741540646906045E-4</c:v>
                  </c:pt>
                </c:numCache>
              </c:numRef>
            </c:minus>
            <c:spPr>
              <a:noFill/>
              <a:ln w="6350" cap="flat" cmpd="sng" algn="ctr">
                <a:solidFill>
                  <a:schemeClr val="tx1"/>
                </a:solidFill>
                <a:round/>
              </a:ln>
              <a:effectLst/>
            </c:spPr>
          </c:errBars>
          <c:xVal>
            <c:numRef>
              <c:f>FlightSimData!$AK$52:$AK$64</c:f>
              <c:numCache>
                <c:formatCode>General</c:formatCode>
                <c:ptCount val="13"/>
                <c:pt idx="0">
                  <c:v>0.48176252951864906</c:v>
                </c:pt>
                <c:pt idx="1">
                  <c:v>0.23408071842727521</c:v>
                </c:pt>
                <c:pt idx="2">
                  <c:v>0.1421918051019545</c:v>
                </c:pt>
                <c:pt idx="3">
                  <c:v>8.3550206308702218E-2</c:v>
                </c:pt>
                <c:pt idx="4">
                  <c:v>6.4101553705563682E-2</c:v>
                </c:pt>
                <c:pt idx="5">
                  <c:v>5.227972407645505E-2</c:v>
                </c:pt>
                <c:pt idx="6">
                  <c:v>3.7325904031797363E-2</c:v>
                </c:pt>
                <c:pt idx="7">
                  <c:v>3.7327795717200143E-2</c:v>
                </c:pt>
                <c:pt idx="8">
                  <c:v>3.4444819340661931E-2</c:v>
                </c:pt>
                <c:pt idx="9">
                  <c:v>2.5204032693874594E-2</c:v>
                </c:pt>
                <c:pt idx="10">
                  <c:v>2.0288480028626741E-2</c:v>
                </c:pt>
                <c:pt idx="11">
                  <c:v>1.7453438605703451E-2</c:v>
                </c:pt>
                <c:pt idx="12">
                  <c:v>1.3752559586288817E-2</c:v>
                </c:pt>
              </c:numCache>
            </c:numRef>
          </c:xVal>
          <c:yVal>
            <c:numRef>
              <c:f>FlightSimData!$AE$52:$AE$64</c:f>
              <c:numCache>
                <c:formatCode>General</c:formatCode>
                <c:ptCount val="13"/>
                <c:pt idx="0">
                  <c:v>3.6284670493903041E-2</c:v>
                </c:pt>
                <c:pt idx="1">
                  <c:v>2.3224846879241843E-2</c:v>
                </c:pt>
                <c:pt idx="2">
                  <c:v>1.9304170652078595E-2</c:v>
                </c:pt>
                <c:pt idx="3">
                  <c:v>1.4770528939999533E-2</c:v>
                </c:pt>
                <c:pt idx="4">
                  <c:v>1.5566759215883231E-2</c:v>
                </c:pt>
                <c:pt idx="5">
                  <c:v>1.3058823472657599E-2</c:v>
                </c:pt>
                <c:pt idx="6">
                  <c:v>1.3993885106919597E-2</c:v>
                </c:pt>
                <c:pt idx="7">
                  <c:v>1.960200339107087E-2</c:v>
                </c:pt>
                <c:pt idx="8">
                  <c:v>1.4098960193129067E-2</c:v>
                </c:pt>
                <c:pt idx="9">
                  <c:v>1.4566911533863951E-2</c:v>
                </c:pt>
                <c:pt idx="10">
                  <c:v>1.364348326922564E-2</c:v>
                </c:pt>
                <c:pt idx="11">
                  <c:v>1.6785980262405555E-2</c:v>
                </c:pt>
                <c:pt idx="12">
                  <c:v>2.1164682034744926E-2</c:v>
                </c:pt>
              </c:numCache>
            </c:numRef>
          </c:yVal>
          <c:smooth val="1"/>
          <c:extLst>
            <c:ext xmlns:c16="http://schemas.microsoft.com/office/drawing/2014/chart" uri="{C3380CC4-5D6E-409C-BE32-E72D297353CC}">
              <c16:uniqueId val="{00000001-9BE0-40EA-A284-E390DC1382F4}"/>
            </c:ext>
          </c:extLst>
        </c:ser>
        <c:ser>
          <c:idx val="1"/>
          <c:order val="1"/>
          <c:tx>
            <c:v>Wind tunnel, No tail</c:v>
          </c:tx>
          <c:spPr>
            <a:ln w="25400" cap="rnd">
              <a:noFill/>
              <a:round/>
            </a:ln>
            <a:effectLst/>
          </c:spPr>
          <c:marker>
            <c:symbol val="circle"/>
            <c:size val="5"/>
            <c:spPr>
              <a:noFill/>
              <a:ln w="9525">
                <a:solidFill>
                  <a:srgbClr val="FF0000"/>
                </a:solidFill>
              </a:ln>
              <a:effectLst/>
            </c:spPr>
          </c:marker>
          <c:errBars>
            <c:errDir val="x"/>
            <c:errBarType val="both"/>
            <c:errValType val="cust"/>
            <c:noEndCap val="0"/>
            <c:plus>
              <c:numRef>
                <c:f>WindTunnelData!$CP$16:$CP$23</c:f>
                <c:numCache>
                  <c:formatCode>General</c:formatCode>
                  <c:ptCount val="8"/>
                  <c:pt idx="0">
                    <c:v>-1.7987668549181409E-4</c:v>
                  </c:pt>
                  <c:pt idx="1">
                    <c:v>4.1621141492175868E-3</c:v>
                  </c:pt>
                  <c:pt idx="2">
                    <c:v>6.3013608593957366E-3</c:v>
                  </c:pt>
                  <c:pt idx="3">
                    <c:v>1.2266644816616743E-2</c:v>
                  </c:pt>
                  <c:pt idx="4">
                    <c:v>1.6992904023442536E-2</c:v>
                  </c:pt>
                  <c:pt idx="5">
                    <c:v>1.9578434667812859E-2</c:v>
                  </c:pt>
                  <c:pt idx="6">
                    <c:v>3.2693914316626889E-2</c:v>
                  </c:pt>
                  <c:pt idx="7">
                    <c:v>3.0116078202704163E-2</c:v>
                  </c:pt>
                </c:numCache>
              </c:numRef>
            </c:plus>
            <c:minus>
              <c:numRef>
                <c:f>WindTunnelData!$CP$16:$CP$23</c:f>
                <c:numCache>
                  <c:formatCode>General</c:formatCode>
                  <c:ptCount val="8"/>
                  <c:pt idx="0">
                    <c:v>-1.7987668549181409E-4</c:v>
                  </c:pt>
                  <c:pt idx="1">
                    <c:v>4.1621141492175868E-3</c:v>
                  </c:pt>
                  <c:pt idx="2">
                    <c:v>6.3013608593957366E-3</c:v>
                  </c:pt>
                  <c:pt idx="3">
                    <c:v>1.2266644816616743E-2</c:v>
                  </c:pt>
                  <c:pt idx="4">
                    <c:v>1.6992904023442536E-2</c:v>
                  </c:pt>
                  <c:pt idx="5">
                    <c:v>1.9578434667812859E-2</c:v>
                  </c:pt>
                  <c:pt idx="6">
                    <c:v>3.2693914316626889E-2</c:v>
                  </c:pt>
                  <c:pt idx="7">
                    <c:v>3.0116078202704163E-2</c:v>
                  </c:pt>
                </c:numCache>
              </c:numRef>
            </c:minus>
            <c:spPr>
              <a:noFill/>
              <a:ln w="6350" cap="flat" cmpd="sng" algn="ctr">
                <a:solidFill>
                  <a:srgbClr val="FF0000"/>
                </a:solidFill>
                <a:round/>
              </a:ln>
              <a:effectLst/>
            </c:spPr>
          </c:errBars>
          <c:errBars>
            <c:errDir val="y"/>
            <c:errBarType val="both"/>
            <c:errValType val="cust"/>
            <c:noEndCap val="0"/>
            <c:pl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plus>
            <c:minus>
              <c:numRef>
                <c:f>WindTunnelData!$CI$16:$CI$23</c:f>
                <c:numCache>
                  <c:formatCode>General</c:formatCode>
                  <c:ptCount val="8"/>
                  <c:pt idx="0">
                    <c:v>7.2812186906453819E-3</c:v>
                  </c:pt>
                  <c:pt idx="1">
                    <c:v>7.0663713704430375E-3</c:v>
                  </c:pt>
                  <c:pt idx="2">
                    <c:v>5.9613479764934968E-3</c:v>
                  </c:pt>
                  <c:pt idx="3">
                    <c:v>8.3868075228100986E-3</c:v>
                  </c:pt>
                  <c:pt idx="4">
                    <c:v>8.3305273032876891E-3</c:v>
                  </c:pt>
                  <c:pt idx="5">
                    <c:v>7.6830640163681636E-3</c:v>
                  </c:pt>
                  <c:pt idx="6">
                    <c:v>9.2260605217509631E-3</c:v>
                  </c:pt>
                  <c:pt idx="7">
                    <c:v>9.3964526786763907E-3</c:v>
                  </c:pt>
                </c:numCache>
              </c:numRef>
            </c:minus>
            <c:spPr>
              <a:noFill/>
              <a:ln w="6350" cap="flat" cmpd="sng" algn="ctr">
                <a:solidFill>
                  <a:srgbClr val="FF0000"/>
                </a:solidFill>
                <a:round/>
              </a:ln>
              <a:effectLst/>
            </c:spPr>
          </c:errBars>
          <c:xVal>
            <c:numRef>
              <c:f>WindTunnelData!$CO$16:$CO$23</c:f>
              <c:numCache>
                <c:formatCode>General</c:formatCode>
                <c:ptCount val="8"/>
                <c:pt idx="0">
                  <c:v>3.6710127684499752E-5</c:v>
                </c:pt>
                <c:pt idx="1">
                  <c:v>1.7701107821622902E-2</c:v>
                </c:pt>
                <c:pt idx="2">
                  <c:v>7.5958100559847155E-2</c:v>
                </c:pt>
                <c:pt idx="3">
                  <c:v>0.17418457182643937</c:v>
                </c:pt>
                <c:pt idx="4">
                  <c:v>0.30436238711384245</c:v>
                </c:pt>
                <c:pt idx="5">
                  <c:v>0.44316240412800617</c:v>
                </c:pt>
                <c:pt idx="6">
                  <c:v>0.57392682557037045</c:v>
                </c:pt>
                <c:pt idx="7">
                  <c:v>0.70581336713223275</c:v>
                </c:pt>
              </c:numCache>
            </c:numRef>
          </c:xVal>
          <c:yVal>
            <c:numRef>
              <c:f>WindTunnelData!$CF$16:$CF$23</c:f>
              <c:numCache>
                <c:formatCode>General</c:formatCode>
                <c:ptCount val="8"/>
                <c:pt idx="0">
                  <c:v>2.2788575242373904E-2</c:v>
                </c:pt>
                <c:pt idx="1">
                  <c:v>2.1499657916776167E-2</c:v>
                </c:pt>
                <c:pt idx="2">
                  <c:v>2.4315835428577383E-2</c:v>
                </c:pt>
                <c:pt idx="3">
                  <c:v>3.2029448189546388E-2</c:v>
                </c:pt>
                <c:pt idx="4">
                  <c:v>4.133202828660941E-2</c:v>
                </c:pt>
                <c:pt idx="5">
                  <c:v>5.5182342468022325E-2</c:v>
                </c:pt>
                <c:pt idx="6">
                  <c:v>6.8997923703347813E-2</c:v>
                </c:pt>
                <c:pt idx="7">
                  <c:v>9.2338968303444555E-2</c:v>
                </c:pt>
              </c:numCache>
            </c:numRef>
          </c:yVal>
          <c:smooth val="1"/>
          <c:extLst>
            <c:ext xmlns:c16="http://schemas.microsoft.com/office/drawing/2014/chart" uri="{C3380CC4-5D6E-409C-BE32-E72D297353CC}">
              <c16:uniqueId val="{00000002-9BE0-40EA-A284-E390DC1382F4}"/>
            </c:ext>
          </c:extLst>
        </c:ser>
        <c:ser>
          <c:idx val="2"/>
          <c:order val="2"/>
          <c:tx>
            <c:v>Wind tunnel, ΔiH = +1 deg</c:v>
          </c:tx>
          <c:spPr>
            <a:ln w="25400" cap="rnd">
              <a:noFill/>
              <a:round/>
            </a:ln>
            <a:effectLst/>
          </c:spPr>
          <c:marker>
            <c:symbol val="square"/>
            <c:size val="5"/>
            <c:spPr>
              <a:noFill/>
              <a:ln w="9525">
                <a:solidFill>
                  <a:srgbClr val="0000FF"/>
                </a:solidFill>
              </a:ln>
              <a:effectLst/>
            </c:spPr>
          </c:marker>
          <c:errBars>
            <c:errDir val="x"/>
            <c:errBarType val="both"/>
            <c:errValType val="cust"/>
            <c:noEndCap val="0"/>
            <c:plus>
              <c:numRef>
                <c:f>WindTunnelData!$CP$28:$CP$35</c:f>
                <c:numCache>
                  <c:formatCode>General</c:formatCode>
                  <c:ptCount val="8"/>
                  <c:pt idx="0">
                    <c:v>-7.7293432230337829E-4</c:v>
                  </c:pt>
                  <c:pt idx="1">
                    <c:v>4.074424996413006E-3</c:v>
                  </c:pt>
                  <c:pt idx="2">
                    <c:v>9.5929310640025401E-3</c:v>
                  </c:pt>
                  <c:pt idx="3">
                    <c:v>1.3468771394686845E-2</c:v>
                  </c:pt>
                  <c:pt idx="4">
                    <c:v>1.7201120181636755E-2</c:v>
                  </c:pt>
                  <c:pt idx="5">
                    <c:v>2.0166657741494422E-2</c:v>
                  </c:pt>
                  <c:pt idx="6">
                    <c:v>2.7123591579250761E-2</c:v>
                  </c:pt>
                  <c:pt idx="7">
                    <c:v>2.90081063280553E-2</c:v>
                  </c:pt>
                </c:numCache>
              </c:numRef>
            </c:plus>
            <c:minus>
              <c:numRef>
                <c:f>WindTunnelData!$CP$28:$CP$35</c:f>
                <c:numCache>
                  <c:formatCode>General</c:formatCode>
                  <c:ptCount val="8"/>
                  <c:pt idx="0">
                    <c:v>-7.7293432230337829E-4</c:v>
                  </c:pt>
                  <c:pt idx="1">
                    <c:v>4.074424996413006E-3</c:v>
                  </c:pt>
                  <c:pt idx="2">
                    <c:v>9.5929310640025401E-3</c:v>
                  </c:pt>
                  <c:pt idx="3">
                    <c:v>1.3468771394686845E-2</c:v>
                  </c:pt>
                  <c:pt idx="4">
                    <c:v>1.7201120181636755E-2</c:v>
                  </c:pt>
                  <c:pt idx="5">
                    <c:v>2.0166657741494422E-2</c:v>
                  </c:pt>
                  <c:pt idx="6">
                    <c:v>2.7123591579250761E-2</c:v>
                  </c:pt>
                  <c:pt idx="7">
                    <c:v>2.90081063280553E-2</c:v>
                  </c:pt>
                </c:numCache>
              </c:numRef>
            </c:minus>
            <c:spPr>
              <a:noFill/>
              <a:ln w="6350" cap="flat" cmpd="sng" algn="ctr">
                <a:solidFill>
                  <a:srgbClr val="0000FF"/>
                </a:solidFill>
                <a:round/>
              </a:ln>
              <a:effectLst/>
            </c:spPr>
          </c:errBars>
          <c:errBars>
            <c:errDir val="y"/>
            <c:errBarType val="both"/>
            <c:errValType val="cust"/>
            <c:noEndCap val="0"/>
            <c:pl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plus>
            <c:minus>
              <c:numRef>
                <c:f>WindTunnelData!$CI$28:$CI$35</c:f>
                <c:numCache>
                  <c:formatCode>General</c:formatCode>
                  <c:ptCount val="8"/>
                  <c:pt idx="0">
                    <c:v>7.7391428374013593E-3</c:v>
                  </c:pt>
                  <c:pt idx="1">
                    <c:v>6.2564145190774139E-3</c:v>
                  </c:pt>
                  <c:pt idx="2">
                    <c:v>8.2218890019355676E-3</c:v>
                  </c:pt>
                  <c:pt idx="3">
                    <c:v>8.2141894795964947E-3</c:v>
                  </c:pt>
                  <c:pt idx="4">
                    <c:v>7.0196414882099361E-3</c:v>
                  </c:pt>
                  <c:pt idx="5">
                    <c:v>7.0934159617707737E-3</c:v>
                  </c:pt>
                  <c:pt idx="6">
                    <c:v>9.2889723472302215E-3</c:v>
                  </c:pt>
                  <c:pt idx="7">
                    <c:v>8.7840691798805864E-3</c:v>
                  </c:pt>
                </c:numCache>
              </c:numRef>
            </c:minus>
            <c:spPr>
              <a:noFill/>
              <a:ln w="6350" cap="flat" cmpd="sng" algn="ctr">
                <a:solidFill>
                  <a:srgbClr val="0000FF"/>
                </a:solidFill>
                <a:round/>
              </a:ln>
              <a:effectLst/>
            </c:spPr>
          </c:errBars>
          <c:xVal>
            <c:numRef>
              <c:f>WindTunnelData!$CO$28:$CO$35</c:f>
              <c:numCache>
                <c:formatCode>General</c:formatCode>
                <c:ptCount val="8"/>
                <c:pt idx="0">
                  <c:v>1.0313028652228519E-3</c:v>
                </c:pt>
                <c:pt idx="1">
                  <c:v>1.838723292881074E-2</c:v>
                </c:pt>
                <c:pt idx="2">
                  <c:v>8.7814441381012756E-2</c:v>
                </c:pt>
                <c:pt idx="3">
                  <c:v>0.21118596371272536</c:v>
                </c:pt>
                <c:pt idx="4">
                  <c:v>0.38577789794566658</c:v>
                </c:pt>
                <c:pt idx="5">
                  <c:v>0.56161693963587322</c:v>
                </c:pt>
                <c:pt idx="6">
                  <c:v>0.73958200789637407</c:v>
                </c:pt>
                <c:pt idx="7">
                  <c:v>0.90956803941810604</c:v>
                </c:pt>
              </c:numCache>
            </c:numRef>
          </c:xVal>
          <c:yVal>
            <c:numRef>
              <c:f>WindTunnelData!$CF$28:$CF$35</c:f>
              <c:numCache>
                <c:formatCode>General</c:formatCode>
                <c:ptCount val="8"/>
                <c:pt idx="0">
                  <c:v>2.6956112712433488E-2</c:v>
                </c:pt>
                <c:pt idx="1">
                  <c:v>2.639970638136184E-2</c:v>
                </c:pt>
                <c:pt idx="2">
                  <c:v>2.9727485529569567E-2</c:v>
                </c:pt>
                <c:pt idx="3">
                  <c:v>3.8063760025211224E-2</c:v>
                </c:pt>
                <c:pt idx="4">
                  <c:v>5.0115161613790635E-2</c:v>
                </c:pt>
                <c:pt idx="5">
                  <c:v>6.5104790445474028E-2</c:v>
                </c:pt>
                <c:pt idx="6">
                  <c:v>8.6509842313949786E-2</c:v>
                </c:pt>
                <c:pt idx="7">
                  <c:v>0.11084509641167141</c:v>
                </c:pt>
              </c:numCache>
            </c:numRef>
          </c:yVal>
          <c:smooth val="1"/>
          <c:extLst>
            <c:ext xmlns:c16="http://schemas.microsoft.com/office/drawing/2014/chart" uri="{C3380CC4-5D6E-409C-BE32-E72D297353CC}">
              <c16:uniqueId val="{00000003-9BE0-40EA-A284-E390DC1382F4}"/>
            </c:ext>
          </c:extLst>
        </c:ser>
        <c:ser>
          <c:idx val="3"/>
          <c:order val="3"/>
          <c:tx>
            <c:v>Wind tunnel, ΔiH = -2 deg</c:v>
          </c:tx>
          <c:spPr>
            <a:ln w="25400" cap="rnd">
              <a:noFill/>
              <a:round/>
            </a:ln>
            <a:effectLst/>
          </c:spPr>
          <c:marker>
            <c:symbol val="triangle"/>
            <c:size val="6"/>
            <c:spPr>
              <a:noFill/>
              <a:ln w="9525">
                <a:solidFill>
                  <a:srgbClr val="00C800"/>
                </a:solidFill>
              </a:ln>
              <a:effectLst/>
            </c:spPr>
          </c:marker>
          <c:errBars>
            <c:errDir val="x"/>
            <c:errBarType val="both"/>
            <c:errValType val="cust"/>
            <c:noEndCap val="0"/>
            <c:plus>
              <c:numRef>
                <c:f>WindTunnelData!$CP$40:$CP$49</c:f>
                <c:numCache>
                  <c:formatCode>General</c:formatCode>
                  <c:ptCount val="10"/>
                  <c:pt idx="0">
                    <c:v>-3.0755527828746332E-3</c:v>
                  </c:pt>
                  <c:pt idx="1">
                    <c:v>2.754681372571643E-3</c:v>
                  </c:pt>
                  <c:pt idx="2">
                    <c:v>7.5506764411252363E-3</c:v>
                  </c:pt>
                  <c:pt idx="3">
                    <c:v>1.2366853186980532E-2</c:v>
                  </c:pt>
                  <c:pt idx="4">
                    <c:v>1.3539444323238772E-2</c:v>
                  </c:pt>
                  <c:pt idx="5">
                    <c:v>2.3503201312401939E-2</c:v>
                  </c:pt>
                  <c:pt idx="6">
                    <c:v>2.8969101842351536E-2</c:v>
                  </c:pt>
                  <c:pt idx="7">
                    <c:v>3.4599652857075107E-2</c:v>
                  </c:pt>
                  <c:pt idx="8">
                    <c:v>4.0146879710192984E-2</c:v>
                  </c:pt>
                  <c:pt idx="9">
                    <c:v>4.0965758464212763E-2</c:v>
                  </c:pt>
                </c:numCache>
              </c:numRef>
            </c:plus>
            <c:minus>
              <c:numRef>
                <c:f>WindTunnelData!$CP$40:$CP$49</c:f>
                <c:numCache>
                  <c:formatCode>General</c:formatCode>
                  <c:ptCount val="10"/>
                  <c:pt idx="0">
                    <c:v>-3.0755527828746332E-3</c:v>
                  </c:pt>
                  <c:pt idx="1">
                    <c:v>2.754681372571643E-3</c:v>
                  </c:pt>
                  <c:pt idx="2">
                    <c:v>7.5506764411252363E-3</c:v>
                  </c:pt>
                  <c:pt idx="3">
                    <c:v>1.2366853186980532E-2</c:v>
                  </c:pt>
                  <c:pt idx="4">
                    <c:v>1.3539444323238772E-2</c:v>
                  </c:pt>
                  <c:pt idx="5">
                    <c:v>2.3503201312401939E-2</c:v>
                  </c:pt>
                  <c:pt idx="6">
                    <c:v>2.8969101842351536E-2</c:v>
                  </c:pt>
                  <c:pt idx="7">
                    <c:v>3.4599652857075107E-2</c:v>
                  </c:pt>
                  <c:pt idx="8">
                    <c:v>4.0146879710192984E-2</c:v>
                  </c:pt>
                  <c:pt idx="9">
                    <c:v>4.0965758464212763E-2</c:v>
                  </c:pt>
                </c:numCache>
              </c:numRef>
            </c:minus>
            <c:spPr>
              <a:noFill/>
              <a:ln w="6350" cap="flat" cmpd="sng" algn="ctr">
                <a:solidFill>
                  <a:srgbClr val="00C800"/>
                </a:solidFill>
                <a:round/>
              </a:ln>
              <a:effectLst/>
            </c:spPr>
          </c:errBars>
          <c:errBars>
            <c:errDir val="y"/>
            <c:errBarType val="both"/>
            <c:errValType val="cust"/>
            <c:noEndCap val="0"/>
            <c:pl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plus>
            <c:minus>
              <c:numRef>
                <c:f>WindTunnelData!$CI$40:$CI$55</c:f>
                <c:numCache>
                  <c:formatCode>General</c:formatCode>
                  <c:ptCount val="16"/>
                  <c:pt idx="0">
                    <c:v>7.8750240701571002E-3</c:v>
                  </c:pt>
                  <c:pt idx="1">
                    <c:v>8.9507431798128805E-3</c:v>
                  </c:pt>
                  <c:pt idx="2">
                    <c:v>7.5040218806700755E-3</c:v>
                  </c:pt>
                  <c:pt idx="3">
                    <c:v>8.0065058990922196E-3</c:v>
                  </c:pt>
                  <c:pt idx="4">
                    <c:v>6.1786056556834478E-3</c:v>
                  </c:pt>
                  <c:pt idx="5">
                    <c:v>9.3408205725594145E-3</c:v>
                  </c:pt>
                  <c:pt idx="6">
                    <c:v>9.3314930465421102E-3</c:v>
                  </c:pt>
                  <c:pt idx="7">
                    <c:v>9.696216849297775E-3</c:v>
                  </c:pt>
                  <c:pt idx="8">
                    <c:v>1.0823900967550879E-2</c:v>
                  </c:pt>
                  <c:pt idx="9">
                    <c:v>1.1049982404161933E-2</c:v>
                  </c:pt>
                  <c:pt idx="10">
                    <c:v>3.1359181431501647E-2</c:v>
                  </c:pt>
                  <c:pt idx="11">
                    <c:v>2.6528977475850743E-2</c:v>
                  </c:pt>
                  <c:pt idx="12">
                    <c:v>2.8185144472235128E-2</c:v>
                  </c:pt>
                  <c:pt idx="13">
                    <c:v>4.2835869732610193E-2</c:v>
                  </c:pt>
                  <c:pt idx="14">
                    <c:v>4.6728661584853615E-2</c:v>
                  </c:pt>
                  <c:pt idx="15">
                    <c:v>5.1626956355804811E-2</c:v>
                  </c:pt>
                </c:numCache>
              </c:numRef>
            </c:minus>
            <c:spPr>
              <a:noFill/>
              <a:ln w="6350" cap="flat" cmpd="sng" algn="ctr">
                <a:solidFill>
                  <a:srgbClr val="00C800"/>
                </a:solidFill>
                <a:round/>
              </a:ln>
              <a:effectLst/>
            </c:spPr>
          </c:errBars>
          <c:xVal>
            <c:numRef>
              <c:f>WindTunnelData!$CO$40:$CO$49</c:f>
              <c:numCache>
                <c:formatCode>General</c:formatCode>
                <c:ptCount val="10"/>
                <c:pt idx="0">
                  <c:v>6.7568839233843325E-3</c:v>
                </c:pt>
                <c:pt idx="1">
                  <c:v>6.0198679694221944E-3</c:v>
                </c:pt>
                <c:pt idx="2">
                  <c:v>6.0719806514543742E-2</c:v>
                </c:pt>
                <c:pt idx="3">
                  <c:v>0.16819823355559885</c:v>
                </c:pt>
                <c:pt idx="4">
                  <c:v>0.31858374268546819</c:v>
                </c:pt>
                <c:pt idx="5">
                  <c:v>0.48990206584504381</c:v>
                </c:pt>
                <c:pt idx="6">
                  <c:v>0.66450779791405501</c:v>
                </c:pt>
                <c:pt idx="7">
                  <c:v>0.76014809679287387</c:v>
                </c:pt>
                <c:pt idx="8">
                  <c:v>0.84247200917877185</c:v>
                </c:pt>
                <c:pt idx="9">
                  <c:v>0.91862821870019251</c:v>
                </c:pt>
              </c:numCache>
            </c:numRef>
          </c:xVal>
          <c:yVal>
            <c:numRef>
              <c:f>WindTunnelData!$CF$40:$CF$49</c:f>
              <c:numCache>
                <c:formatCode>General</c:formatCode>
                <c:ptCount val="10"/>
                <c:pt idx="0">
                  <c:v>3.1207433073387102E-2</c:v>
                </c:pt>
                <c:pt idx="1">
                  <c:v>2.8347962065335641E-2</c:v>
                </c:pt>
                <c:pt idx="2">
                  <c:v>2.8511650982190752E-2</c:v>
                </c:pt>
                <c:pt idx="3">
                  <c:v>3.722271147320718E-2</c:v>
                </c:pt>
                <c:pt idx="4">
                  <c:v>4.6049654823073619E-2</c:v>
                </c:pt>
                <c:pt idx="5">
                  <c:v>6.2503218024203694E-2</c:v>
                </c:pt>
                <c:pt idx="6">
                  <c:v>8.1524728281361286E-2</c:v>
                </c:pt>
                <c:pt idx="7">
                  <c:v>9.1955846352354639E-2</c:v>
                </c:pt>
                <c:pt idx="8">
                  <c:v>0.10547363185668657</c:v>
                </c:pt>
                <c:pt idx="9">
                  <c:v>0.11741263842310271</c:v>
                </c:pt>
              </c:numCache>
            </c:numRef>
          </c:yVal>
          <c:smooth val="1"/>
          <c:extLst>
            <c:ext xmlns:c16="http://schemas.microsoft.com/office/drawing/2014/chart" uri="{C3380CC4-5D6E-409C-BE32-E72D297353CC}">
              <c16:uniqueId val="{00000004-9BE0-40EA-A284-E390DC1382F4}"/>
            </c:ext>
          </c:extLst>
        </c:ser>
        <c:ser>
          <c:idx val="5"/>
          <c:order val="4"/>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7-9BE0-40EA-A284-E390DC1382F4}"/>
            </c:ext>
          </c:extLst>
        </c:ser>
        <c:ser>
          <c:idx val="6"/>
          <c:order val="5"/>
          <c:tx>
            <c:v>space</c:v>
          </c:tx>
          <c:spPr>
            <a:ln w="25400" cap="rnd">
              <a:noFill/>
              <a:round/>
            </a:ln>
            <a:effectLst/>
          </c:spPr>
          <c:marker>
            <c:symbol val="none"/>
          </c:marker>
          <c:xVal>
            <c:numLit>
              <c:formatCode>General</c:formatCode>
              <c:ptCount val="1"/>
              <c:pt idx="0">
                <c:v>0</c:v>
              </c:pt>
            </c:numLit>
          </c:xVal>
          <c:yVal>
            <c:numLit>
              <c:formatCode>General</c:formatCode>
              <c:ptCount val="1"/>
              <c:pt idx="0">
                <c:v>0</c:v>
              </c:pt>
            </c:numLit>
          </c:yVal>
          <c:smooth val="1"/>
          <c:extLst xmlns:c15="http://schemas.microsoft.com/office/drawing/2012/chart">
            <c:ext xmlns:c16="http://schemas.microsoft.com/office/drawing/2014/chart" uri="{C3380CC4-5D6E-409C-BE32-E72D297353CC}">
              <c16:uniqueId val="{0000000C-9BE0-40EA-A284-E390DC1382F4}"/>
            </c:ext>
          </c:extLst>
        </c:ser>
        <c:ser>
          <c:idx val="9"/>
          <c:order val="6"/>
          <c:tx>
            <c:v>FT</c:v>
          </c:tx>
          <c:spPr>
            <a:ln w="25400" cap="rnd">
              <a:noFill/>
              <a:round/>
            </a:ln>
            <a:effectLst/>
          </c:spPr>
          <c:marker>
            <c:symbol val="none"/>
          </c:marker>
          <c:trendline>
            <c:name>Flight test</c:name>
            <c:spPr>
              <a:ln w="9525" cap="rnd">
                <a:solidFill>
                  <a:schemeClr val="tx1"/>
                </a:solidFill>
                <a:prstDash val="solid"/>
              </a:ln>
              <a:effectLst/>
            </c:spPr>
            <c:trendlineType val="linear"/>
            <c:forward val="0.55000000000000004"/>
            <c:backward val="0.15000000000000002"/>
            <c:dispRSqr val="0"/>
            <c:dispEq val="0"/>
          </c:trendline>
          <c:xVal>
            <c:numRef>
              <c:f>FlightSimData!$AK$52:$AK$57</c:f>
              <c:numCache>
                <c:formatCode>General</c:formatCode>
                <c:ptCount val="6"/>
                <c:pt idx="0">
                  <c:v>0.48176252951864906</c:v>
                </c:pt>
                <c:pt idx="1">
                  <c:v>0.23408071842727521</c:v>
                </c:pt>
                <c:pt idx="2">
                  <c:v>0.1421918051019545</c:v>
                </c:pt>
                <c:pt idx="3">
                  <c:v>8.3550206308702218E-2</c:v>
                </c:pt>
                <c:pt idx="4">
                  <c:v>6.4101553705563682E-2</c:v>
                </c:pt>
                <c:pt idx="5">
                  <c:v>5.227972407645505E-2</c:v>
                </c:pt>
              </c:numCache>
            </c:numRef>
          </c:xVal>
          <c:yVal>
            <c:numRef>
              <c:f>FlightSimData!$AE$52:$AE$57</c:f>
              <c:numCache>
                <c:formatCode>General</c:formatCode>
                <c:ptCount val="6"/>
                <c:pt idx="0">
                  <c:v>3.6284670493903041E-2</c:v>
                </c:pt>
                <c:pt idx="1">
                  <c:v>2.3224846879241843E-2</c:v>
                </c:pt>
                <c:pt idx="2">
                  <c:v>1.9304170652078595E-2</c:v>
                </c:pt>
                <c:pt idx="3">
                  <c:v>1.4770528939999533E-2</c:v>
                </c:pt>
                <c:pt idx="4">
                  <c:v>1.5566759215883231E-2</c:v>
                </c:pt>
                <c:pt idx="5">
                  <c:v>1.3058823472657599E-2</c:v>
                </c:pt>
              </c:numCache>
            </c:numRef>
          </c:yVal>
          <c:smooth val="1"/>
          <c:extLst>
            <c:ext xmlns:c16="http://schemas.microsoft.com/office/drawing/2014/chart" uri="{C3380CC4-5D6E-409C-BE32-E72D297353CC}">
              <c16:uniqueId val="{0000000D-9BE0-40EA-A284-E390DC1382F4}"/>
            </c:ext>
          </c:extLst>
        </c:ser>
        <c:ser>
          <c:idx val="8"/>
          <c:order val="7"/>
          <c:tx>
            <c:v>no tail</c:v>
          </c:tx>
          <c:spPr>
            <a:ln w="25400" cap="rnd">
              <a:noFill/>
              <a:round/>
            </a:ln>
            <a:effectLst/>
          </c:spPr>
          <c:marker>
            <c:symbol val="none"/>
          </c:marker>
          <c:trendline>
            <c:name>Wind tunnel, No tail</c:name>
            <c:spPr>
              <a:ln w="19050" cap="rnd">
                <a:solidFill>
                  <a:srgbClr val="FF0000"/>
                </a:solidFill>
                <a:prstDash val="sysDot"/>
              </a:ln>
              <a:effectLst/>
            </c:spPr>
            <c:trendlineType val="linear"/>
            <c:forward val="0.70000000000000007"/>
            <c:backward val="0.12000000000000001"/>
            <c:dispRSqr val="0"/>
            <c:dispEq val="0"/>
          </c:trendline>
          <c:xVal>
            <c:numRef>
              <c:f>WindTunnelData!$CO$17:$CO$20</c:f>
              <c:numCache>
                <c:formatCode>General</c:formatCode>
                <c:ptCount val="4"/>
                <c:pt idx="0">
                  <c:v>1.7701107821622902E-2</c:v>
                </c:pt>
                <c:pt idx="1">
                  <c:v>7.5958100559847155E-2</c:v>
                </c:pt>
                <c:pt idx="2">
                  <c:v>0.17418457182643937</c:v>
                </c:pt>
                <c:pt idx="3">
                  <c:v>0.30436238711384245</c:v>
                </c:pt>
              </c:numCache>
            </c:numRef>
          </c:xVal>
          <c:yVal>
            <c:numRef>
              <c:f>WindTunnelData!$CF$17:$CF$20</c:f>
              <c:numCache>
                <c:formatCode>General</c:formatCode>
                <c:ptCount val="4"/>
                <c:pt idx="0">
                  <c:v>2.1499657916776167E-2</c:v>
                </c:pt>
                <c:pt idx="1">
                  <c:v>2.4315835428577383E-2</c:v>
                </c:pt>
                <c:pt idx="2">
                  <c:v>3.2029448189546388E-2</c:v>
                </c:pt>
                <c:pt idx="3">
                  <c:v>4.133202828660941E-2</c:v>
                </c:pt>
              </c:numCache>
            </c:numRef>
          </c:yVal>
          <c:smooth val="1"/>
          <c:extLst>
            <c:ext xmlns:c16="http://schemas.microsoft.com/office/drawing/2014/chart" uri="{C3380CC4-5D6E-409C-BE32-E72D297353CC}">
              <c16:uniqueId val="{0000000B-9BE0-40EA-A284-E390DC1382F4}"/>
            </c:ext>
          </c:extLst>
        </c:ser>
        <c:ser>
          <c:idx val="7"/>
          <c:order val="8"/>
          <c:tx>
            <c:v>  ΔiH = +1 deg</c:v>
          </c:tx>
          <c:spPr>
            <a:ln w="25400" cap="rnd">
              <a:noFill/>
              <a:round/>
            </a:ln>
            <a:effectLst/>
          </c:spPr>
          <c:marker>
            <c:symbol val="none"/>
          </c:marker>
          <c:trendline>
            <c:name>Wind tunnel, ΔiH = +1 deg</c:name>
            <c:spPr>
              <a:ln w="15875" cap="rnd">
                <a:solidFill>
                  <a:srgbClr val="0000FF"/>
                </a:solidFill>
                <a:prstDash val="dash"/>
              </a:ln>
              <a:effectLst/>
            </c:spPr>
            <c:trendlineType val="linear"/>
            <c:forward val="0.45"/>
            <c:backward val="0.2"/>
            <c:dispRSqr val="0"/>
            <c:dispEq val="0"/>
          </c:trendline>
          <c:xVal>
            <c:numRef>
              <c:f>WindTunnelData!$CO$30:$CO$33</c:f>
              <c:numCache>
                <c:formatCode>General</c:formatCode>
                <c:ptCount val="4"/>
                <c:pt idx="0">
                  <c:v>8.7814441381012756E-2</c:v>
                </c:pt>
                <c:pt idx="1">
                  <c:v>0.21118596371272536</c:v>
                </c:pt>
                <c:pt idx="2">
                  <c:v>0.38577789794566658</c:v>
                </c:pt>
                <c:pt idx="3">
                  <c:v>0.56161693963587322</c:v>
                </c:pt>
              </c:numCache>
            </c:numRef>
          </c:xVal>
          <c:yVal>
            <c:numRef>
              <c:f>WindTunnelData!$CF$30:$CF$33</c:f>
              <c:numCache>
                <c:formatCode>General</c:formatCode>
                <c:ptCount val="4"/>
                <c:pt idx="0">
                  <c:v>2.9727485529569567E-2</c:v>
                </c:pt>
                <c:pt idx="1">
                  <c:v>3.8063760025211224E-2</c:v>
                </c:pt>
                <c:pt idx="2">
                  <c:v>5.0115161613790635E-2</c:v>
                </c:pt>
                <c:pt idx="3">
                  <c:v>6.5104790445474028E-2</c:v>
                </c:pt>
              </c:numCache>
            </c:numRef>
          </c:yVal>
          <c:smooth val="1"/>
          <c:extLst>
            <c:ext xmlns:c16="http://schemas.microsoft.com/office/drawing/2014/chart" uri="{C3380CC4-5D6E-409C-BE32-E72D297353CC}">
              <c16:uniqueId val="{00000009-9BE0-40EA-A284-E390DC1382F4}"/>
            </c:ext>
          </c:extLst>
        </c:ser>
        <c:ser>
          <c:idx val="4"/>
          <c:order val="9"/>
          <c:tx>
            <c:v>ΔiH = -2 deg, before stall</c:v>
          </c:tx>
          <c:spPr>
            <a:ln w="25400" cap="rnd">
              <a:noFill/>
              <a:round/>
            </a:ln>
            <a:effectLst/>
          </c:spPr>
          <c:marker>
            <c:symbol val="none"/>
          </c:marker>
          <c:trendline>
            <c:name>Wind tunnel, ΔiH = -2 deg</c:name>
            <c:spPr>
              <a:ln w="15875" cap="rnd">
                <a:solidFill>
                  <a:srgbClr val="00C800"/>
                </a:solidFill>
                <a:prstDash val="lgDashDot"/>
              </a:ln>
              <a:effectLst/>
            </c:spPr>
            <c:trendlineType val="linear"/>
            <c:forward val="0.55000000000000004"/>
            <c:backward val="0.16000000000000003"/>
            <c:dispRSqr val="0"/>
            <c:dispEq val="0"/>
          </c:trendline>
          <c:xVal>
            <c:numRef>
              <c:f>WindTunnelData!$CO$42:$CO$45</c:f>
              <c:numCache>
                <c:formatCode>General</c:formatCode>
                <c:ptCount val="4"/>
                <c:pt idx="0">
                  <c:v>6.0719806514543742E-2</c:v>
                </c:pt>
                <c:pt idx="1">
                  <c:v>0.16819823355559885</c:v>
                </c:pt>
                <c:pt idx="2">
                  <c:v>0.31858374268546819</c:v>
                </c:pt>
                <c:pt idx="3">
                  <c:v>0.48990206584504381</c:v>
                </c:pt>
              </c:numCache>
            </c:numRef>
          </c:xVal>
          <c:yVal>
            <c:numRef>
              <c:f>WindTunnelData!$CF$42:$CF$45</c:f>
              <c:numCache>
                <c:formatCode>General</c:formatCode>
                <c:ptCount val="4"/>
                <c:pt idx="0">
                  <c:v>2.8511650982190752E-2</c:v>
                </c:pt>
                <c:pt idx="1">
                  <c:v>3.722271147320718E-2</c:v>
                </c:pt>
                <c:pt idx="2">
                  <c:v>4.6049654823073619E-2</c:v>
                </c:pt>
                <c:pt idx="3">
                  <c:v>6.2503218024203694E-2</c:v>
                </c:pt>
              </c:numCache>
            </c:numRef>
          </c:yVal>
          <c:smooth val="1"/>
          <c:extLst>
            <c:ext xmlns:c16="http://schemas.microsoft.com/office/drawing/2014/chart" uri="{C3380CC4-5D6E-409C-BE32-E72D297353CC}">
              <c16:uniqueId val="{00000006-9BE0-40EA-A284-E390DC1382F4}"/>
            </c:ext>
          </c:extLst>
        </c:ser>
        <c:dLbls>
          <c:showLegendKey val="0"/>
          <c:showVal val="0"/>
          <c:showCatName val="0"/>
          <c:showSerName val="0"/>
          <c:showPercent val="0"/>
          <c:showBubbleSize val="0"/>
        </c:dLbls>
        <c:axId val="689813263"/>
        <c:axId val="689819023"/>
        <c:extLst/>
      </c:scatterChart>
      <c:valAx>
        <c:axId val="689813263"/>
        <c:scaling>
          <c:orientation val="minMax"/>
          <c:max val="1"/>
          <c:min val="-0.1"/>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L</a:t>
                </a:r>
                <a:r>
                  <a:rPr lang="en-MY" sz="1800" baseline="30000">
                    <a:solidFill>
                      <a:schemeClr val="tx1"/>
                    </a:solidFill>
                  </a:rPr>
                  <a:t>2</a:t>
                </a:r>
                <a:endParaRPr lang="en-MY" sz="1800">
                  <a:solidFill>
                    <a:schemeClr val="tx1"/>
                  </a:solidFill>
                </a:endParaRPr>
              </a:p>
            </c:rich>
          </c:tx>
          <c:layout>
            <c:manualLayout>
              <c:xMode val="edge"/>
              <c:yMode val="edge"/>
              <c:x val="0.93321322078503111"/>
              <c:y val="0.8631893314312311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9023"/>
        <c:crosses val="autoZero"/>
        <c:crossBetween val="midCat"/>
        <c:majorUnit val="0.1"/>
        <c:minorUnit val="5.000000000000001E-2"/>
      </c:valAx>
      <c:valAx>
        <c:axId val="689819023"/>
        <c:scaling>
          <c:orientation val="minMax"/>
          <c:max val="0.13"/>
        </c:scaling>
        <c:delete val="0"/>
        <c:axPos val="l"/>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C</a:t>
                </a:r>
                <a:r>
                  <a:rPr lang="en-MY" sz="1800" baseline="-25000">
                    <a:solidFill>
                      <a:schemeClr val="tx1"/>
                    </a:solidFill>
                  </a:rPr>
                  <a:t>D</a:t>
                </a:r>
                <a:endParaRPr lang="en-MY" sz="1800">
                  <a:solidFill>
                    <a:schemeClr val="tx1"/>
                  </a:solidFill>
                </a:endParaRPr>
              </a:p>
            </c:rich>
          </c:tx>
          <c:layout>
            <c:manualLayout>
              <c:xMode val="edge"/>
              <c:yMode val="edge"/>
              <c:x val="1.6688089511779458E-3"/>
              <c:y val="0.4451038672420871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cross"/>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89813263"/>
        <c:crosses val="autoZero"/>
        <c:crossBetween val="midCat"/>
        <c:majorUnit val="1.0000000000000002E-2"/>
        <c:minorUnit val="5.000000000000001E-3"/>
      </c:valAx>
      <c:spPr>
        <a:noFill/>
        <a:ln>
          <a:noFill/>
        </a:ln>
        <a:effectLst/>
      </c:spPr>
    </c:plotArea>
    <c:legend>
      <c:legendPos val="r"/>
      <c:legendEntry>
        <c:idx val="4"/>
        <c:txPr>
          <a:bodyPr rot="0" spcFirstLastPara="1" vertOverflow="ellipsis" vert="horz" wrap="square" anchor="ctr" anchorCtr="1"/>
          <a:lstStyle/>
          <a:p>
            <a:pPr>
              <a:defRPr sz="1100" b="0" i="0" u="none" strike="noStrike" kern="1200" baseline="0">
                <a:noFill/>
                <a:latin typeface="+mn-lt"/>
                <a:ea typeface="+mn-ea"/>
                <a:cs typeface="+mn-cs"/>
              </a:defRPr>
            </a:pPr>
            <a:endParaRPr lang="en-US"/>
          </a:p>
        </c:txPr>
      </c:legendEntry>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14289783553840224"/>
          <c:y val="7.619386513191824E-2"/>
          <c:w val="0.32112469931455301"/>
          <c:h val="0.4295315304164861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l-GR" sz="2000" baseline="0">
                <a:solidFill>
                  <a:schemeClr val="tx1"/>
                </a:solidFill>
              </a:rPr>
              <a:t>Δ</a:t>
            </a:r>
            <a:r>
              <a:rPr lang="en-MY" sz="2000" baseline="0">
                <a:solidFill>
                  <a:schemeClr val="tx1"/>
                </a:solidFill>
              </a:rPr>
              <a:t>i</a:t>
            </a:r>
            <a:r>
              <a:rPr lang="en-MY" sz="2000" baseline="-25000">
                <a:solidFill>
                  <a:schemeClr val="tx1"/>
                </a:solidFill>
              </a:rPr>
              <a:t>H</a:t>
            </a:r>
            <a:r>
              <a:rPr lang="en-MY" sz="2000" baseline="0">
                <a:solidFill>
                  <a:schemeClr val="tx1"/>
                </a:solidFill>
              </a:rPr>
              <a:t> vs C</a:t>
            </a:r>
            <a:r>
              <a:rPr lang="en-MY" sz="2000" baseline="-25000">
                <a:solidFill>
                  <a:schemeClr val="tx1"/>
                </a:solidFill>
              </a:rPr>
              <a:t>L</a:t>
            </a:r>
            <a:endParaRPr lang="en-MY" sz="2000">
              <a:solidFill>
                <a:schemeClr val="tx1"/>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MY"/>
        </a:p>
      </c:txPr>
    </c:title>
    <c:autoTitleDeleted val="0"/>
    <c:plotArea>
      <c:layout>
        <c:manualLayout>
          <c:layoutTarget val="inner"/>
          <c:xMode val="edge"/>
          <c:yMode val="edge"/>
          <c:x val="0.12283083848156143"/>
          <c:y val="1.9697751959003616E-2"/>
          <c:w val="0.8404769827795463"/>
          <c:h val="0.91666952516345312"/>
        </c:manualLayout>
      </c:layout>
      <c:scatterChart>
        <c:scatterStyle val="lineMarker"/>
        <c:varyColors val="0"/>
        <c:ser>
          <c:idx val="0"/>
          <c:order val="0"/>
          <c:tx>
            <c:v>+ 4 inch</c:v>
          </c:tx>
          <c:spPr>
            <a:ln w="25400" cap="rnd">
              <a:noFill/>
              <a:round/>
            </a:ln>
            <a:effectLst/>
          </c:spPr>
          <c:marker>
            <c:symbol val="x"/>
            <c:size val="7"/>
            <c:spPr>
              <a:noFill/>
              <a:ln w="9525">
                <a:solidFill>
                  <a:srgbClr val="0000FF"/>
                </a:solidFill>
              </a:ln>
              <a:effectLst/>
            </c:spPr>
          </c:marker>
          <c:trendline>
            <c:name>+ 4 inch</c:name>
            <c:spPr>
              <a:ln w="15875" cap="rnd">
                <a:solidFill>
                  <a:srgbClr val="0000FF"/>
                </a:solidFill>
                <a:prstDash val="dash"/>
              </a:ln>
              <a:effectLst/>
            </c:spPr>
            <c:trendlineType val="linear"/>
            <c:forward val="2.0000000000000004E-2"/>
            <c:backward val="2.0000000000000004E-2"/>
            <c:dispRSqr val="0"/>
            <c:dispEq val="0"/>
          </c:trendline>
          <c:errBars>
            <c:errDir val="x"/>
            <c:errBarType val="both"/>
            <c:errValType val="cust"/>
            <c:noEndCap val="0"/>
            <c:plus>
              <c:numRef>
                <c:f>FlightSimData!$T$70:$T$75</c:f>
                <c:numCache>
                  <c:formatCode>General</c:formatCode>
                  <c:ptCount val="6"/>
                  <c:pt idx="0">
                    <c:v>1.8434742482128635E-4</c:v>
                  </c:pt>
                  <c:pt idx="1">
                    <c:v>2.786450451517421E-4</c:v>
                  </c:pt>
                  <c:pt idx="2">
                    <c:v>4.1609543419159544E-4</c:v>
                  </c:pt>
                  <c:pt idx="3">
                    <c:v>6.2884260605154685E-4</c:v>
                  </c:pt>
                  <c:pt idx="4">
                    <c:v>8.7519175307657039E-4</c:v>
                  </c:pt>
                  <c:pt idx="5">
                    <c:v>1.3568422636940872E-3</c:v>
                  </c:pt>
                </c:numCache>
              </c:numRef>
            </c:plus>
            <c:minus>
              <c:numRef>
                <c:f>FlightSimData!$T$70:$T$75</c:f>
                <c:numCache>
                  <c:formatCode>General</c:formatCode>
                  <c:ptCount val="6"/>
                  <c:pt idx="0">
                    <c:v>1.8434742482128635E-4</c:v>
                  </c:pt>
                  <c:pt idx="1">
                    <c:v>2.786450451517421E-4</c:v>
                  </c:pt>
                  <c:pt idx="2">
                    <c:v>4.1609543419159544E-4</c:v>
                  </c:pt>
                  <c:pt idx="3">
                    <c:v>6.2884260605154685E-4</c:v>
                  </c:pt>
                  <c:pt idx="4">
                    <c:v>8.7519175307657039E-4</c:v>
                  </c:pt>
                  <c:pt idx="5">
                    <c:v>1.3568422636940872E-3</c:v>
                  </c:pt>
                </c:numCache>
              </c:numRef>
            </c:minus>
            <c:spPr>
              <a:noFill/>
              <a:ln w="9525" cap="flat" cmpd="sng" algn="ctr">
                <a:solidFill>
                  <a:srgbClr val="0000FF"/>
                </a:solidFill>
                <a:round/>
              </a:ln>
              <a:effectLst/>
            </c:spPr>
          </c:errBars>
          <c:errBars>
            <c:errDir val="y"/>
            <c:errBarType val="both"/>
            <c:errValType val="fixedVal"/>
            <c:noEndCap val="0"/>
            <c:val val="0"/>
            <c:spPr>
              <a:noFill/>
              <a:ln w="9525" cap="flat" cmpd="sng" algn="ctr">
                <a:solidFill>
                  <a:srgbClr val="0000FF"/>
                </a:solidFill>
                <a:round/>
              </a:ln>
              <a:effectLst/>
            </c:spPr>
          </c:errBars>
          <c:xVal>
            <c:numRef>
              <c:f>FlightSimData!$S$70:$S$75</c:f>
              <c:numCache>
                <c:formatCode>General</c:formatCode>
                <c:ptCount val="6"/>
                <c:pt idx="0">
                  <c:v>6.2409625365696435E-2</c:v>
                </c:pt>
                <c:pt idx="1">
                  <c:v>8.221695458867774E-2</c:v>
                </c:pt>
                <c:pt idx="2">
                  <c:v>0.10743281591186328</c:v>
                </c:pt>
                <c:pt idx="3">
                  <c:v>0.14154953319607821</c:v>
                </c:pt>
                <c:pt idx="4">
                  <c:v>0.17742188279355167</c:v>
                </c:pt>
                <c:pt idx="5">
                  <c:v>0.23785150003915551</c:v>
                </c:pt>
              </c:numCache>
            </c:numRef>
          </c:xVal>
          <c:yVal>
            <c:numRef>
              <c:f>FlightSimData!$H$70:$H$75</c:f>
              <c:numCache>
                <c:formatCode>General</c:formatCode>
                <c:ptCount val="6"/>
                <c:pt idx="0">
                  <c:v>1.2</c:v>
                </c:pt>
                <c:pt idx="1">
                  <c:v>1.1499999999999999</c:v>
                </c:pt>
                <c:pt idx="2">
                  <c:v>0.99</c:v>
                </c:pt>
                <c:pt idx="3">
                  <c:v>0.8</c:v>
                </c:pt>
                <c:pt idx="4">
                  <c:v>0.53</c:v>
                </c:pt>
                <c:pt idx="5">
                  <c:v>0.08</c:v>
                </c:pt>
              </c:numCache>
            </c:numRef>
          </c:yVal>
          <c:smooth val="0"/>
          <c:extLst>
            <c:ext xmlns:c16="http://schemas.microsoft.com/office/drawing/2014/chart" uri="{C3380CC4-5D6E-409C-BE32-E72D297353CC}">
              <c16:uniqueId val="{00000001-51E0-4D79-AA12-B12D0C04672A}"/>
            </c:ext>
          </c:extLst>
        </c:ser>
        <c:ser>
          <c:idx val="1"/>
          <c:order val="1"/>
          <c:tx>
            <c:v>No offset</c:v>
          </c:tx>
          <c:spPr>
            <a:ln w="25400" cap="rnd">
              <a:noFill/>
              <a:round/>
            </a:ln>
            <a:effectLst/>
          </c:spPr>
          <c:marker>
            <c:symbol val="circle"/>
            <c:size val="7"/>
            <c:spPr>
              <a:noFill/>
              <a:ln w="9525">
                <a:solidFill>
                  <a:schemeClr val="tx1"/>
                </a:solidFill>
              </a:ln>
              <a:effectLst/>
            </c:spPr>
          </c:marker>
          <c:dLbls>
            <c:dLbl>
              <c:idx val="3"/>
              <c:layout>
                <c:manualLayout>
                  <c:x val="3.1904258523288209E-2"/>
                  <c:y val="6.81668095946940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A0-42FF-84BB-65409479EF22}"/>
                </c:ext>
              </c:extLst>
            </c:dLbl>
            <c:dLbl>
              <c:idx val="4"/>
              <c:layout>
                <c:manualLayout>
                  <c:x val="-0.17025454261112302"/>
                  <c:y val="4.15361500751224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A0-42FF-84BB-65409479EF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6350" cap="flat" cmpd="sng" algn="ctr">
                      <a:solidFill>
                        <a:schemeClr val="tx1"/>
                      </a:solidFill>
                      <a:round/>
                      <a:headEnd type="arrow" w="sm" len="med"/>
                    </a:ln>
                    <a:effectLst/>
                  </c:spPr>
                </c15:leaderLines>
              </c:ext>
            </c:extLst>
          </c:dLbls>
          <c:errBars>
            <c:errDir val="y"/>
            <c:errBarType val="both"/>
            <c:errValType val="fixedVal"/>
            <c:noEndCap val="0"/>
            <c:val val="0"/>
            <c:spPr>
              <a:noFill/>
              <a:ln w="9525" cap="flat" cmpd="sng" algn="ctr">
                <a:solidFill>
                  <a:schemeClr val="tx1"/>
                </a:solidFill>
                <a:round/>
              </a:ln>
              <a:effectLst/>
            </c:spPr>
          </c:errBars>
          <c:errBars>
            <c:errDir val="x"/>
            <c:errBarType val="both"/>
            <c:errValType val="cust"/>
            <c:noEndCap val="0"/>
            <c:plus>
              <c:numRef>
                <c:f>FlightSimData!$T$76:$T$81</c:f>
                <c:numCache>
                  <c:formatCode>General</c:formatCode>
                  <c:ptCount val="6"/>
                  <c:pt idx="0">
                    <c:v>1.8321976727056968E-4</c:v>
                  </c:pt>
                  <c:pt idx="1">
                    <c:v>2.7991159831664057E-4</c:v>
                  </c:pt>
                  <c:pt idx="2">
                    <c:v>4.195059062029216E-4</c:v>
                  </c:pt>
                  <c:pt idx="3">
                    <c:v>6.2742657388783465E-4</c:v>
                  </c:pt>
                  <c:pt idx="4">
                    <c:v>9.4150199608852489E-4</c:v>
                  </c:pt>
                  <c:pt idx="5">
                    <c:v>1.3554318804332034E-3</c:v>
                  </c:pt>
                </c:numCache>
              </c:numRef>
            </c:plus>
            <c:minus>
              <c:numRef>
                <c:f>FlightSimData!$T$76:$T$81</c:f>
                <c:numCache>
                  <c:formatCode>General</c:formatCode>
                  <c:ptCount val="6"/>
                  <c:pt idx="0">
                    <c:v>1.8321976727056968E-4</c:v>
                  </c:pt>
                  <c:pt idx="1">
                    <c:v>2.7991159831664057E-4</c:v>
                  </c:pt>
                  <c:pt idx="2">
                    <c:v>4.195059062029216E-4</c:v>
                  </c:pt>
                  <c:pt idx="3">
                    <c:v>6.2742657388783465E-4</c:v>
                  </c:pt>
                  <c:pt idx="4">
                    <c:v>9.4150199608852489E-4</c:v>
                  </c:pt>
                  <c:pt idx="5">
                    <c:v>1.3554318804332034E-3</c:v>
                  </c:pt>
                </c:numCache>
              </c:numRef>
            </c:minus>
            <c:spPr>
              <a:noFill/>
              <a:ln w="9525" cap="flat" cmpd="sng" algn="ctr">
                <a:solidFill>
                  <a:schemeClr val="tx1"/>
                </a:solidFill>
                <a:round/>
              </a:ln>
              <a:effectLst/>
            </c:spPr>
          </c:errBars>
          <c:xVal>
            <c:numRef>
              <c:f>FlightSimData!$S$76:$S$81</c:f>
              <c:numCache>
                <c:formatCode>General</c:formatCode>
                <c:ptCount val="6"/>
                <c:pt idx="0">
                  <c:v>6.2009239032486112E-2</c:v>
                </c:pt>
                <c:pt idx="1">
                  <c:v>8.230056112471347E-2</c:v>
                </c:pt>
                <c:pt idx="2">
                  <c:v>0.1078925404671665</c:v>
                </c:pt>
                <c:pt idx="3">
                  <c:v>0.14122007857538413</c:v>
                </c:pt>
                <c:pt idx="4">
                  <c:v>0.18625587144305442</c:v>
                </c:pt>
                <c:pt idx="5">
                  <c:v>0.23759837183612512</c:v>
                </c:pt>
              </c:numCache>
            </c:numRef>
          </c:xVal>
          <c:yVal>
            <c:numRef>
              <c:f>FlightSimData!$H$76:$H$81</c:f>
              <c:numCache>
                <c:formatCode>General</c:formatCode>
                <c:ptCount val="6"/>
                <c:pt idx="0">
                  <c:v>1.1299999999999999</c:v>
                </c:pt>
                <c:pt idx="1">
                  <c:v>0.94</c:v>
                </c:pt>
                <c:pt idx="2">
                  <c:v>0.79</c:v>
                </c:pt>
                <c:pt idx="3">
                  <c:v>0.21</c:v>
                </c:pt>
                <c:pt idx="4">
                  <c:v>0.17</c:v>
                </c:pt>
                <c:pt idx="5">
                  <c:v>0.04</c:v>
                </c:pt>
              </c:numCache>
            </c:numRef>
          </c:yVal>
          <c:smooth val="0"/>
          <c:extLst>
            <c:ext xmlns:c16="http://schemas.microsoft.com/office/drawing/2014/chart" uri="{C3380CC4-5D6E-409C-BE32-E72D297353CC}">
              <c16:uniqueId val="{00000002-51E0-4D79-AA12-B12D0C04672A}"/>
            </c:ext>
          </c:extLst>
        </c:ser>
        <c:ser>
          <c:idx val="2"/>
          <c:order val="2"/>
          <c:tx>
            <c:v>- 4 inch</c:v>
          </c:tx>
          <c:spPr>
            <a:ln w="25400" cap="rnd">
              <a:noFill/>
              <a:round/>
            </a:ln>
            <a:effectLst/>
          </c:spPr>
          <c:marker>
            <c:symbol val="triangle"/>
            <c:size val="6"/>
            <c:spPr>
              <a:noFill/>
              <a:ln w="9525">
                <a:solidFill>
                  <a:srgbClr val="FF0000"/>
                </a:solidFill>
              </a:ln>
              <a:effectLst/>
            </c:spPr>
          </c:marker>
          <c:dLbls>
            <c:dLbl>
              <c:idx val="2"/>
              <c:layout>
                <c:manualLayout>
                  <c:x val="0.1253140268013338"/>
                  <c:y val="2.1664085011688771E-2"/>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1.3197564410461819E-2"/>
                      <c:h val="4.4540781603249063E-2"/>
                    </c:manualLayout>
                  </c15:layout>
                  <c15:showDataLabelsRange val="0"/>
                </c:ext>
                <c:ext xmlns:c16="http://schemas.microsoft.com/office/drawing/2014/chart" uri="{C3380CC4-5D6E-409C-BE32-E72D297353CC}">
                  <c16:uniqueId val="{00000006-25A0-42FF-84BB-65409479EF22}"/>
                </c:ext>
              </c:extLst>
            </c:dLbl>
            <c:dLbl>
              <c:idx val="3"/>
              <c:layout>
                <c:manualLayout>
                  <c:x val="-4.4358908680572379E-2"/>
                  <c:y val="0.19656655733702499"/>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r>
                      <a:rPr lang="en-US"/>
                      <a:t>Anomalies</a:t>
                    </a:r>
                  </a:p>
                </c:rich>
              </c:tx>
              <c:spPr>
                <a:noFill/>
                <a:ln>
                  <a:solidFill>
                    <a:schemeClr val="tx1"/>
                  </a:solid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25A0-42FF-84BB-65409479EF22}"/>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6350" cap="flat" cmpd="sng" algn="ctr">
                      <a:solidFill>
                        <a:schemeClr val="tx1"/>
                      </a:solidFill>
                      <a:round/>
                      <a:headEnd type="arrow" w="sm" len="med"/>
                    </a:ln>
                    <a:effectLst/>
                  </c:spPr>
                </c15:leaderLines>
              </c:ext>
            </c:extLst>
          </c:dLbls>
          <c:errBars>
            <c:errDir val="x"/>
            <c:errBarType val="both"/>
            <c:errValType val="cust"/>
            <c:noEndCap val="0"/>
            <c:plus>
              <c:numRef>
                <c:f>FlightSimData!$T$82:$T$87</c:f>
                <c:numCache>
                  <c:formatCode>General</c:formatCode>
                  <c:ptCount val="6"/>
                  <c:pt idx="0">
                    <c:v>1.8341764918363687E-4</c:v>
                  </c:pt>
                  <c:pt idx="1">
                    <c:v>2.806921799817942E-4</c:v>
                  </c:pt>
                  <c:pt idx="2">
                    <c:v>4.2536207174647235E-4</c:v>
                  </c:pt>
                  <c:pt idx="3">
                    <c:v>6.3694367523696384E-4</c:v>
                  </c:pt>
                  <c:pt idx="4">
                    <c:v>9.1461876303292609E-4</c:v>
                  </c:pt>
                  <c:pt idx="5">
                    <c:v>1.2089740941278997E-3</c:v>
                  </c:pt>
                </c:numCache>
              </c:numRef>
            </c:plus>
            <c:minus>
              <c:numRef>
                <c:f>FlightSimData!$T$82:$T$87</c:f>
                <c:numCache>
                  <c:formatCode>General</c:formatCode>
                  <c:ptCount val="6"/>
                  <c:pt idx="0">
                    <c:v>1.8341764918363687E-4</c:v>
                  </c:pt>
                  <c:pt idx="1">
                    <c:v>2.806921799817942E-4</c:v>
                  </c:pt>
                  <c:pt idx="2">
                    <c:v>4.2536207174647235E-4</c:v>
                  </c:pt>
                  <c:pt idx="3">
                    <c:v>6.3694367523696384E-4</c:v>
                  </c:pt>
                  <c:pt idx="4">
                    <c:v>9.1461876303292609E-4</c:v>
                  </c:pt>
                  <c:pt idx="5">
                    <c:v>1.2089740941278997E-3</c:v>
                  </c:pt>
                </c:numCache>
              </c:numRef>
            </c:minus>
            <c:spPr>
              <a:noFill/>
              <a:ln w="9525" cap="flat" cmpd="sng" algn="ctr">
                <a:solidFill>
                  <a:srgbClr val="FF0000"/>
                </a:solidFill>
                <a:round/>
              </a:ln>
              <a:effectLst/>
            </c:spPr>
          </c:errBars>
          <c:errBars>
            <c:errDir val="y"/>
            <c:errBarType val="both"/>
            <c:errValType val="fixedVal"/>
            <c:noEndCap val="0"/>
            <c:val val="0"/>
            <c:spPr>
              <a:noFill/>
              <a:ln w="9525" cap="flat" cmpd="sng" algn="ctr">
                <a:solidFill>
                  <a:srgbClr val="FF0000"/>
                </a:solidFill>
                <a:round/>
              </a:ln>
              <a:effectLst/>
            </c:spPr>
          </c:errBars>
          <c:xVal>
            <c:numRef>
              <c:f>FlightSimData!$S$82:$S$87</c:f>
              <c:numCache>
                <c:formatCode>General</c:formatCode>
                <c:ptCount val="6"/>
                <c:pt idx="0">
                  <c:v>6.228202265694651E-2</c:v>
                </c:pt>
                <c:pt idx="1">
                  <c:v>8.2846162493322315E-2</c:v>
                </c:pt>
                <c:pt idx="2">
                  <c:v>0.10945456796581098</c:v>
                </c:pt>
                <c:pt idx="3">
                  <c:v>0.14343172176821734</c:v>
                </c:pt>
                <c:pt idx="4">
                  <c:v>0.1827309730516373</c:v>
                </c:pt>
                <c:pt idx="5">
                  <c:v>0.22023141021972498</c:v>
                </c:pt>
              </c:numCache>
            </c:numRef>
          </c:xVal>
          <c:yVal>
            <c:numRef>
              <c:f>FlightSimData!$H$82:$H$87</c:f>
              <c:numCache>
                <c:formatCode>General</c:formatCode>
                <c:ptCount val="6"/>
                <c:pt idx="0">
                  <c:v>1.36</c:v>
                </c:pt>
                <c:pt idx="1">
                  <c:v>1.0900000000000001</c:v>
                </c:pt>
                <c:pt idx="2">
                  <c:v>0.14000000000000001</c:v>
                </c:pt>
                <c:pt idx="3">
                  <c:v>0.37</c:v>
                </c:pt>
                <c:pt idx="4">
                  <c:v>0.36</c:v>
                </c:pt>
                <c:pt idx="5">
                  <c:v>0.04</c:v>
                </c:pt>
              </c:numCache>
            </c:numRef>
          </c:yVal>
          <c:smooth val="0"/>
          <c:extLst>
            <c:ext xmlns:c16="http://schemas.microsoft.com/office/drawing/2014/chart" uri="{C3380CC4-5D6E-409C-BE32-E72D297353CC}">
              <c16:uniqueId val="{00000003-51E0-4D79-AA12-B12D0C04672A}"/>
            </c:ext>
          </c:extLst>
        </c:ser>
        <c:ser>
          <c:idx val="4"/>
          <c:order val="3"/>
          <c:tx>
            <c:v>0 inch without anomaly</c:v>
          </c:tx>
          <c:spPr>
            <a:ln w="25400" cap="rnd">
              <a:noFill/>
              <a:round/>
            </a:ln>
            <a:effectLst/>
          </c:spPr>
          <c:marker>
            <c:symbol val="none"/>
          </c:marker>
          <c:trendline>
            <c:name>No offset</c:name>
            <c:spPr>
              <a:ln w="25400" cap="rnd">
                <a:solidFill>
                  <a:schemeClr val="tx1"/>
                </a:solidFill>
                <a:prstDash val="sysDot"/>
              </a:ln>
              <a:effectLst/>
            </c:spPr>
            <c:trendlineType val="linear"/>
            <c:forward val="2.0000000000000004E-2"/>
            <c:backward val="5.000000000000001E-2"/>
            <c:dispRSqr val="0"/>
            <c:dispEq val="0"/>
          </c:trendline>
          <c:xVal>
            <c:numRef>
              <c:f>(FlightSimData!$S$76:$S$78,FlightSimData!$S$81)</c:f>
              <c:numCache>
                <c:formatCode>General</c:formatCode>
                <c:ptCount val="4"/>
                <c:pt idx="0">
                  <c:v>6.2009239032486112E-2</c:v>
                </c:pt>
                <c:pt idx="1">
                  <c:v>8.230056112471347E-2</c:v>
                </c:pt>
                <c:pt idx="2">
                  <c:v>0.1078925404671665</c:v>
                </c:pt>
                <c:pt idx="3">
                  <c:v>0.23759837183612512</c:v>
                </c:pt>
              </c:numCache>
            </c:numRef>
          </c:xVal>
          <c:yVal>
            <c:numRef>
              <c:f>(FlightSimData!$H$76:$H$78,FlightSimData!$H$81)</c:f>
              <c:numCache>
                <c:formatCode>General</c:formatCode>
                <c:ptCount val="4"/>
                <c:pt idx="0">
                  <c:v>1.1299999999999999</c:v>
                </c:pt>
                <c:pt idx="1">
                  <c:v>0.94</c:v>
                </c:pt>
                <c:pt idx="2">
                  <c:v>0.79</c:v>
                </c:pt>
                <c:pt idx="3">
                  <c:v>0.04</c:v>
                </c:pt>
              </c:numCache>
            </c:numRef>
          </c:yVal>
          <c:smooth val="0"/>
          <c:extLst>
            <c:ext xmlns:c16="http://schemas.microsoft.com/office/drawing/2014/chart" uri="{C3380CC4-5D6E-409C-BE32-E72D297353CC}">
              <c16:uniqueId val="{00000005-51E0-4D79-AA12-B12D0C04672A}"/>
            </c:ext>
          </c:extLst>
        </c:ser>
        <c:ser>
          <c:idx val="3"/>
          <c:order val="4"/>
          <c:tx>
            <c:v>-4 inch without anomaly</c:v>
          </c:tx>
          <c:spPr>
            <a:ln w="25400" cap="rnd">
              <a:noFill/>
              <a:round/>
            </a:ln>
            <a:effectLst/>
          </c:spPr>
          <c:marker>
            <c:symbol val="none"/>
          </c:marker>
          <c:trendline>
            <c:name>- 4 inch</c:name>
            <c:spPr>
              <a:ln w="15875" cap="rnd">
                <a:solidFill>
                  <a:srgbClr val="FF0000"/>
                </a:solidFill>
                <a:prstDash val="lgDashDot"/>
              </a:ln>
              <a:effectLst/>
            </c:spPr>
            <c:trendlineType val="linear"/>
            <c:forward val="2.0000000000000004E-2"/>
            <c:backward val="2.0000000000000004E-2"/>
            <c:dispRSqr val="0"/>
            <c:dispEq val="0"/>
          </c:trendline>
          <c:xVal>
            <c:numRef>
              <c:f>(FlightSimData!$S$82:$S$83,FlightSimData!$S$86:$S$87)</c:f>
              <c:numCache>
                <c:formatCode>General</c:formatCode>
                <c:ptCount val="4"/>
                <c:pt idx="0">
                  <c:v>6.228202265694651E-2</c:v>
                </c:pt>
                <c:pt idx="1">
                  <c:v>8.2846162493322315E-2</c:v>
                </c:pt>
                <c:pt idx="2">
                  <c:v>0.1827309730516373</c:v>
                </c:pt>
                <c:pt idx="3">
                  <c:v>0.22023141021972498</c:v>
                </c:pt>
              </c:numCache>
            </c:numRef>
          </c:xVal>
          <c:yVal>
            <c:numRef>
              <c:f>(FlightSimData!$H$82:$H$83,FlightSimData!$H$86:$H$87)</c:f>
              <c:numCache>
                <c:formatCode>General</c:formatCode>
                <c:ptCount val="4"/>
                <c:pt idx="0">
                  <c:v>1.36</c:v>
                </c:pt>
                <c:pt idx="1">
                  <c:v>1.0900000000000001</c:v>
                </c:pt>
                <c:pt idx="2">
                  <c:v>0.36</c:v>
                </c:pt>
                <c:pt idx="3">
                  <c:v>0.04</c:v>
                </c:pt>
              </c:numCache>
            </c:numRef>
          </c:yVal>
          <c:smooth val="0"/>
          <c:extLst>
            <c:ext xmlns:c16="http://schemas.microsoft.com/office/drawing/2014/chart" uri="{C3380CC4-5D6E-409C-BE32-E72D297353CC}">
              <c16:uniqueId val="{00000007-51E0-4D79-AA12-B12D0C04672A}"/>
            </c:ext>
          </c:extLst>
        </c:ser>
        <c:dLbls>
          <c:showLegendKey val="0"/>
          <c:showVal val="0"/>
          <c:showCatName val="0"/>
          <c:showSerName val="0"/>
          <c:showPercent val="0"/>
          <c:showBubbleSize val="0"/>
        </c:dLbls>
        <c:axId val="1795174783"/>
        <c:axId val="1795178623"/>
      </c:scatterChart>
      <c:valAx>
        <c:axId val="1795174783"/>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MY" sz="1800">
                    <a:solidFill>
                      <a:schemeClr val="tx1"/>
                    </a:solidFill>
                  </a:rPr>
                  <a:t>C</a:t>
                </a:r>
                <a:r>
                  <a:rPr lang="en-MY" sz="1800" baseline="-25000">
                    <a:solidFill>
                      <a:schemeClr val="tx1"/>
                    </a:solidFill>
                  </a:rPr>
                  <a:t>L</a:t>
                </a:r>
              </a:p>
            </c:rich>
          </c:tx>
          <c:layout>
            <c:manualLayout>
              <c:xMode val="edge"/>
              <c:yMode val="edge"/>
              <c:x val="0.93791186892357536"/>
              <c:y val="0.84949082761316363"/>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95178623"/>
        <c:crosses val="autoZero"/>
        <c:crossBetween val="midCat"/>
        <c:majorUnit val="2.0000000000000004E-2"/>
        <c:minorUnit val="5.000000000000001E-3"/>
      </c:valAx>
      <c:valAx>
        <c:axId val="1795178623"/>
        <c:scaling>
          <c:orientation val="minMax"/>
          <c:max val="1.4"/>
          <c:min val="0"/>
        </c:scaling>
        <c:delete val="0"/>
        <c:axPos val="l"/>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l-GR" sz="1800" b="0">
                    <a:solidFill>
                      <a:schemeClr val="tx1"/>
                    </a:solidFill>
                  </a:rPr>
                  <a:t>Δ</a:t>
                </a:r>
                <a:r>
                  <a:rPr lang="en-MY" sz="1800" b="0">
                    <a:solidFill>
                      <a:schemeClr val="tx1"/>
                    </a:solidFill>
                  </a:rPr>
                  <a:t>i</a:t>
                </a:r>
                <a:r>
                  <a:rPr lang="en-MY" sz="1800" b="0" baseline="-25000">
                    <a:solidFill>
                      <a:schemeClr val="tx1"/>
                    </a:solidFill>
                  </a:rPr>
                  <a:t>H</a:t>
                </a:r>
                <a:r>
                  <a:rPr lang="en-MY" sz="1800" b="0">
                    <a:solidFill>
                      <a:schemeClr val="tx1"/>
                    </a:solidFill>
                  </a:rPr>
                  <a:t> </a:t>
                </a:r>
                <a:r>
                  <a:rPr lang="en-MY" sz="1800" b="0" baseline="0">
                    <a:solidFill>
                      <a:schemeClr val="tx1"/>
                    </a:solidFill>
                  </a:rPr>
                  <a:t>[</a:t>
                </a:r>
                <a:r>
                  <a:rPr lang="en-MY" sz="1800" b="1" baseline="30000">
                    <a:solidFill>
                      <a:schemeClr val="tx1"/>
                    </a:solidFill>
                  </a:rPr>
                  <a:t>o</a:t>
                </a:r>
                <a:r>
                  <a:rPr lang="en-MY" sz="1800" b="0" baseline="0">
                    <a:solidFill>
                      <a:schemeClr val="tx1"/>
                    </a:solidFill>
                  </a:rPr>
                  <a:t>]</a:t>
                </a:r>
              </a:p>
            </c:rich>
          </c:tx>
          <c:layout>
            <c:manualLayout>
              <c:xMode val="edge"/>
              <c:yMode val="edge"/>
              <c:x val="2.4187100467016945E-4"/>
              <c:y val="0.41901688037635609"/>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95174783"/>
        <c:crosses val="autoZero"/>
        <c:crossBetween val="midCat"/>
        <c:majorUnit val="0.1"/>
      </c:valAx>
      <c:spPr>
        <a:noFill/>
        <a:ln>
          <a:noFill/>
        </a:ln>
        <a:effectLst/>
      </c:spPr>
    </c:plotArea>
    <c:legend>
      <c:legendPos val="r"/>
      <c:legendEntry>
        <c:idx val="3"/>
        <c:txPr>
          <a:bodyPr rot="0" spcFirstLastPara="1" vertOverflow="ellipsis" vert="horz" wrap="square" anchor="ctr" anchorCtr="1"/>
          <a:lstStyle/>
          <a:p>
            <a:pPr>
              <a:defRPr sz="1200" b="0" i="0" u="none" strike="noStrike" kern="1200" baseline="0">
                <a:noFill/>
                <a:latin typeface="+mn-lt"/>
                <a:ea typeface="+mn-ea"/>
                <a:cs typeface="+mn-cs"/>
              </a:defRPr>
            </a:pPr>
            <a:endParaRPr lang="en-US"/>
          </a:p>
        </c:txPr>
      </c:legendEntry>
      <c:legendEntry>
        <c:idx val="4"/>
        <c:delete val="1"/>
      </c:legendEntry>
      <c:layout>
        <c:manualLayout>
          <c:xMode val="edge"/>
          <c:yMode val="edge"/>
          <c:x val="0.14175917102991142"/>
          <c:y val="0.29875656354427055"/>
          <c:w val="0.32728478152238566"/>
          <c:h val="0.3473011003106423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MY" sz="2000">
                <a:solidFill>
                  <a:schemeClr val="tx1"/>
                </a:solidFill>
              </a:rPr>
              <a:t>di</a:t>
            </a:r>
            <a:r>
              <a:rPr lang="en-MY" sz="2000" baseline="-25000">
                <a:solidFill>
                  <a:schemeClr val="tx1"/>
                </a:solidFill>
              </a:rPr>
              <a:t>H</a:t>
            </a:r>
            <a:r>
              <a:rPr lang="en-MY" sz="2000" baseline="0">
                <a:solidFill>
                  <a:schemeClr val="tx1"/>
                </a:solidFill>
              </a:rPr>
              <a:t>/dC</a:t>
            </a:r>
            <a:r>
              <a:rPr lang="en-MY" sz="2000" baseline="-25000">
                <a:solidFill>
                  <a:schemeClr val="tx1"/>
                </a:solidFill>
              </a:rPr>
              <a:t>L</a:t>
            </a:r>
            <a:r>
              <a:rPr lang="en-MY" sz="2000" baseline="0">
                <a:solidFill>
                  <a:schemeClr val="tx1"/>
                </a:solidFill>
              </a:rPr>
              <a:t> vs x</a:t>
            </a:r>
            <a:r>
              <a:rPr lang="en-MY" sz="2000" baseline="-25000">
                <a:solidFill>
                  <a:schemeClr val="tx1"/>
                </a:solidFill>
              </a:rPr>
              <a:t>cg</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3154531433079622"/>
          <c:y val="1.9276216178246205E-2"/>
          <c:w val="0.81169787039835528"/>
          <c:h val="0.91845211737507615"/>
        </c:manualLayout>
      </c:layout>
      <c:scatterChart>
        <c:scatterStyle val="lineMarker"/>
        <c:varyColors val="0"/>
        <c:ser>
          <c:idx val="0"/>
          <c:order val="0"/>
          <c:tx>
            <c:v>plot</c:v>
          </c:tx>
          <c:spPr>
            <a:ln w="25400" cap="rnd">
              <a:noFill/>
              <a:round/>
            </a:ln>
            <a:effectLst/>
          </c:spPr>
          <c:marker>
            <c:symbol val="x"/>
            <c:size val="10"/>
            <c:spPr>
              <a:noFill/>
              <a:ln w="12700">
                <a:solidFill>
                  <a:schemeClr val="accent1"/>
                </a:solidFill>
              </a:ln>
              <a:effectLst/>
            </c:spPr>
          </c:marker>
          <c:dPt>
            <c:idx val="0"/>
            <c:marker>
              <c:symbol val="x"/>
              <c:size val="10"/>
              <c:spPr>
                <a:noFill/>
                <a:ln w="12700">
                  <a:solidFill>
                    <a:srgbClr val="0000FF"/>
                  </a:solidFill>
                </a:ln>
                <a:effectLst/>
              </c:spPr>
            </c:marker>
            <c:bubble3D val="0"/>
            <c:extLst>
              <c:ext xmlns:c16="http://schemas.microsoft.com/office/drawing/2014/chart" uri="{C3380CC4-5D6E-409C-BE32-E72D297353CC}">
                <c16:uniqueId val="{00000000-C43F-47B0-BD3C-6BBCCA6C28D4}"/>
              </c:ext>
            </c:extLst>
          </c:dPt>
          <c:dPt>
            <c:idx val="6"/>
            <c:marker>
              <c:symbol val="x"/>
              <c:size val="10"/>
              <c:spPr>
                <a:noFill/>
                <a:ln w="12700">
                  <a:solidFill>
                    <a:schemeClr val="tx1"/>
                  </a:solidFill>
                </a:ln>
                <a:effectLst/>
              </c:spPr>
            </c:marker>
            <c:bubble3D val="0"/>
            <c:extLst>
              <c:ext xmlns:c16="http://schemas.microsoft.com/office/drawing/2014/chart" uri="{C3380CC4-5D6E-409C-BE32-E72D297353CC}">
                <c16:uniqueId val="{00000001-C43F-47B0-BD3C-6BBCCA6C28D4}"/>
              </c:ext>
            </c:extLst>
          </c:dPt>
          <c:dPt>
            <c:idx val="12"/>
            <c:marker>
              <c:symbol val="x"/>
              <c:size val="10"/>
              <c:spPr>
                <a:noFill/>
                <a:ln w="12700">
                  <a:solidFill>
                    <a:srgbClr val="FF0000"/>
                  </a:solidFill>
                </a:ln>
                <a:effectLst/>
              </c:spPr>
            </c:marker>
            <c:bubble3D val="0"/>
            <c:extLst>
              <c:ext xmlns:c16="http://schemas.microsoft.com/office/drawing/2014/chart" uri="{C3380CC4-5D6E-409C-BE32-E72D297353CC}">
                <c16:uniqueId val="{00000002-C43F-47B0-BD3C-6BBCCA6C28D4}"/>
              </c:ext>
            </c:extLst>
          </c:dPt>
          <c:dLbls>
            <c:dLbl>
              <c:idx val="0"/>
              <c:layout>
                <c:manualLayout>
                  <c:x val="-0.28046910648677198"/>
                  <c:y val="4.1455661079056483E-4"/>
                </c:manualLayout>
              </c:layout>
              <c:tx>
                <c:rich>
                  <a:bodyPr/>
                  <a:lstStyle/>
                  <a:p>
                    <a:r>
                      <a:rPr lang="en-US">
                        <a:solidFill>
                          <a:srgbClr val="0000FF"/>
                        </a:solidFill>
                      </a:rPr>
                      <a:t>+ 4 inch</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C43F-47B0-BD3C-6BBCCA6C28D4}"/>
                </c:ext>
              </c:extLst>
            </c:dLbl>
            <c:dLbl>
              <c:idx val="6"/>
              <c:layout>
                <c:manualLayout>
                  <c:x val="-7.17028877076967E-2"/>
                  <c:y val="0.13403941784783827"/>
                </c:manualLayout>
              </c:layout>
              <c:tx>
                <c:rich>
                  <a:bodyPr/>
                  <a:lstStyle/>
                  <a:p>
                    <a:r>
                      <a:rPr lang="en-US"/>
                      <a:t>No offset</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43F-47B0-BD3C-6BBCCA6C28D4}"/>
                </c:ext>
              </c:extLst>
            </c:dLbl>
            <c:dLbl>
              <c:idx val="12"/>
              <c:layout>
                <c:manualLayout>
                  <c:x val="0.11923235425277739"/>
                  <c:y val="3.4481501912508954E-3"/>
                </c:manualLayout>
              </c:layout>
              <c:tx>
                <c:rich>
                  <a:bodyPr/>
                  <a:lstStyle/>
                  <a:p>
                    <a:r>
                      <a:rPr lang="en-US">
                        <a:solidFill>
                          <a:srgbClr val="FF0000"/>
                        </a:solidFill>
                      </a:rPr>
                      <a:t>- 4  inch</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C43F-47B0-BD3C-6BBCCA6C28D4}"/>
                </c:ext>
              </c:extLst>
            </c:dLbl>
            <c:spPr>
              <a:noFill/>
              <a:ln w="6350">
                <a:solidFill>
                  <a:schemeClr val="tx1"/>
                </a:solid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round/>
                      <a:headEnd type="none" w="sm" len="med"/>
                    </a:ln>
                    <a:effectLst/>
                  </c:spPr>
                </c15:leaderLines>
              </c:ext>
            </c:extLst>
          </c:dLbls>
          <c:trendline>
            <c:spPr>
              <a:ln w="12700" cap="rnd">
                <a:solidFill>
                  <a:schemeClr val="tx1"/>
                </a:solidFill>
                <a:prstDash val="dash"/>
              </a:ln>
              <a:effectLst/>
            </c:spPr>
            <c:trendlineType val="linear"/>
            <c:forward val="3.0000000000000011E-5"/>
            <c:backward val="5.0000000000000023E-5"/>
            <c:dispRSqr val="1"/>
            <c:dispEq val="1"/>
            <c:trendlineLbl>
              <c:layout>
                <c:manualLayout>
                  <c:x val="-9.3980200015670992E-2"/>
                  <c:y val="0.4391910511286066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rendlineLbl>
          </c:trendline>
          <c:errBars>
            <c:errDir val="y"/>
            <c:errBarType val="both"/>
            <c:errValType val="cust"/>
            <c:noEndCap val="0"/>
            <c:plus>
              <c:numRef>
                <c:f>FlightSimData!$U$90:$U$92</c:f>
                <c:numCache>
                  <c:formatCode>General</c:formatCode>
                  <c:ptCount val="3"/>
                  <c:pt idx="0">
                    <c:v>1E-3</c:v>
                  </c:pt>
                  <c:pt idx="1">
                    <c:v>6.9999999999999999E-4</c:v>
                  </c:pt>
                  <c:pt idx="2">
                    <c:v>5.9999999999999995E-4</c:v>
                  </c:pt>
                </c:numCache>
              </c:numRef>
            </c:plus>
            <c:minus>
              <c:numRef>
                <c:f>FlightSimData!$U$90:$U$92</c:f>
                <c:numCache>
                  <c:formatCode>General</c:formatCode>
                  <c:ptCount val="3"/>
                  <c:pt idx="0">
                    <c:v>1E-3</c:v>
                  </c:pt>
                  <c:pt idx="1">
                    <c:v>6.9999999999999999E-4</c:v>
                  </c:pt>
                  <c:pt idx="2">
                    <c:v>5.9999999999999995E-4</c:v>
                  </c:pt>
                </c:numCache>
              </c:numRef>
            </c:minus>
            <c:spPr>
              <a:noFill/>
              <a:ln w="9525" cap="flat" cmpd="sng" algn="ctr">
                <a:solidFill>
                  <a:schemeClr val="tx1"/>
                </a:solidFill>
                <a:round/>
              </a:ln>
              <a:effectLst/>
            </c:spPr>
          </c:errBars>
          <c:errBars>
            <c:errDir val="x"/>
            <c:errBarType val="both"/>
            <c:errValType val="fixedVal"/>
            <c:noEndCap val="0"/>
            <c:val val="0"/>
            <c:spPr>
              <a:noFill/>
              <a:ln w="9525" cap="flat" cmpd="sng" algn="ctr">
                <a:solidFill>
                  <a:schemeClr val="tx1"/>
                </a:solidFill>
                <a:round/>
              </a:ln>
              <a:effectLst/>
            </c:spPr>
          </c:errBars>
          <c:xVal>
            <c:numRef>
              <c:f>FlightSimData!$Q$70:$Q$87</c:f>
              <c:numCache>
                <c:formatCode>General</c:formatCode>
                <c:ptCount val="18"/>
                <c:pt idx="0">
                  <c:v>10.118337485224503</c:v>
                </c:pt>
                <c:pt idx="6">
                  <c:v>10.118529301239633</c:v>
                </c:pt>
                <c:pt idx="12">
                  <c:v>10.117986089507911</c:v>
                </c:pt>
              </c:numCache>
            </c:numRef>
          </c:xVal>
          <c:yVal>
            <c:numRef>
              <c:f>FlightSimData!$U$70:$U$87</c:f>
              <c:numCache>
                <c:formatCode>General</c:formatCode>
                <c:ptCount val="18"/>
                <c:pt idx="0">
                  <c:v>-6.5107999999999997</c:v>
                </c:pt>
                <c:pt idx="6">
                  <c:v>-6.0275999999999996</c:v>
                </c:pt>
                <c:pt idx="12">
                  <c:v>-8.0366999999999997</c:v>
                </c:pt>
              </c:numCache>
            </c:numRef>
          </c:yVal>
          <c:smooth val="0"/>
          <c:extLst>
            <c:ext xmlns:c16="http://schemas.microsoft.com/office/drawing/2014/chart" uri="{C3380CC4-5D6E-409C-BE32-E72D297353CC}">
              <c16:uniqueId val="{00000004-C43F-47B0-BD3C-6BBCCA6C28D4}"/>
            </c:ext>
          </c:extLst>
        </c:ser>
        <c:dLbls>
          <c:showLegendKey val="0"/>
          <c:showVal val="0"/>
          <c:showCatName val="0"/>
          <c:showSerName val="0"/>
          <c:showPercent val="0"/>
          <c:showBubbleSize val="0"/>
        </c:dLbls>
        <c:axId val="629969135"/>
        <c:axId val="629969615"/>
      </c:scatterChart>
      <c:valAx>
        <c:axId val="629969135"/>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a:solidFill>
                      <a:schemeClr val="tx1"/>
                    </a:solidFill>
                  </a:rPr>
                  <a:t>x</a:t>
                </a:r>
                <a:r>
                  <a:rPr lang="en-MY" sz="1800" baseline="-25000">
                    <a:solidFill>
                      <a:schemeClr val="tx1"/>
                    </a:solidFill>
                  </a:rPr>
                  <a:t>cg </a:t>
                </a:r>
                <a:r>
                  <a:rPr lang="en-MY" sz="1800" baseline="0">
                    <a:solidFill>
                      <a:schemeClr val="tx1"/>
                    </a:solidFill>
                  </a:rPr>
                  <a:t>[m]</a:t>
                </a:r>
                <a:endParaRPr lang="en-MY" sz="1800">
                  <a:solidFill>
                    <a:schemeClr val="tx1"/>
                  </a:solidFill>
                </a:endParaRPr>
              </a:p>
            </c:rich>
          </c:tx>
          <c:layout>
            <c:manualLayout>
              <c:xMode val="edge"/>
              <c:yMode val="edge"/>
              <c:x val="0.93520766452214077"/>
              <c:y val="0.84829918116435576"/>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00" sourceLinked="0"/>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29969615"/>
        <c:crossesAt val="-8.5"/>
        <c:crossBetween val="midCat"/>
        <c:majorUnit val="1.0000000000000003E-4"/>
      </c:valAx>
      <c:valAx>
        <c:axId val="629969615"/>
        <c:scaling>
          <c:orientation val="minMax"/>
          <c:max val="-5.5"/>
          <c:min val="-8.5"/>
        </c:scaling>
        <c:delete val="0"/>
        <c:axPos val="l"/>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MY" sz="1800" b="0" i="0" u="none" strike="noStrike" kern="1200" baseline="0">
                    <a:solidFill>
                      <a:schemeClr val="tx1"/>
                    </a:solidFill>
                  </a:rPr>
                  <a:t>di</a:t>
                </a:r>
                <a:r>
                  <a:rPr lang="en-MY" sz="1800" b="0" i="0" u="none" strike="noStrike" kern="1200" baseline="-25000">
                    <a:solidFill>
                      <a:schemeClr val="tx1"/>
                    </a:solidFill>
                  </a:rPr>
                  <a:t>H</a:t>
                </a:r>
                <a:r>
                  <a:rPr lang="en-MY" sz="1800" b="0" i="0" u="none" strike="noStrike" kern="1200" baseline="0">
                    <a:solidFill>
                      <a:schemeClr val="tx1"/>
                    </a:solidFill>
                  </a:rPr>
                  <a:t>/dC</a:t>
                </a:r>
                <a:r>
                  <a:rPr lang="en-MY" sz="1800" b="0" i="0" u="none" strike="noStrike" kern="1200" baseline="-25000">
                    <a:solidFill>
                      <a:schemeClr val="tx1"/>
                    </a:solidFill>
                  </a:rPr>
                  <a:t>L </a:t>
                </a:r>
                <a:r>
                  <a:rPr lang="en-MY" sz="1800" b="0" i="0" u="none" strike="noStrike" kern="1200" baseline="0">
                    <a:solidFill>
                      <a:schemeClr val="tx1"/>
                    </a:solidFill>
                  </a:rPr>
                  <a:t>[</a:t>
                </a:r>
                <a:r>
                  <a:rPr lang="en-MY" sz="1800" b="1" i="0" u="none" strike="noStrike" kern="1200" baseline="30000">
                    <a:solidFill>
                      <a:schemeClr val="tx1"/>
                    </a:solidFill>
                  </a:rPr>
                  <a:t>o</a:t>
                </a:r>
                <a:r>
                  <a:rPr lang="en-MY" sz="1800" b="0" i="0" u="none" strike="noStrike" kern="1200" baseline="0">
                    <a:solidFill>
                      <a:schemeClr val="tx1"/>
                    </a:solidFill>
                  </a:rPr>
                  <a:t>]</a:t>
                </a:r>
                <a:endParaRPr lang="en-MY" sz="1800" baseline="-25000">
                  <a:solidFill>
                    <a:schemeClr val="tx1"/>
                  </a:solidFill>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MY"/>
            </a:p>
          </c:txPr>
        </c:title>
        <c:numFmt formatCode="#,##0.00" sourceLinked="0"/>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29969135"/>
        <c:crosses val="autoZero"/>
        <c:crossBetween val="midCat"/>
        <c:majorUnit val="0.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FlightSimData!$G$76:$G$81</c:f>
              <c:numCache>
                <c:formatCode>General</c:formatCode>
                <c:ptCount val="6"/>
                <c:pt idx="0">
                  <c:v>177.4833318</c:v>
                </c:pt>
                <c:pt idx="1">
                  <c:v>153.81888756000001</c:v>
                </c:pt>
                <c:pt idx="2">
                  <c:v>134.26999884</c:v>
                </c:pt>
                <c:pt idx="3">
                  <c:v>117.29333232</c:v>
                </c:pt>
                <c:pt idx="4">
                  <c:v>102.88888799999999</c:v>
                </c:pt>
                <c:pt idx="5">
                  <c:v>91.056665879999997</c:v>
                </c:pt>
              </c:numCache>
            </c:numRef>
          </c:xVal>
          <c:yVal>
            <c:numRef>
              <c:f>FlightSimData!$I$76:$I$81</c:f>
              <c:numCache>
                <c:formatCode>General</c:formatCode>
                <c:ptCount val="6"/>
                <c:pt idx="0">
                  <c:v>-1.7</c:v>
                </c:pt>
                <c:pt idx="1">
                  <c:v>-1.5</c:v>
                </c:pt>
                <c:pt idx="2">
                  <c:v>-1.1000000000000001</c:v>
                </c:pt>
                <c:pt idx="3">
                  <c:v>-0.8</c:v>
                </c:pt>
                <c:pt idx="4">
                  <c:v>-0.2</c:v>
                </c:pt>
                <c:pt idx="5">
                  <c:v>0.2</c:v>
                </c:pt>
              </c:numCache>
            </c:numRef>
          </c:yVal>
          <c:smooth val="0"/>
          <c:extLst>
            <c:ext xmlns:c16="http://schemas.microsoft.com/office/drawing/2014/chart" uri="{C3380CC4-5D6E-409C-BE32-E72D297353CC}">
              <c16:uniqueId val="{00000000-1154-4BE2-9909-383C6A45AC22}"/>
            </c:ext>
          </c:extLst>
        </c:ser>
        <c:dLbls>
          <c:showLegendKey val="0"/>
          <c:showVal val="0"/>
          <c:showCatName val="0"/>
          <c:showSerName val="0"/>
          <c:showPercent val="0"/>
          <c:showBubbleSize val="0"/>
        </c:dLbls>
        <c:axId val="1530781232"/>
        <c:axId val="1530793712"/>
      </c:scatterChart>
      <c:valAx>
        <c:axId val="1530781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93712"/>
        <c:crosses val="autoZero"/>
        <c:crossBetween val="midCat"/>
      </c:valAx>
      <c:valAx>
        <c:axId val="153079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812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MY">
                <a:solidFill>
                  <a:schemeClr val="tx1"/>
                </a:solidFill>
              </a:rPr>
              <a:t>Lift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8.4188898695245568E-2"/>
          <c:y val="0.16156723952968746"/>
          <c:w val="0.86712684525065575"/>
          <c:h val="0.66658255539470479"/>
        </c:manualLayout>
      </c:layout>
      <c:scatterChart>
        <c:scatterStyle val="lineMarker"/>
        <c:varyColors val="0"/>
        <c:ser>
          <c:idx val="0"/>
          <c:order val="0"/>
          <c:tx>
            <c:v>No tail</c:v>
          </c:tx>
          <c:spPr>
            <a:ln w="6350" cap="rnd">
              <a:solidFill>
                <a:srgbClr val="0000FF"/>
              </a:solidFill>
              <a:round/>
            </a:ln>
            <a:effectLst/>
          </c:spPr>
          <c:marker>
            <c:symbol val="x"/>
            <c:size val="5"/>
            <c:spPr>
              <a:noFill/>
              <a:ln w="9525">
                <a:solidFill>
                  <a:srgbClr val="0000FF"/>
                </a:solidFill>
              </a:ln>
              <a:effectLst/>
            </c:spPr>
          </c:marker>
          <c:xVal>
            <c:numRef>
              <c:f>WindTunnelData!$C$16:$C$23</c:f>
              <c:numCache>
                <c:formatCode>General</c:formatCode>
                <c:ptCount val="8"/>
                <c:pt idx="0">
                  <c:v>-2</c:v>
                </c:pt>
                <c:pt idx="1">
                  <c:v>0</c:v>
                </c:pt>
                <c:pt idx="2">
                  <c:v>2</c:v>
                </c:pt>
                <c:pt idx="3">
                  <c:v>4</c:v>
                </c:pt>
                <c:pt idx="4">
                  <c:v>6</c:v>
                </c:pt>
                <c:pt idx="5">
                  <c:v>8</c:v>
                </c:pt>
                <c:pt idx="6">
                  <c:v>10</c:v>
                </c:pt>
                <c:pt idx="7">
                  <c:v>12</c:v>
                </c:pt>
              </c:numCache>
            </c:numRef>
          </c:xVal>
          <c:yVal>
            <c:numRef>
              <c:f>WindTunnelData!$AK$16:$AK$23</c:f>
              <c:numCache>
                <c:formatCode>General</c:formatCode>
                <c:ptCount val="8"/>
                <c:pt idx="0">
                  <c:v>-0.30787401910809353</c:v>
                </c:pt>
                <c:pt idx="1">
                  <c:v>6.7514415118201407</c:v>
                </c:pt>
                <c:pt idx="2">
                  <c:v>13.974383977088396</c:v>
                </c:pt>
                <c:pt idx="3">
                  <c:v>21.104717611388043</c:v>
                </c:pt>
                <c:pt idx="4">
                  <c:v>27.867688006121789</c:v>
                </c:pt>
                <c:pt idx="5">
                  <c:v>33.572375411844071</c:v>
                </c:pt>
                <c:pt idx="6">
                  <c:v>38.112679186351045</c:v>
                </c:pt>
                <c:pt idx="7">
                  <c:v>42.13934844929765</c:v>
                </c:pt>
              </c:numCache>
            </c:numRef>
          </c:yVal>
          <c:smooth val="0"/>
          <c:extLst>
            <c:ext xmlns:c16="http://schemas.microsoft.com/office/drawing/2014/chart" uri="{C3380CC4-5D6E-409C-BE32-E72D297353CC}">
              <c16:uniqueId val="{00000000-29BA-476E-A0AD-5E39615D0504}"/>
            </c:ext>
          </c:extLst>
        </c:ser>
        <c:ser>
          <c:idx val="1"/>
          <c:order val="1"/>
          <c:tx>
            <c:v>Tail at 1deg</c:v>
          </c:tx>
          <c:spPr>
            <a:ln w="6350" cap="rnd">
              <a:solidFill>
                <a:srgbClr val="FF0000"/>
              </a:solidFill>
              <a:round/>
            </a:ln>
            <a:effectLst/>
          </c:spPr>
          <c:marker>
            <c:symbol val="plus"/>
            <c:size val="5"/>
            <c:spPr>
              <a:noFill/>
              <a:ln w="9525">
                <a:solidFill>
                  <a:srgbClr val="FF0000"/>
                </a:solidFill>
              </a:ln>
              <a:effectLst/>
            </c:spPr>
          </c:marker>
          <c:trendline>
            <c:spPr>
              <a:ln w="19050" cap="rnd">
                <a:solidFill>
                  <a:schemeClr val="accent2"/>
                </a:solidFill>
                <a:prstDash val="sysDot"/>
              </a:ln>
              <a:effectLst/>
            </c:spPr>
            <c:trendlineType val="linear"/>
            <c:dispRSqr val="0"/>
            <c:dispEq val="0"/>
          </c:trendline>
          <c:xVal>
            <c:numRef>
              <c:f>WindTunnelData!$C$28:$C$35</c:f>
              <c:numCache>
                <c:formatCode>General</c:formatCode>
                <c:ptCount val="8"/>
                <c:pt idx="0">
                  <c:v>-2</c:v>
                </c:pt>
                <c:pt idx="1">
                  <c:v>0</c:v>
                </c:pt>
                <c:pt idx="2">
                  <c:v>2</c:v>
                </c:pt>
                <c:pt idx="3">
                  <c:v>4</c:v>
                </c:pt>
                <c:pt idx="4">
                  <c:v>6</c:v>
                </c:pt>
                <c:pt idx="5">
                  <c:v>8</c:v>
                </c:pt>
                <c:pt idx="6">
                  <c:v>10</c:v>
                </c:pt>
                <c:pt idx="7">
                  <c:v>12</c:v>
                </c:pt>
              </c:numCache>
            </c:numRef>
          </c:xVal>
          <c:yVal>
            <c:numRef>
              <c:f>WindTunnelData!$AK$28:$AK$35</c:f>
              <c:numCache>
                <c:formatCode>General</c:formatCode>
                <c:ptCount val="8"/>
                <c:pt idx="0">
                  <c:v>-1.6353309975169885</c:v>
                </c:pt>
                <c:pt idx="1">
                  <c:v>6.9051122918996777</c:v>
                </c:pt>
                <c:pt idx="2">
                  <c:v>15.094264132430187</c:v>
                </c:pt>
                <c:pt idx="3">
                  <c:v>23.389026904119671</c:v>
                </c:pt>
                <c:pt idx="4">
                  <c:v>31.509978101223158</c:v>
                </c:pt>
                <c:pt idx="5">
                  <c:v>37.96774276642693</c:v>
                </c:pt>
                <c:pt idx="6">
                  <c:v>43.487843438755661</c:v>
                </c:pt>
                <c:pt idx="7">
                  <c:v>47.940781001774049</c:v>
                </c:pt>
              </c:numCache>
            </c:numRef>
          </c:yVal>
          <c:smooth val="0"/>
          <c:extLst>
            <c:ext xmlns:c16="http://schemas.microsoft.com/office/drawing/2014/chart" uri="{C3380CC4-5D6E-409C-BE32-E72D297353CC}">
              <c16:uniqueId val="{00000001-29BA-476E-A0AD-5E39615D0504}"/>
            </c:ext>
          </c:extLst>
        </c:ser>
        <c:ser>
          <c:idx val="2"/>
          <c:order val="2"/>
          <c:tx>
            <c:v>Tail at -2deg</c:v>
          </c:tx>
          <c:spPr>
            <a:ln w="6350" cap="rnd">
              <a:solidFill>
                <a:srgbClr val="00C800"/>
              </a:solidFill>
              <a:round/>
            </a:ln>
            <a:effectLst/>
          </c:spPr>
          <c:marker>
            <c:symbol val="circle"/>
            <c:size val="4"/>
            <c:spPr>
              <a:noFill/>
              <a:ln w="12700">
                <a:solidFill>
                  <a:srgbClr val="00C800"/>
                </a:solidFill>
              </a:ln>
              <a:effectLst/>
            </c:spPr>
          </c:marker>
          <c:trendline>
            <c:spPr>
              <a:ln w="19050" cap="rnd">
                <a:solidFill>
                  <a:schemeClr val="accent3"/>
                </a:solidFill>
                <a:prstDash val="sysDot"/>
              </a:ln>
              <a:effectLst/>
            </c:spPr>
            <c:trendlineType val="linear"/>
            <c:dispRSqr val="0"/>
            <c:dispEq val="0"/>
          </c:trendline>
          <c:xVal>
            <c:numRef>
              <c:f>WindTunnelData!$C$40:$C$53</c:f>
              <c:numCache>
                <c:formatCode>General</c:formatCode>
                <c:ptCount val="14"/>
                <c:pt idx="0">
                  <c:v>-2</c:v>
                </c:pt>
                <c:pt idx="1">
                  <c:v>0</c:v>
                </c:pt>
                <c:pt idx="2">
                  <c:v>2</c:v>
                </c:pt>
                <c:pt idx="3">
                  <c:v>4</c:v>
                </c:pt>
                <c:pt idx="4">
                  <c:v>6</c:v>
                </c:pt>
                <c:pt idx="5">
                  <c:v>8</c:v>
                </c:pt>
                <c:pt idx="6">
                  <c:v>10</c:v>
                </c:pt>
                <c:pt idx="7">
                  <c:v>11</c:v>
                </c:pt>
                <c:pt idx="8">
                  <c:v>12</c:v>
                </c:pt>
                <c:pt idx="9">
                  <c:v>13</c:v>
                </c:pt>
                <c:pt idx="10">
                  <c:v>14</c:v>
                </c:pt>
                <c:pt idx="11">
                  <c:v>15</c:v>
                </c:pt>
                <c:pt idx="12">
                  <c:v>16</c:v>
                </c:pt>
                <c:pt idx="13">
                  <c:v>17</c:v>
                </c:pt>
              </c:numCache>
            </c:numRef>
          </c:xVal>
          <c:yVal>
            <c:numRef>
              <c:f>WindTunnelData!$AK$40:$AK$53</c:f>
              <c:numCache>
                <c:formatCode>General</c:formatCode>
                <c:ptCount val="14"/>
                <c:pt idx="0">
                  <c:v>-4.1847482587935323</c:v>
                </c:pt>
                <c:pt idx="1">
                  <c:v>3.9499317473471902</c:v>
                </c:pt>
                <c:pt idx="2">
                  <c:v>12.534637100955633</c:v>
                </c:pt>
                <c:pt idx="3">
                  <c:v>20.839668624171882</c:v>
                </c:pt>
                <c:pt idx="4">
                  <c:v>28.61919602060237</c:v>
                </c:pt>
                <c:pt idx="5">
                  <c:v>35.460864137213413</c:v>
                </c:pt>
                <c:pt idx="6">
                  <c:v>41.221590411139296</c:v>
                </c:pt>
                <c:pt idx="7">
                  <c:v>43.99312307255726</c:v>
                </c:pt>
                <c:pt idx="8">
                  <c:v>46.176281535605909</c:v>
                </c:pt>
                <c:pt idx="9">
                  <c:v>48.139702686846626</c:v>
                </c:pt>
                <c:pt idx="10">
                  <c:v>46.309922249913441</c:v>
                </c:pt>
                <c:pt idx="11">
                  <c:v>47.145869388241266</c:v>
                </c:pt>
                <c:pt idx="12">
                  <c:v>46.014100668631166</c:v>
                </c:pt>
                <c:pt idx="13">
                  <c:v>39.964337807426773</c:v>
                </c:pt>
              </c:numCache>
            </c:numRef>
          </c:yVal>
          <c:smooth val="0"/>
          <c:extLst>
            <c:ext xmlns:c16="http://schemas.microsoft.com/office/drawing/2014/chart" uri="{C3380CC4-5D6E-409C-BE32-E72D297353CC}">
              <c16:uniqueId val="{00000002-29BA-476E-A0AD-5E39615D0504}"/>
            </c:ext>
          </c:extLst>
        </c:ser>
        <c:dLbls>
          <c:showLegendKey val="0"/>
          <c:showVal val="0"/>
          <c:showCatName val="0"/>
          <c:showSerName val="0"/>
          <c:showPercent val="0"/>
          <c:showBubbleSize val="0"/>
        </c:dLbls>
        <c:axId val="1804130823"/>
        <c:axId val="1907009031"/>
      </c:scatterChart>
      <c:valAx>
        <c:axId val="1804130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solidFill>
                      <a:schemeClr val="tx1"/>
                    </a:solidFill>
                  </a:rPr>
                  <a:t>Angle</a:t>
                </a:r>
                <a:r>
                  <a:rPr lang="en-MY" baseline="0">
                    <a:solidFill>
                      <a:schemeClr val="tx1"/>
                    </a:solidFill>
                  </a:rPr>
                  <a:t> of attack [deg]</a:t>
                </a:r>
                <a:endParaRPr lang="en-MY">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MY"/>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009031"/>
        <c:crosses val="autoZero"/>
        <c:crossBetween val="midCat"/>
        <c:majorUnit val="2"/>
      </c:valAx>
      <c:valAx>
        <c:axId val="1907009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solidFill>
                      <a:schemeClr val="tx1"/>
                    </a:solidFill>
                  </a:rPr>
                  <a:t>Lift.tu [N]</a:t>
                </a:r>
              </a:p>
            </c:rich>
          </c:tx>
          <c:layout>
            <c:manualLayout>
              <c:xMode val="edge"/>
              <c:yMode val="edge"/>
              <c:x val="9.5932809508191455E-2"/>
              <c:y val="0.377910520873020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4130823"/>
        <c:crosses val="autoZero"/>
        <c:crossBetween val="midCat"/>
      </c:valAx>
      <c:spPr>
        <a:noFill/>
        <a:ln>
          <a:noFill/>
        </a:ln>
        <a:effectLst/>
      </c:spPr>
    </c:plotArea>
    <c:legend>
      <c:legendPos val="r"/>
      <c:layout>
        <c:manualLayout>
          <c:xMode val="edge"/>
          <c:yMode val="edge"/>
          <c:x val="0.70205409015348208"/>
          <c:y val="0.43718089825724588"/>
          <c:w val="0.24586338812358899"/>
          <c:h val="0.24342789511286722"/>
        </c:manualLayout>
      </c:layout>
      <c:overlay val="1"/>
      <c:spPr>
        <a:noFill/>
        <a:ln w="6350">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MY">
                <a:solidFill>
                  <a:schemeClr val="tx1"/>
                </a:solidFill>
              </a:rPr>
              <a:t>Moments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8.4188898695245568E-2"/>
          <c:y val="0.16156723952968746"/>
          <c:w val="0.86712684525065575"/>
          <c:h val="0.66658255539470479"/>
        </c:manualLayout>
      </c:layout>
      <c:scatterChart>
        <c:scatterStyle val="lineMarker"/>
        <c:varyColors val="0"/>
        <c:ser>
          <c:idx val="0"/>
          <c:order val="0"/>
          <c:tx>
            <c:v>No tail</c:v>
          </c:tx>
          <c:spPr>
            <a:ln w="6350" cap="rnd">
              <a:solidFill>
                <a:srgbClr val="0000FF"/>
              </a:solidFill>
              <a:round/>
            </a:ln>
            <a:effectLst/>
          </c:spPr>
          <c:marker>
            <c:symbol val="x"/>
            <c:size val="5"/>
            <c:spPr>
              <a:noFill/>
              <a:ln w="9525">
                <a:solidFill>
                  <a:srgbClr val="0000FF"/>
                </a:solidFill>
              </a:ln>
              <a:effectLst/>
            </c:spPr>
          </c:marker>
          <c:xVal>
            <c:numRef>
              <c:f>WindTunnelData!$C$16:$C$23</c:f>
              <c:numCache>
                <c:formatCode>General</c:formatCode>
                <c:ptCount val="8"/>
                <c:pt idx="0">
                  <c:v>-2</c:v>
                </c:pt>
                <c:pt idx="1">
                  <c:v>0</c:v>
                </c:pt>
                <c:pt idx="2">
                  <c:v>2</c:v>
                </c:pt>
                <c:pt idx="3">
                  <c:v>4</c:v>
                </c:pt>
                <c:pt idx="4">
                  <c:v>6</c:v>
                </c:pt>
                <c:pt idx="5">
                  <c:v>8</c:v>
                </c:pt>
                <c:pt idx="6">
                  <c:v>10</c:v>
                </c:pt>
                <c:pt idx="7">
                  <c:v>12</c:v>
                </c:pt>
              </c:numCache>
            </c:numRef>
          </c:xVal>
          <c:yVal>
            <c:numRef>
              <c:f>WindTunnelData!$AM$16:$AM$23</c:f>
              <c:numCache>
                <c:formatCode>General</c:formatCode>
                <c:ptCount val="8"/>
                <c:pt idx="0">
                  <c:v>-0.31450587139235092</c:v>
                </c:pt>
                <c:pt idx="1">
                  <c:v>-0.16493921468977962</c:v>
                </c:pt>
                <c:pt idx="2">
                  <c:v>4.0559644752292484E-2</c:v>
                </c:pt>
                <c:pt idx="3">
                  <c:v>0.24216134292750874</c:v>
                </c:pt>
                <c:pt idx="4">
                  <c:v>0.48379797877666675</c:v>
                </c:pt>
                <c:pt idx="5">
                  <c:v>0.74665977606959921</c:v>
                </c:pt>
                <c:pt idx="6">
                  <c:v>0.99692874117250696</c:v>
                </c:pt>
                <c:pt idx="7">
                  <c:v>1.1934488163901245</c:v>
                </c:pt>
              </c:numCache>
            </c:numRef>
          </c:yVal>
          <c:smooth val="0"/>
          <c:extLst>
            <c:ext xmlns:c16="http://schemas.microsoft.com/office/drawing/2014/chart" uri="{C3380CC4-5D6E-409C-BE32-E72D297353CC}">
              <c16:uniqueId val="{00000000-B6BB-4C2C-A939-364185188173}"/>
            </c:ext>
          </c:extLst>
        </c:ser>
        <c:ser>
          <c:idx val="1"/>
          <c:order val="1"/>
          <c:tx>
            <c:v>Tail at 1deg</c:v>
          </c:tx>
          <c:spPr>
            <a:ln w="6350" cap="rnd">
              <a:solidFill>
                <a:srgbClr val="FF0000"/>
              </a:solidFill>
              <a:round/>
            </a:ln>
            <a:effectLst/>
          </c:spPr>
          <c:marker>
            <c:symbol val="plus"/>
            <c:size val="5"/>
            <c:spPr>
              <a:noFill/>
              <a:ln w="9525">
                <a:solidFill>
                  <a:srgbClr val="FF0000"/>
                </a:solidFill>
              </a:ln>
              <a:effectLst/>
            </c:spPr>
          </c:marker>
          <c:xVal>
            <c:numRef>
              <c:f>WindTunnelData!$C$28:$C$35</c:f>
              <c:numCache>
                <c:formatCode>General</c:formatCode>
                <c:ptCount val="8"/>
                <c:pt idx="0">
                  <c:v>-2</c:v>
                </c:pt>
                <c:pt idx="1">
                  <c:v>0</c:v>
                </c:pt>
                <c:pt idx="2">
                  <c:v>2</c:v>
                </c:pt>
                <c:pt idx="3">
                  <c:v>4</c:v>
                </c:pt>
                <c:pt idx="4">
                  <c:v>6</c:v>
                </c:pt>
                <c:pt idx="5">
                  <c:v>8</c:v>
                </c:pt>
                <c:pt idx="6">
                  <c:v>10</c:v>
                </c:pt>
                <c:pt idx="7">
                  <c:v>12</c:v>
                </c:pt>
              </c:numCache>
            </c:numRef>
          </c:xVal>
          <c:yVal>
            <c:numRef>
              <c:f>WindTunnelData!$AM$28:$AM$35</c:f>
              <c:numCache>
                <c:formatCode>General</c:formatCode>
                <c:ptCount val="8"/>
                <c:pt idx="0">
                  <c:v>0.17429111139662778</c:v>
                </c:pt>
                <c:pt idx="1">
                  <c:v>-6.1024787269603309E-2</c:v>
                </c:pt>
                <c:pt idx="2">
                  <c:v>-0.25620883927325022</c:v>
                </c:pt>
                <c:pt idx="3">
                  <c:v>-0.47856898699924155</c:v>
                </c:pt>
                <c:pt idx="4">
                  <c:v>-0.66254620180013224</c:v>
                </c:pt>
                <c:pt idx="5">
                  <c:v>-0.83562434298016286</c:v>
                </c:pt>
                <c:pt idx="6">
                  <c:v>-0.92140451861480577</c:v>
                </c:pt>
                <c:pt idx="7">
                  <c:v>-1.014653448434707</c:v>
                </c:pt>
              </c:numCache>
            </c:numRef>
          </c:yVal>
          <c:smooth val="0"/>
          <c:extLst>
            <c:ext xmlns:c16="http://schemas.microsoft.com/office/drawing/2014/chart" uri="{C3380CC4-5D6E-409C-BE32-E72D297353CC}">
              <c16:uniqueId val="{00000001-B6BB-4C2C-A939-364185188173}"/>
            </c:ext>
          </c:extLst>
        </c:ser>
        <c:ser>
          <c:idx val="2"/>
          <c:order val="2"/>
          <c:tx>
            <c:v>Tail at -2deg</c:v>
          </c:tx>
          <c:spPr>
            <a:ln w="6350" cap="rnd">
              <a:solidFill>
                <a:srgbClr val="00C800"/>
              </a:solidFill>
              <a:round/>
            </a:ln>
            <a:effectLst/>
          </c:spPr>
          <c:marker>
            <c:symbol val="circle"/>
            <c:size val="4"/>
            <c:spPr>
              <a:noFill/>
              <a:ln w="12700">
                <a:solidFill>
                  <a:srgbClr val="00C800"/>
                </a:solidFill>
              </a:ln>
              <a:effectLst/>
            </c:spPr>
          </c:marker>
          <c:xVal>
            <c:numRef>
              <c:f>WindTunnelData!$C$40:$C$53</c:f>
              <c:numCache>
                <c:formatCode>General</c:formatCode>
                <c:ptCount val="14"/>
                <c:pt idx="0">
                  <c:v>-2</c:v>
                </c:pt>
                <c:pt idx="1">
                  <c:v>0</c:v>
                </c:pt>
                <c:pt idx="2">
                  <c:v>2</c:v>
                </c:pt>
                <c:pt idx="3">
                  <c:v>4</c:v>
                </c:pt>
                <c:pt idx="4">
                  <c:v>6</c:v>
                </c:pt>
                <c:pt idx="5">
                  <c:v>8</c:v>
                </c:pt>
                <c:pt idx="6">
                  <c:v>10</c:v>
                </c:pt>
                <c:pt idx="7">
                  <c:v>11</c:v>
                </c:pt>
                <c:pt idx="8">
                  <c:v>12</c:v>
                </c:pt>
                <c:pt idx="9">
                  <c:v>13</c:v>
                </c:pt>
                <c:pt idx="10">
                  <c:v>14</c:v>
                </c:pt>
                <c:pt idx="11">
                  <c:v>15</c:v>
                </c:pt>
                <c:pt idx="12">
                  <c:v>16</c:v>
                </c:pt>
                <c:pt idx="13">
                  <c:v>17</c:v>
                </c:pt>
              </c:numCache>
            </c:numRef>
          </c:xVal>
          <c:yVal>
            <c:numRef>
              <c:f>WindTunnelData!$AM$40:$AM$53</c:f>
              <c:numCache>
                <c:formatCode>General</c:formatCode>
                <c:ptCount val="14"/>
                <c:pt idx="0">
                  <c:v>1.1858856113966276</c:v>
                </c:pt>
                <c:pt idx="1">
                  <c:v>0.86812421273039664</c:v>
                </c:pt>
                <c:pt idx="2">
                  <c:v>0.63040116072674968</c:v>
                </c:pt>
                <c:pt idx="3">
                  <c:v>0.43989701300075856</c:v>
                </c:pt>
                <c:pt idx="4">
                  <c:v>0.32092229819986812</c:v>
                </c:pt>
                <c:pt idx="5">
                  <c:v>0.12738265701983692</c:v>
                </c:pt>
                <c:pt idx="6">
                  <c:v>-8.4717018614805878E-2</c:v>
                </c:pt>
                <c:pt idx="7">
                  <c:v>-0.20982464829856401</c:v>
                </c:pt>
                <c:pt idx="8">
                  <c:v>-0.30913544843470675</c:v>
                </c:pt>
                <c:pt idx="9">
                  <c:v>-0.41149797305460462</c:v>
                </c:pt>
                <c:pt idx="10">
                  <c:v>-0.67906332893254218</c:v>
                </c:pt>
                <c:pt idx="11">
                  <c:v>-0.72451517149720779</c:v>
                </c:pt>
                <c:pt idx="12">
                  <c:v>-0.85994470077937857</c:v>
                </c:pt>
                <c:pt idx="13">
                  <c:v>-1.4594871573951713</c:v>
                </c:pt>
              </c:numCache>
            </c:numRef>
          </c:yVal>
          <c:smooth val="0"/>
          <c:extLst>
            <c:ext xmlns:c16="http://schemas.microsoft.com/office/drawing/2014/chart" uri="{C3380CC4-5D6E-409C-BE32-E72D297353CC}">
              <c16:uniqueId val="{00000002-B6BB-4C2C-A939-364185188173}"/>
            </c:ext>
          </c:extLst>
        </c:ser>
        <c:dLbls>
          <c:showLegendKey val="0"/>
          <c:showVal val="0"/>
          <c:showCatName val="0"/>
          <c:showSerName val="0"/>
          <c:showPercent val="0"/>
          <c:showBubbleSize val="0"/>
        </c:dLbls>
        <c:axId val="1804130823"/>
        <c:axId val="1907009031"/>
      </c:scatterChart>
      <c:valAx>
        <c:axId val="1804130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solidFill>
                      <a:schemeClr val="tx1"/>
                    </a:solidFill>
                  </a:rPr>
                  <a:t>Angle</a:t>
                </a:r>
                <a:r>
                  <a:rPr lang="en-MY" baseline="0">
                    <a:solidFill>
                      <a:schemeClr val="tx1"/>
                    </a:solidFill>
                  </a:rPr>
                  <a:t> of attack [deg]</a:t>
                </a:r>
                <a:endParaRPr lang="en-MY">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MY"/>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009031"/>
        <c:crosses val="autoZero"/>
        <c:crossBetween val="midCat"/>
        <c:majorUnit val="2"/>
      </c:valAx>
      <c:valAx>
        <c:axId val="1907009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MY">
                    <a:solidFill>
                      <a:schemeClr val="tx1"/>
                    </a:solidFill>
                  </a:rPr>
                  <a:t>Moment.tu [Nm]</a:t>
                </a:r>
              </a:p>
            </c:rich>
          </c:tx>
          <c:layout>
            <c:manualLayout>
              <c:xMode val="edge"/>
              <c:yMode val="edge"/>
              <c:x val="8.6474039961375621E-2"/>
              <c:y val="0.124005077510076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4130823"/>
        <c:crosses val="autoZero"/>
        <c:crossBetween val="midCat"/>
      </c:valAx>
      <c:spPr>
        <a:noFill/>
        <a:ln>
          <a:noFill/>
        </a:ln>
        <a:effectLst/>
      </c:spPr>
    </c:plotArea>
    <c:legend>
      <c:legendPos val="r"/>
      <c:layout>
        <c:manualLayout>
          <c:xMode val="edge"/>
          <c:yMode val="edge"/>
          <c:x val="0.73387899115844257"/>
          <c:y val="0.11740637894906811"/>
          <c:w val="0.23195485286610468"/>
          <c:h val="0.26125462540609007"/>
        </c:manualLayout>
      </c:layout>
      <c:overlay val="1"/>
      <c:spPr>
        <a:noFill/>
        <a:ln w="6350">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9.xml"/><Relationship Id="rId3" Type="http://schemas.openxmlformats.org/officeDocument/2006/relationships/chart" Target="../charts/chart34.xml"/><Relationship Id="rId7" Type="http://schemas.openxmlformats.org/officeDocument/2006/relationships/chart" Target="../charts/chart38.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3" Type="http://schemas.openxmlformats.org/officeDocument/2006/relationships/chart" Target="../charts/chart10.xml"/><Relationship Id="rId21" Type="http://schemas.openxmlformats.org/officeDocument/2006/relationships/chart" Target="../charts/chart27.xml"/><Relationship Id="rId7" Type="http://schemas.openxmlformats.org/officeDocument/2006/relationships/image" Target="../media/image1.png"/><Relationship Id="rId12" Type="http://schemas.openxmlformats.org/officeDocument/2006/relationships/chart" Target="../charts/chart18.xml"/><Relationship Id="rId17" Type="http://schemas.openxmlformats.org/officeDocument/2006/relationships/chart" Target="../charts/chart23.xml"/><Relationship Id="rId25" Type="http://schemas.openxmlformats.org/officeDocument/2006/relationships/chart" Target="../charts/chart31.xml"/><Relationship Id="rId2" Type="http://schemas.openxmlformats.org/officeDocument/2006/relationships/chart" Target="../charts/chart9.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7.xml"/><Relationship Id="rId24" Type="http://schemas.openxmlformats.org/officeDocument/2006/relationships/chart" Target="../charts/chart30.xml"/><Relationship Id="rId5" Type="http://schemas.openxmlformats.org/officeDocument/2006/relationships/chart" Target="../charts/chart12.xml"/><Relationship Id="rId15" Type="http://schemas.openxmlformats.org/officeDocument/2006/relationships/chart" Target="../charts/chart21.xml"/><Relationship Id="rId23" Type="http://schemas.openxmlformats.org/officeDocument/2006/relationships/chart" Target="../charts/chart2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1.xml"/><Relationship Id="rId9" Type="http://schemas.openxmlformats.org/officeDocument/2006/relationships/chart" Target="../charts/chart15.xml"/><Relationship Id="rId14" Type="http://schemas.openxmlformats.org/officeDocument/2006/relationships/chart" Target="../charts/chart20.xml"/><Relationship Id="rId22"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21</xdr:col>
      <xdr:colOff>43425</xdr:colOff>
      <xdr:row>68</xdr:row>
      <xdr:rowOff>52610</xdr:rowOff>
    </xdr:from>
    <xdr:to>
      <xdr:col>24</xdr:col>
      <xdr:colOff>1535814</xdr:colOff>
      <xdr:row>82</xdr:row>
      <xdr:rowOff>144406</xdr:rowOff>
    </xdr:to>
    <xdr:graphicFrame macro="">
      <xdr:nvGraphicFramePr>
        <xdr:cNvPr id="8" name="Chart 3">
          <a:extLst>
            <a:ext uri="{FF2B5EF4-FFF2-40B4-BE49-F238E27FC236}">
              <a16:creationId xmlns:a16="http://schemas.microsoft.com/office/drawing/2014/main" id="{11FFD2D4-9201-27F0-3E88-E32CAEF2B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24940</xdr:colOff>
      <xdr:row>83</xdr:row>
      <xdr:rowOff>3304</xdr:rowOff>
    </xdr:from>
    <xdr:to>
      <xdr:col>24</xdr:col>
      <xdr:colOff>1550582</xdr:colOff>
      <xdr:row>97</xdr:row>
      <xdr:rowOff>172585</xdr:rowOff>
    </xdr:to>
    <xdr:graphicFrame macro="">
      <xdr:nvGraphicFramePr>
        <xdr:cNvPr id="5" name="Chart 4">
          <a:extLst>
            <a:ext uri="{FF2B5EF4-FFF2-40B4-BE49-F238E27FC236}">
              <a16:creationId xmlns:a16="http://schemas.microsoft.com/office/drawing/2014/main" id="{5C251295-796A-409D-AF55-E3FB3E5D8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820964</xdr:colOff>
      <xdr:row>91</xdr:row>
      <xdr:rowOff>117626</xdr:rowOff>
    </xdr:from>
    <xdr:to>
      <xdr:col>6</xdr:col>
      <xdr:colOff>630464</xdr:colOff>
      <xdr:row>105</xdr:row>
      <xdr:rowOff>78921</xdr:rowOff>
    </xdr:to>
    <xdr:graphicFrame macro="">
      <xdr:nvGraphicFramePr>
        <xdr:cNvPr id="2" name="Chart 1">
          <a:extLst>
            <a:ext uri="{FF2B5EF4-FFF2-40B4-BE49-F238E27FC236}">
              <a16:creationId xmlns:a16="http://schemas.microsoft.com/office/drawing/2014/main" id="{0C071A41-3BF4-352F-4E79-45D7C66FD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50</xdr:row>
      <xdr:rowOff>0</xdr:rowOff>
    </xdr:from>
    <xdr:to>
      <xdr:col>48</xdr:col>
      <xdr:colOff>345351</xdr:colOff>
      <xdr:row>76</xdr:row>
      <xdr:rowOff>81077</xdr:rowOff>
    </xdr:to>
    <xdr:graphicFrame macro="">
      <xdr:nvGraphicFramePr>
        <xdr:cNvPr id="3" name="Chart 20">
          <a:extLst>
            <a:ext uri="{FF2B5EF4-FFF2-40B4-BE49-F238E27FC236}">
              <a16:creationId xmlns:a16="http://schemas.microsoft.com/office/drawing/2014/main" id="{FF341361-D915-474A-88D4-7ECBFA026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1</xdr:colOff>
      <xdr:row>69</xdr:row>
      <xdr:rowOff>1</xdr:rowOff>
    </xdr:from>
    <xdr:to>
      <xdr:col>32</xdr:col>
      <xdr:colOff>10410</xdr:colOff>
      <xdr:row>94</xdr:row>
      <xdr:rowOff>176969</xdr:rowOff>
    </xdr:to>
    <xdr:graphicFrame macro="">
      <xdr:nvGraphicFramePr>
        <xdr:cNvPr id="346" name="Chart 3">
          <a:extLst>
            <a:ext uri="{FF2B5EF4-FFF2-40B4-BE49-F238E27FC236}">
              <a16:creationId xmlns:a16="http://schemas.microsoft.com/office/drawing/2014/main" id="{F0C1AD72-5921-42FE-8C12-3C0EABDBB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1201616</xdr:colOff>
      <xdr:row>96</xdr:row>
      <xdr:rowOff>48847</xdr:rowOff>
    </xdr:from>
    <xdr:to>
      <xdr:col>32</xdr:col>
      <xdr:colOff>0</xdr:colOff>
      <xdr:row>122</xdr:row>
      <xdr:rowOff>9769</xdr:rowOff>
    </xdr:to>
    <xdr:graphicFrame macro="">
      <xdr:nvGraphicFramePr>
        <xdr:cNvPr id="347" name="Chart 5">
          <a:extLst>
            <a:ext uri="{FF2B5EF4-FFF2-40B4-BE49-F238E27FC236}">
              <a16:creationId xmlns:a16="http://schemas.microsoft.com/office/drawing/2014/main" id="{23C6A4C2-8203-45A2-AA86-0FBE91CF7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481177</xdr:colOff>
      <xdr:row>88</xdr:row>
      <xdr:rowOff>48939</xdr:rowOff>
    </xdr:from>
    <xdr:to>
      <xdr:col>12</xdr:col>
      <xdr:colOff>422056</xdr:colOff>
      <xdr:row>102</xdr:row>
      <xdr:rowOff>33173</xdr:rowOff>
    </xdr:to>
    <xdr:graphicFrame macro="">
      <xdr:nvGraphicFramePr>
        <xdr:cNvPr id="6" name="Chart 5">
          <a:extLst>
            <a:ext uri="{FF2B5EF4-FFF2-40B4-BE49-F238E27FC236}">
              <a16:creationId xmlns:a16="http://schemas.microsoft.com/office/drawing/2014/main" id="{DEC839BD-394E-2AAA-56DF-0185ACA88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0.38957</cdr:x>
      <cdr:y>0.75674</cdr:y>
    </cdr:from>
    <cdr:to>
      <cdr:x>0.78778</cdr:x>
      <cdr:y>0.9578</cdr:y>
    </cdr:to>
    <cdr:grpSp>
      <cdr:nvGrpSpPr>
        <cdr:cNvPr id="2" name="Group 1">
          <a:extLst xmlns:a="http://schemas.openxmlformats.org/drawingml/2006/main">
            <a:ext uri="{FF2B5EF4-FFF2-40B4-BE49-F238E27FC236}">
              <a16:creationId xmlns:a16="http://schemas.microsoft.com/office/drawing/2014/main" id="{078F6D65-A713-CE93-614B-A2D7E39C8B3E}"/>
            </a:ext>
          </a:extLst>
        </cdr:cNvPr>
        <cdr:cNvGrpSpPr/>
      </cdr:nvGrpSpPr>
      <cdr:grpSpPr>
        <a:xfrm xmlns:a="http://schemas.openxmlformats.org/drawingml/2006/main">
          <a:off x="1989488" y="3466151"/>
          <a:ext cx="2033612" cy="920929"/>
          <a:chOff x="0" y="0"/>
          <a:chExt cx="1702549" cy="935387"/>
        </a:xfrm>
      </cdr:grpSpPr>
      <cdr:sp macro="" textlink="">
        <cdr:nvSpPr>
          <cdr:cNvPr id="3" name="TextBox 2">
            <a:extLst xmlns:a="http://schemas.openxmlformats.org/drawingml/2006/main">
              <a:ext uri="{FF2B5EF4-FFF2-40B4-BE49-F238E27FC236}">
                <a16:creationId xmlns:a16="http://schemas.microsoft.com/office/drawing/2014/main" id="{CA5766EC-FF84-5F33-7357-83A8AA155C44}"/>
              </a:ext>
            </a:extLst>
          </cdr:cNvPr>
          <cdr:cNvSpPr txBox="1"/>
        </cdr:nvSpPr>
        <cdr:spPr>
          <a:xfrm xmlns:a="http://schemas.openxmlformats.org/drawingml/2006/main">
            <a:off x="0" y="0"/>
            <a:ext cx="1287146" cy="839981"/>
          </a:xfrm>
          <a:prstGeom xmlns:a="http://schemas.openxmlformats.org/drawingml/2006/main" prst="rect">
            <a:avLst/>
          </a:prstGeom>
        </cdr:spPr>
        <cdr:txBody>
          <a:bodyPr xmlns:a="http://schemas.openxmlformats.org/drawingml/2006/main" wrap="square" rtlCol="0" anchor="t">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200" b="1" u="sng" baseline="0">
                <a:effectLst/>
                <a:latin typeface="+mn-lt"/>
                <a:ea typeface="+mn-ea"/>
                <a:cs typeface="+mn-cs"/>
              </a:rPr>
              <a:t>Linear fit Equation</a:t>
            </a:r>
          </a:p>
          <a:p xmlns:a="http://schemas.openxmlformats.org/drawingml/2006/main">
            <a:pPr algn="l"/>
            <a:r>
              <a:rPr kumimoji="0" lang="en-US" sz="1200" b="0" i="0" u="none" strike="noStrike" kern="0" cap="none" spc="0" normalizeH="0" baseline="0" noProof="0">
                <a:ln>
                  <a:noFill/>
                </a:ln>
                <a:solidFill>
                  <a:srgbClr val="FF0000"/>
                </a:solidFill>
                <a:effectLst/>
                <a:uLnTx/>
                <a:uFillTx/>
              </a:rPr>
              <a:t>y = 0.2388x - 0.0545</a:t>
            </a:r>
          </a:p>
          <a:p xmlns:a="http://schemas.openxmlformats.org/drawingml/2006/main">
            <a:pPr algn="l"/>
            <a:r>
              <a:rPr lang="en-US" sz="1200" baseline="0">
                <a:solidFill>
                  <a:srgbClr val="0000FF"/>
                </a:solidFill>
                <a:effectLst/>
                <a:latin typeface="+mn-lt"/>
                <a:ea typeface="+mn-ea"/>
                <a:cs typeface="+mn-cs"/>
              </a:rPr>
              <a:t>y = -0.1377x + 0.0135</a:t>
            </a:r>
          </a:p>
          <a:p xmlns:a="http://schemas.openxmlformats.org/drawingml/2006/main">
            <a:pPr algn="l"/>
            <a:r>
              <a:rPr lang="en-US" sz="1200" baseline="0">
                <a:solidFill>
                  <a:srgbClr val="00C800"/>
                </a:solidFill>
                <a:effectLst/>
                <a:latin typeface="+mn-lt"/>
                <a:ea typeface="+mn-ea"/>
                <a:cs typeface="+mn-cs"/>
              </a:rPr>
              <a:t>y = -0.1629x + 0.1289</a:t>
            </a:r>
            <a:endParaRPr lang="en-MY" sz="1200">
              <a:solidFill>
                <a:srgbClr val="00C800"/>
              </a:solidFill>
            </a:endParaRPr>
          </a:p>
        </cdr:txBody>
      </cdr:sp>
      <cdr:sp macro="" textlink="">
        <cdr:nvSpPr>
          <cdr:cNvPr id="4" name="TextBox 1">
            <a:extLst xmlns:a="http://schemas.openxmlformats.org/drawingml/2006/main">
              <a:ext uri="{FF2B5EF4-FFF2-40B4-BE49-F238E27FC236}">
                <a16:creationId xmlns:a16="http://schemas.microsoft.com/office/drawing/2014/main" id="{6C623DFD-191F-A9C2-0DF1-2A0AF8DE52C6}"/>
              </a:ext>
            </a:extLst>
          </cdr:cNvPr>
          <cdr:cNvSpPr txBox="1"/>
        </cdr:nvSpPr>
        <cdr:spPr>
          <a:xfrm xmlns:a="http://schemas.openxmlformats.org/drawingml/2006/main">
            <a:off x="1141417" y="3182"/>
            <a:ext cx="561132" cy="932205"/>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1" i="0" u="sng" baseline="0">
                <a:effectLst/>
                <a:latin typeface="+mn-lt"/>
                <a:ea typeface="+mn-ea"/>
                <a:cs typeface="+mn-cs"/>
              </a:rPr>
              <a:t>R</a:t>
            </a:r>
            <a:r>
              <a:rPr lang="en-US" sz="1200" b="1" i="0" u="sng" baseline="30000">
                <a:effectLst/>
                <a:latin typeface="+mn-lt"/>
                <a:ea typeface="+mn-ea"/>
                <a:cs typeface="+mn-cs"/>
              </a:rPr>
              <a:t>2</a:t>
            </a:r>
            <a:endParaRPr lang="en-US" sz="1200" b="0" i="0" baseline="0">
              <a:effectLst/>
              <a:latin typeface="+mn-lt"/>
              <a:ea typeface="+mn-ea"/>
              <a:cs typeface="+mn-cs"/>
            </a:endParaRP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rgbClr val="FF0000"/>
                </a:solidFill>
                <a:effectLst/>
                <a:latin typeface="+mn-lt"/>
                <a:ea typeface="+mn-ea"/>
                <a:cs typeface="+mn-cs"/>
              </a:rPr>
              <a:t>0.9776</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rgbClr val="0000FF"/>
                </a:solidFill>
                <a:effectLst/>
                <a:latin typeface="+mn-lt"/>
                <a:ea typeface="+mn-ea"/>
                <a:cs typeface="+mn-cs"/>
              </a:rPr>
              <a:t>0.9966</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rgbClr val="00C800"/>
                </a:solidFill>
                <a:effectLst/>
                <a:latin typeface="+mn-lt"/>
                <a:ea typeface="+mn-ea"/>
                <a:cs typeface="+mn-cs"/>
              </a:rPr>
              <a:t>0.9840</a:t>
            </a:r>
            <a:endParaRPr lang="en-MY" sz="1200">
              <a:solidFill>
                <a:srgbClr val="00C800"/>
              </a:solidFill>
              <a:effectLst/>
            </a:endParaRPr>
          </a:p>
          <a:p xmlns:a="http://schemas.openxmlformats.org/drawingml/2006/main">
            <a:pPr algn="l"/>
            <a:endParaRPr lang="en-MY" sz="1200"/>
          </a:p>
        </cdr:txBody>
      </cdr:sp>
    </cdr:grpSp>
  </cdr:relSizeAnchor>
</c:userShapes>
</file>

<file path=xl/drawings/drawing11.xml><?xml version="1.0" encoding="utf-8"?>
<c:userShapes xmlns:c="http://schemas.openxmlformats.org/drawingml/2006/chart">
  <cdr:relSizeAnchor xmlns:cdr="http://schemas.openxmlformats.org/drawingml/2006/chartDrawing">
    <cdr:from>
      <cdr:x>0.19724</cdr:x>
      <cdr:y>0.10958</cdr:y>
    </cdr:from>
    <cdr:to>
      <cdr:x>0.49151</cdr:x>
      <cdr:y>0.30623</cdr:y>
    </cdr:to>
    <cdr:grpSp>
      <cdr:nvGrpSpPr>
        <cdr:cNvPr id="7" name="Group 6">
          <a:extLst xmlns:a="http://schemas.openxmlformats.org/drawingml/2006/main">
            <a:ext uri="{FF2B5EF4-FFF2-40B4-BE49-F238E27FC236}">
              <a16:creationId xmlns:a16="http://schemas.microsoft.com/office/drawing/2014/main" id="{94930752-9B2D-E07B-EDC1-37A19CD95120}"/>
            </a:ext>
          </a:extLst>
        </cdr:cNvPr>
        <cdr:cNvGrpSpPr/>
      </cdr:nvGrpSpPr>
      <cdr:grpSpPr>
        <a:xfrm xmlns:a="http://schemas.openxmlformats.org/drawingml/2006/main">
          <a:off x="1293261" y="584614"/>
          <a:ext cx="1929467" cy="1049137"/>
          <a:chOff x="2221521" y="3409126"/>
          <a:chExt cx="1888490" cy="1040811"/>
        </a:xfrm>
      </cdr:grpSpPr>
      <cdr:sp macro="" textlink="">
        <cdr:nvSpPr>
          <cdr:cNvPr id="2" name="TextBox 1">
            <a:extLst xmlns:a="http://schemas.openxmlformats.org/drawingml/2006/main">
              <a:ext uri="{FF2B5EF4-FFF2-40B4-BE49-F238E27FC236}">
                <a16:creationId xmlns:a16="http://schemas.microsoft.com/office/drawing/2014/main" id="{D356D46C-1B42-1CCB-D1B2-E783B458F435}"/>
              </a:ext>
            </a:extLst>
          </cdr:cNvPr>
          <cdr:cNvSpPr txBox="1"/>
        </cdr:nvSpPr>
        <cdr:spPr>
          <a:xfrm xmlns:a="http://schemas.openxmlformats.org/drawingml/2006/main">
            <a:off x="2221521" y="3409126"/>
            <a:ext cx="1369993" cy="1040811"/>
          </a:xfrm>
          <a:prstGeom xmlns:a="http://schemas.openxmlformats.org/drawingml/2006/main" prst="rect">
            <a:avLst/>
          </a:prstGeom>
        </cdr:spPr>
        <cdr:txBody>
          <a:bodyPr xmlns:a="http://schemas.openxmlformats.org/drawingml/2006/main" vertOverflow="overflow" horzOverflow="overflow" wrap="square" rtlCol="0" anchor="t">
            <a:spAutoFit/>
          </a:bodyPr>
          <a:lstStyle xmlns:a="http://schemas.openxmlformats.org/drawingml/2006/main"/>
          <a:p xmlns:a="http://schemas.openxmlformats.org/drawingml/2006/main">
            <a:pPr algn="l"/>
            <a:r>
              <a:rPr lang="en-US" sz="1200" b="1" u="sng" baseline="0">
                <a:effectLst/>
                <a:latin typeface="+mn-lt"/>
                <a:ea typeface="+mn-ea"/>
                <a:cs typeface="+mn-cs"/>
              </a:rPr>
              <a:t>Equation</a:t>
            </a:r>
          </a:p>
          <a:p xmlns:a="http://schemas.openxmlformats.org/drawingml/2006/main">
            <a:pPr algn="l"/>
            <a:r>
              <a:rPr lang="en-US" sz="1200" baseline="0">
                <a:effectLst/>
                <a:latin typeface="+mn-lt"/>
                <a:ea typeface="+mn-ea"/>
                <a:cs typeface="+mn-cs"/>
              </a:rPr>
              <a:t>y = 0.0911x + 0.2149</a:t>
            </a:r>
            <a:endParaRPr lang="en-MY" sz="1200"/>
          </a:p>
          <a:p xmlns:a="http://schemas.openxmlformats.org/drawingml/2006/main">
            <a:pPr algn="l"/>
            <a:r>
              <a:rPr kumimoji="0" lang="en-US" sz="1200" b="0" i="0" u="none" strike="noStrike" kern="0" cap="none" spc="0" normalizeH="0" baseline="0" noProof="0">
                <a:ln>
                  <a:noFill/>
                </a:ln>
                <a:solidFill>
                  <a:srgbClr val="FF0000"/>
                </a:solidFill>
                <a:effectLst/>
                <a:uLnTx/>
                <a:uFillTx/>
              </a:rPr>
              <a:t>y = 0.0661x + 0.1270</a:t>
            </a:r>
          </a:p>
          <a:p xmlns:a="http://schemas.openxmlformats.org/drawingml/2006/main">
            <a:pPr algn="l"/>
            <a:r>
              <a:rPr lang="en-US" sz="1200" baseline="0">
                <a:solidFill>
                  <a:srgbClr val="0000FF"/>
                </a:solidFill>
                <a:effectLst/>
                <a:latin typeface="+mn-lt"/>
                <a:ea typeface="+mn-ea"/>
                <a:cs typeface="+mn-cs"/>
              </a:rPr>
              <a:t>y = 0.0764x + 0.1246</a:t>
            </a:r>
          </a:p>
          <a:p xmlns:a="http://schemas.openxmlformats.org/drawingml/2006/main">
            <a:pPr algn="l"/>
            <a:r>
              <a:rPr lang="en-US" sz="1200" baseline="0">
                <a:solidFill>
                  <a:srgbClr val="00C800"/>
                </a:solidFill>
                <a:effectLst/>
                <a:latin typeface="+mn-lt"/>
                <a:ea typeface="+mn-ea"/>
                <a:cs typeface="+mn-cs"/>
              </a:rPr>
              <a:t>y = 0.0762x + 0.0756</a:t>
            </a:r>
            <a:endParaRPr lang="en-MY" sz="1200">
              <a:solidFill>
                <a:srgbClr val="00C800"/>
              </a:solidFill>
            </a:endParaRPr>
          </a:p>
        </cdr:txBody>
      </cdr:sp>
      <cdr:sp macro="" textlink="">
        <cdr:nvSpPr>
          <cdr:cNvPr id="3" name="TextBox 1">
            <a:extLst xmlns:a="http://schemas.openxmlformats.org/drawingml/2006/main">
              <a:ext uri="{FF2B5EF4-FFF2-40B4-BE49-F238E27FC236}">
                <a16:creationId xmlns:a16="http://schemas.microsoft.com/office/drawing/2014/main" id="{BCDC2859-6D5B-E5E8-32D4-66AB400F42E8}"/>
              </a:ext>
            </a:extLst>
          </cdr:cNvPr>
          <cdr:cNvSpPr txBox="1"/>
        </cdr:nvSpPr>
        <cdr:spPr>
          <a:xfrm xmlns:a="http://schemas.openxmlformats.org/drawingml/2006/main">
            <a:off x="3512762" y="3412323"/>
            <a:ext cx="597249" cy="936466"/>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1" i="0" u="sng" baseline="0">
                <a:effectLst/>
                <a:latin typeface="+mn-lt"/>
                <a:ea typeface="+mn-ea"/>
                <a:cs typeface="+mn-cs"/>
              </a:rPr>
              <a:t>R</a:t>
            </a:r>
            <a:r>
              <a:rPr lang="en-US" sz="1200" b="1" i="0" u="sng" baseline="30000">
                <a:effectLst/>
                <a:latin typeface="+mn-lt"/>
                <a:ea typeface="+mn-ea"/>
                <a:cs typeface="+mn-cs"/>
              </a:rPr>
              <a:t>2</a:t>
            </a:r>
            <a:br>
              <a:rPr lang="en-US" sz="1200" b="0" i="0" baseline="0">
                <a:effectLst/>
                <a:latin typeface="+mn-lt"/>
                <a:ea typeface="+mn-ea"/>
                <a:cs typeface="+mn-cs"/>
              </a:rPr>
            </a:br>
            <a:r>
              <a:rPr lang="en-US" sz="1200" b="0" i="0" baseline="0">
                <a:effectLst/>
                <a:latin typeface="+mn-lt"/>
                <a:ea typeface="+mn-ea"/>
                <a:cs typeface="+mn-cs"/>
              </a:rPr>
              <a:t>0.9492</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rgbClr val="FF0000"/>
                </a:solidFill>
                <a:effectLst/>
                <a:latin typeface="+mn-lt"/>
                <a:ea typeface="+mn-ea"/>
                <a:cs typeface="+mn-cs"/>
              </a:rPr>
              <a:t>0.9999</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rgbClr val="0000FF"/>
                </a:solidFill>
                <a:effectLst/>
                <a:latin typeface="+mn-lt"/>
                <a:ea typeface="+mn-ea"/>
                <a:cs typeface="+mn-cs"/>
              </a:rPr>
              <a:t>1.0000</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rgbClr val="00C800"/>
                </a:solidFill>
                <a:effectLst/>
                <a:latin typeface="+mn-lt"/>
                <a:ea typeface="+mn-ea"/>
                <a:cs typeface="+mn-cs"/>
              </a:rPr>
              <a:t>0.9998</a:t>
            </a:r>
            <a:endParaRPr lang="en-MY" sz="1200">
              <a:solidFill>
                <a:srgbClr val="00C800"/>
              </a:solidFill>
              <a:effectLst/>
            </a:endParaRPr>
          </a:p>
          <a:p xmlns:a="http://schemas.openxmlformats.org/drawingml/2006/main">
            <a:pPr algn="l"/>
            <a:endParaRPr lang="en-MY" sz="1200"/>
          </a:p>
        </cdr:txBody>
      </cdr:sp>
    </cdr:grpSp>
  </cdr:relSizeAnchor>
  <cdr:relSizeAnchor xmlns:cdr="http://schemas.openxmlformats.org/drawingml/2006/chartDrawing">
    <cdr:from>
      <cdr:x>0.76409</cdr:x>
      <cdr:y>0.65829</cdr:y>
    </cdr:from>
    <cdr:to>
      <cdr:x>0.96156</cdr:x>
      <cdr:y>0.87659</cdr:y>
    </cdr:to>
    <cdr:grpSp>
      <cdr:nvGrpSpPr>
        <cdr:cNvPr id="8" name="Group 7">
          <a:extLst xmlns:a="http://schemas.openxmlformats.org/drawingml/2006/main">
            <a:ext uri="{FF2B5EF4-FFF2-40B4-BE49-F238E27FC236}">
              <a16:creationId xmlns:a16="http://schemas.microsoft.com/office/drawing/2014/main" id="{B0C4CD67-A2CA-7648-8055-8CA10BDC4EBD}"/>
            </a:ext>
          </a:extLst>
        </cdr:cNvPr>
        <cdr:cNvGrpSpPr/>
      </cdr:nvGrpSpPr>
      <cdr:grpSpPr>
        <a:xfrm xmlns:a="http://schemas.openxmlformats.org/drawingml/2006/main">
          <a:off x="5009978" y="3512007"/>
          <a:ext cx="1294769" cy="1164641"/>
          <a:chOff x="4134861" y="3312916"/>
          <a:chExt cx="1351817" cy="1156609"/>
        </a:xfrm>
      </cdr:grpSpPr>
      <cdr:sp macro="" textlink="">
        <cdr:nvSpPr>
          <cdr:cNvPr id="5" name="TextBox 1">
            <a:extLst xmlns:a="http://schemas.openxmlformats.org/drawingml/2006/main">
              <a:ext uri="{FF2B5EF4-FFF2-40B4-BE49-F238E27FC236}">
                <a16:creationId xmlns:a16="http://schemas.microsoft.com/office/drawing/2014/main" id="{80D5F38D-18CE-AC7B-F827-3F4C57D5AA04}"/>
              </a:ext>
            </a:extLst>
          </cdr:cNvPr>
          <cdr:cNvSpPr txBox="1"/>
        </cdr:nvSpPr>
        <cdr:spPr>
          <a:xfrm xmlns:a="http://schemas.openxmlformats.org/drawingml/2006/main">
            <a:off x="4134861" y="3312916"/>
            <a:ext cx="628895" cy="1151535"/>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1" i="0" u="sng" baseline="0">
                <a:effectLst/>
                <a:latin typeface="+mn-lt"/>
                <a:ea typeface="+mn-ea"/>
                <a:cs typeface="+mn-cs"/>
              </a:rPr>
              <a:t>a [deg</a:t>
            </a:r>
            <a:r>
              <a:rPr lang="en-US" sz="1400" b="1" i="0" u="sng" baseline="30000">
                <a:effectLst/>
                <a:latin typeface="+mn-lt"/>
                <a:ea typeface="+mn-ea"/>
                <a:cs typeface="+mn-cs"/>
              </a:rPr>
              <a:t>-1</a:t>
            </a:r>
            <a:r>
              <a:rPr lang="en-US" sz="1400" b="1" i="0" u="sng" baseline="0">
                <a:effectLst/>
                <a:latin typeface="+mn-lt"/>
                <a:ea typeface="+mn-ea"/>
                <a:cs typeface="+mn-cs"/>
              </a:rPr>
              <a:t>]</a:t>
            </a:r>
            <a:br>
              <a:rPr lang="en-US" sz="1400" b="0" i="0" baseline="0">
                <a:effectLst/>
                <a:latin typeface="+mn-lt"/>
                <a:ea typeface="+mn-ea"/>
                <a:cs typeface="+mn-cs"/>
              </a:rPr>
            </a:br>
            <a:r>
              <a:rPr lang="en-US" sz="1400" b="0" i="0" baseline="0">
                <a:effectLst/>
                <a:latin typeface="+mn-lt"/>
                <a:ea typeface="+mn-ea"/>
                <a:cs typeface="+mn-cs"/>
              </a:rPr>
              <a:t>0.0911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FF0000"/>
                </a:solidFill>
                <a:effectLst/>
                <a:latin typeface="+mn-lt"/>
                <a:ea typeface="+mn-ea"/>
                <a:cs typeface="+mn-cs"/>
              </a:rPr>
              <a:t>0.0661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0000FF"/>
                </a:solidFill>
                <a:effectLst/>
                <a:latin typeface="+mn-lt"/>
                <a:ea typeface="+mn-ea"/>
                <a:cs typeface="+mn-cs"/>
              </a:rPr>
              <a:t>0.0764</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00C800"/>
                </a:solidFill>
                <a:effectLst/>
                <a:latin typeface="+mn-lt"/>
                <a:ea typeface="+mn-ea"/>
                <a:cs typeface="+mn-cs"/>
              </a:rPr>
              <a:t>0.0762</a:t>
            </a:r>
            <a:endParaRPr lang="en-MY" sz="1400">
              <a:solidFill>
                <a:srgbClr val="00C800"/>
              </a:solidFill>
              <a:effectLst/>
            </a:endParaRPr>
          </a:p>
          <a:p xmlns:a="http://schemas.openxmlformats.org/drawingml/2006/main">
            <a:pPr algn="l"/>
            <a:endParaRPr lang="en-MY" sz="1400"/>
          </a:p>
        </cdr:txBody>
      </cdr:sp>
      <cdr:sp macro="" textlink="">
        <cdr:nvSpPr>
          <cdr:cNvPr id="6" name="TextBox 1">
            <a:extLst xmlns:a="http://schemas.openxmlformats.org/drawingml/2006/main">
              <a:ext uri="{FF2B5EF4-FFF2-40B4-BE49-F238E27FC236}">
                <a16:creationId xmlns:a16="http://schemas.microsoft.com/office/drawing/2014/main" id="{80D5F38D-18CE-AC7B-F827-3F4C57D5AA04}"/>
              </a:ext>
            </a:extLst>
          </cdr:cNvPr>
          <cdr:cNvSpPr txBox="1"/>
        </cdr:nvSpPr>
        <cdr:spPr>
          <a:xfrm xmlns:a="http://schemas.openxmlformats.org/drawingml/2006/main">
            <a:off x="4856765" y="3320982"/>
            <a:ext cx="629913" cy="1148543"/>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l-GR" sz="1400" b="1" i="0" u="sng" baseline="0">
                <a:effectLst/>
                <a:latin typeface="+mn-lt"/>
                <a:ea typeface="+mn-ea"/>
                <a:cs typeface="+mn-cs"/>
              </a:rPr>
              <a:t>α</a:t>
            </a:r>
            <a:r>
              <a:rPr lang="el-GR" sz="1400" b="1" i="0" u="sng" baseline="-25000">
                <a:effectLst/>
                <a:latin typeface="+mn-lt"/>
                <a:ea typeface="+mn-ea"/>
                <a:cs typeface="+mn-cs"/>
              </a:rPr>
              <a:t>0</a:t>
            </a:r>
            <a:r>
              <a:rPr lang="el-GR" sz="1400" b="1" i="0" u="sng" baseline="0">
                <a:effectLst/>
                <a:latin typeface="+mn-lt"/>
                <a:ea typeface="+mn-ea"/>
                <a:cs typeface="+mn-cs"/>
              </a:rPr>
              <a:t> [</a:t>
            </a:r>
            <a:r>
              <a:rPr lang="en-MY" sz="1400" b="1" i="0" u="sng" baseline="0">
                <a:effectLst/>
                <a:latin typeface="+mn-lt"/>
                <a:ea typeface="+mn-ea"/>
                <a:cs typeface="+mn-cs"/>
              </a:rPr>
              <a:t>deg]</a:t>
            </a:r>
            <a:br>
              <a:rPr lang="en-US" sz="1400" b="0" i="0" baseline="0">
                <a:effectLst/>
                <a:latin typeface="+mn-lt"/>
                <a:ea typeface="+mn-ea"/>
                <a:cs typeface="+mn-cs"/>
              </a:rPr>
            </a:br>
            <a:r>
              <a:rPr lang="en-US" sz="1400" b="0" i="0" baseline="0">
                <a:effectLst/>
                <a:latin typeface="+mn-lt"/>
                <a:ea typeface="+mn-ea"/>
                <a:cs typeface="+mn-cs"/>
              </a:rPr>
              <a:t>-2.359</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FF0000"/>
                </a:solidFill>
                <a:effectLst/>
                <a:latin typeface="+mn-lt"/>
                <a:ea typeface="+mn-ea"/>
                <a:cs typeface="+mn-cs"/>
              </a:rPr>
              <a:t>-1.921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0000FF"/>
                </a:solidFill>
                <a:effectLst/>
                <a:latin typeface="+mn-lt"/>
                <a:ea typeface="+mn-ea"/>
                <a:cs typeface="+mn-cs"/>
              </a:rPr>
              <a:t>-1.631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00C800"/>
                </a:solidFill>
                <a:effectLst/>
                <a:latin typeface="+mn-lt"/>
                <a:ea typeface="+mn-ea"/>
                <a:cs typeface="+mn-cs"/>
              </a:rPr>
              <a:t>-0.992</a:t>
            </a:r>
            <a:endParaRPr lang="en-MY" sz="1400">
              <a:solidFill>
                <a:srgbClr val="00C800"/>
              </a:solidFill>
              <a:effectLst/>
            </a:endParaRPr>
          </a:p>
          <a:p xmlns:a="http://schemas.openxmlformats.org/drawingml/2006/main">
            <a:pPr algn="l"/>
            <a:endParaRPr lang="en-MY" sz="1400"/>
          </a:p>
        </cdr:txBody>
      </cdr:sp>
    </cdr:grpSp>
  </cdr:relSizeAnchor>
  <cdr:relSizeAnchor xmlns:cdr="http://schemas.openxmlformats.org/drawingml/2006/chartDrawing">
    <cdr:from>
      <cdr:x>0.73586</cdr:x>
      <cdr:y>0.02855</cdr:y>
    </cdr:from>
    <cdr:to>
      <cdr:x>0.90682</cdr:x>
      <cdr:y>0.09287</cdr:y>
    </cdr:to>
    <cdr:sp macro="" textlink="">
      <cdr:nvSpPr>
        <cdr:cNvPr id="9" name="TextBox 8">
          <a:extLst xmlns:a="http://schemas.openxmlformats.org/drawingml/2006/main">
            <a:ext uri="{FF2B5EF4-FFF2-40B4-BE49-F238E27FC236}">
              <a16:creationId xmlns:a16="http://schemas.microsoft.com/office/drawing/2014/main" id="{C0FC2CE3-E607-6E07-7416-6A99576305DF}"/>
            </a:ext>
          </a:extLst>
        </cdr:cNvPr>
        <cdr:cNvSpPr txBox="1"/>
      </cdr:nvSpPr>
      <cdr:spPr>
        <a:xfrm xmlns:a="http://schemas.openxmlformats.org/drawingml/2006/main">
          <a:off x="5030663" y="148906"/>
          <a:ext cx="1168770" cy="3355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MY" sz="1400">
              <a:solidFill>
                <a:srgbClr val="00C800"/>
              </a:solidFill>
            </a:rPr>
            <a:t>C</a:t>
          </a:r>
          <a:r>
            <a:rPr lang="en-MY" sz="1400" baseline="-25000">
              <a:solidFill>
                <a:srgbClr val="00C800"/>
              </a:solidFill>
            </a:rPr>
            <a:t>L,</a:t>
          </a:r>
          <a:r>
            <a:rPr lang="en-MY" sz="1400" baseline="0">
              <a:solidFill>
                <a:srgbClr val="00C800"/>
              </a:solidFill>
            </a:rPr>
            <a:t> </a:t>
          </a:r>
          <a:r>
            <a:rPr lang="en-MY" sz="1400" cap="none" baseline="-25000">
              <a:solidFill>
                <a:srgbClr val="00C800"/>
              </a:solidFill>
            </a:rPr>
            <a:t>max</a:t>
          </a:r>
          <a:r>
            <a:rPr lang="en-MY" sz="1400" cap="none" baseline="0">
              <a:solidFill>
                <a:srgbClr val="00C800"/>
              </a:solidFill>
            </a:rPr>
            <a:t> = 0.9665</a:t>
          </a:r>
          <a:endParaRPr lang="en-MY" sz="1400" cap="none" baseline="-25000">
            <a:solidFill>
              <a:srgbClr val="00C800"/>
            </a:solidFill>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2</xdr:col>
      <xdr:colOff>0</xdr:colOff>
      <xdr:row>60</xdr:row>
      <xdr:rowOff>0</xdr:rowOff>
    </xdr:from>
    <xdr:to>
      <xdr:col>11</xdr:col>
      <xdr:colOff>223035</xdr:colOff>
      <xdr:row>86</xdr:row>
      <xdr:rowOff>71602</xdr:rowOff>
    </xdr:to>
    <xdr:graphicFrame macro="">
      <xdr:nvGraphicFramePr>
        <xdr:cNvPr id="2" name="Chart 1">
          <a:extLst>
            <a:ext uri="{FF2B5EF4-FFF2-40B4-BE49-F238E27FC236}">
              <a16:creationId xmlns:a16="http://schemas.microsoft.com/office/drawing/2014/main" id="{E63054DE-0C91-4DFE-99EB-1954DCCDC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60</xdr:row>
      <xdr:rowOff>0</xdr:rowOff>
    </xdr:from>
    <xdr:to>
      <xdr:col>21</xdr:col>
      <xdr:colOff>233688</xdr:colOff>
      <xdr:row>86</xdr:row>
      <xdr:rowOff>104234</xdr:rowOff>
    </xdr:to>
    <xdr:graphicFrame macro="">
      <xdr:nvGraphicFramePr>
        <xdr:cNvPr id="3" name="Chart 2">
          <a:extLst>
            <a:ext uri="{FF2B5EF4-FFF2-40B4-BE49-F238E27FC236}">
              <a16:creationId xmlns:a16="http://schemas.microsoft.com/office/drawing/2014/main" id="{F4B22C87-8AF0-4A70-8FCC-F1D402340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60</xdr:row>
      <xdr:rowOff>0</xdr:rowOff>
    </xdr:from>
    <xdr:to>
      <xdr:col>31</xdr:col>
      <xdr:colOff>308751</xdr:colOff>
      <xdr:row>86</xdr:row>
      <xdr:rowOff>92934</xdr:rowOff>
    </xdr:to>
    <xdr:graphicFrame macro="">
      <xdr:nvGraphicFramePr>
        <xdr:cNvPr id="8" name="Chart 3">
          <a:extLst>
            <a:ext uri="{FF2B5EF4-FFF2-40B4-BE49-F238E27FC236}">
              <a16:creationId xmlns:a16="http://schemas.microsoft.com/office/drawing/2014/main" id="{D066955D-6E93-4626-959B-5ACC98BA2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395111</xdr:colOff>
      <xdr:row>35</xdr:row>
      <xdr:rowOff>101600</xdr:rowOff>
    </xdr:from>
    <xdr:to>
      <xdr:col>16</xdr:col>
      <xdr:colOff>571660</xdr:colOff>
      <xdr:row>54</xdr:row>
      <xdr:rowOff>9407</xdr:rowOff>
    </xdr:to>
    <xdr:graphicFrame macro="">
      <xdr:nvGraphicFramePr>
        <xdr:cNvPr id="9" name="Chart 19">
          <a:extLst>
            <a:ext uri="{FF2B5EF4-FFF2-40B4-BE49-F238E27FC236}">
              <a16:creationId xmlns:a16="http://schemas.microsoft.com/office/drawing/2014/main" id="{37216F16-A3CD-784F-AA92-C58A3ECF5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25491</xdr:colOff>
      <xdr:row>1</xdr:row>
      <xdr:rowOff>37168</xdr:rowOff>
    </xdr:from>
    <xdr:ext cx="16212345" cy="6067743"/>
    <xdr:sp macro="" textlink="">
      <xdr:nvSpPr>
        <xdr:cNvPr id="5" name="TextBox 4">
          <a:extLst>
            <a:ext uri="{FF2B5EF4-FFF2-40B4-BE49-F238E27FC236}">
              <a16:creationId xmlns:a16="http://schemas.microsoft.com/office/drawing/2014/main" id="{6C5AE9AB-0D92-4F98-8656-20FFFCC2B73D}"/>
            </a:ext>
          </a:extLst>
        </xdr:cNvPr>
        <xdr:cNvSpPr txBox="1"/>
      </xdr:nvSpPr>
      <xdr:spPr>
        <a:xfrm>
          <a:off x="638210" y="226554"/>
          <a:ext cx="16212345" cy="6067743"/>
        </a:xfrm>
        <a:prstGeom prst="rect">
          <a:avLst/>
        </a:prstGeom>
        <a:solidFill>
          <a:schemeClr val="bg1"/>
        </a:solid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MY" sz="1800" b="1">
              <a:solidFill>
                <a:schemeClr val="tx1"/>
              </a:solidFill>
            </a:rPr>
            <a:t>Notes</a:t>
          </a:r>
          <a:r>
            <a:rPr lang="en-MY" sz="1800" b="1" baseline="0">
              <a:solidFill>
                <a:schemeClr val="tx1"/>
              </a:solidFill>
            </a:rPr>
            <a:t> for plotting graphs</a:t>
          </a:r>
        </a:p>
        <a:p>
          <a:pPr lvl="0"/>
          <a:r>
            <a:rPr lang="en-MY" sz="1800" baseline="0">
              <a:solidFill>
                <a:schemeClr val="tx1"/>
              </a:solidFill>
            </a:rPr>
            <a:t>Plot area:	 	Only include gridlines (black color) if reading values from graph</a:t>
          </a:r>
        </a:p>
        <a:p>
          <a:r>
            <a:rPr lang="en-MY" altLang="zh-CN" sz="1800" baseline="0">
              <a:solidFill>
                <a:schemeClr val="tx1"/>
              </a:solidFill>
            </a:rPr>
            <a:t>A</a:t>
          </a:r>
          <a:r>
            <a:rPr lang="en-MY" sz="1800" baseline="0">
              <a:solidFill>
                <a:schemeClr val="tx1"/>
              </a:solidFill>
            </a:rPr>
            <a:t>xes: 		Ensure labels and  axes line are black color</a:t>
          </a:r>
        </a:p>
        <a:p>
          <a:r>
            <a:rPr lang="en-MY" sz="1800" baseline="0">
              <a:solidFill>
                <a:schemeClr val="tx1"/>
              </a:solidFill>
            </a:rPr>
            <a:t>		Use appropriate decimals and divisions</a:t>
          </a:r>
        </a:p>
        <a:p>
          <a:r>
            <a:rPr lang="en-MY" sz="1800" baseline="0">
              <a:solidFill>
                <a:schemeClr val="tx1"/>
              </a:solidFill>
            </a:rPr>
            <a:t>		Include tick marks (major and/or minor)</a:t>
          </a:r>
        </a:p>
        <a:p>
          <a:r>
            <a:rPr lang="en-MY" sz="1800" baseline="0">
              <a:solidFill>
                <a:schemeClr val="tx1"/>
              </a:solidFill>
            </a:rPr>
            <a:t>		Include symbols and units</a:t>
          </a:r>
        </a:p>
        <a:p>
          <a:r>
            <a:rPr lang="en-MY" sz="1800" baseline="0">
              <a:solidFill>
                <a:schemeClr val="tx1"/>
              </a:solidFill>
            </a:rPr>
            <a:t>Data points: 	Use distinct markers for each set of data</a:t>
          </a:r>
        </a:p>
        <a:p>
          <a:r>
            <a:rPr lang="en-MY" sz="1800" baseline="0">
              <a:solidFill>
                <a:schemeClr val="tx1"/>
              </a:solidFill>
            </a:rPr>
            <a:t>		Include applicable error bars (absolute errors)</a:t>
          </a:r>
        </a:p>
        <a:p>
          <a:r>
            <a:rPr lang="en-MY" sz="1800" baseline="0">
              <a:solidFill>
                <a:schemeClr val="tx1"/>
              </a:solidFill>
            </a:rPr>
            <a:t>Trendlines: 	Use appropriate sets of data for fitting</a:t>
          </a:r>
        </a:p>
        <a:p>
          <a:r>
            <a:rPr lang="en-MY" sz="1800" baseline="0">
              <a:solidFill>
                <a:schemeClr val="tx1"/>
              </a:solidFill>
            </a:rPr>
            <a:t>		Use appropriate type of trendline</a:t>
          </a:r>
        </a:p>
        <a:p>
          <a:r>
            <a:rPr lang="en-MY" sz="1800" baseline="0">
              <a:solidFill>
                <a:schemeClr val="tx1"/>
              </a:solidFill>
            </a:rPr>
            <a:t>		Set intercept if neccessary ( e.g. L/D vs CL must pass through the origin )</a:t>
          </a:r>
        </a:p>
        <a:p>
          <a:r>
            <a:rPr lang="en-MY" sz="1800" baseline="0">
              <a:solidFill>
                <a:schemeClr val="tx1"/>
              </a:solidFill>
            </a:rPr>
            <a:t>		Use distinct line styles</a:t>
          </a:r>
        </a:p>
        <a:p>
          <a:r>
            <a:rPr lang="en-MY" sz="1800" baseline="0">
              <a:solidFill>
                <a:schemeClr val="tx1"/>
              </a:solidFill>
            </a:rPr>
            <a:t>		Include equation if neccessary</a:t>
          </a:r>
        </a:p>
        <a:p>
          <a:r>
            <a:rPr lang="en-MY" sz="1800" baseline="0">
              <a:solidFill>
                <a:schemeClr val="tx1"/>
              </a:solidFill>
            </a:rPr>
            <a:t>		Include R</a:t>
          </a:r>
          <a:r>
            <a:rPr lang="en-MY" sz="1800" baseline="30000">
              <a:solidFill>
                <a:schemeClr val="tx1"/>
              </a:solidFill>
            </a:rPr>
            <a:t>2</a:t>
          </a:r>
          <a:r>
            <a:rPr lang="en-MY" sz="1800" baseline="0">
              <a:solidFill>
                <a:schemeClr val="tx1"/>
              </a:solidFill>
            </a:rPr>
            <a:t> values</a:t>
          </a:r>
        </a:p>
        <a:p>
          <a:r>
            <a:rPr lang="en-MY" sz="1800" baseline="0">
              <a:solidFill>
                <a:schemeClr val="tx1"/>
              </a:solidFill>
            </a:rPr>
            <a:t>		Extrapolate to show intercepts if required</a:t>
          </a:r>
        </a:p>
        <a:p>
          <a:r>
            <a:rPr lang="en-MY" sz="1800">
              <a:solidFill>
                <a:schemeClr val="tx1"/>
              </a:solidFill>
            </a:rPr>
            <a:t>Legend: 		Use</a:t>
          </a:r>
          <a:r>
            <a:rPr lang="en-MY" sz="1800" baseline="0">
              <a:solidFill>
                <a:schemeClr val="tx1"/>
              </a:solidFill>
            </a:rPr>
            <a:t> black text</a:t>
          </a:r>
        </a:p>
        <a:p>
          <a:r>
            <a:rPr lang="en-MY" sz="1800" baseline="0">
              <a:solidFill>
                <a:schemeClr val="tx1"/>
              </a:solidFill>
            </a:rPr>
            <a:t>		R</a:t>
          </a:r>
          <a:r>
            <a:rPr lang="en-MY" sz="1800">
              <a:solidFill>
                <a:schemeClr val="tx1"/>
              </a:solidFill>
            </a:rPr>
            <a:t>emove unneccessary</a:t>
          </a:r>
          <a:r>
            <a:rPr lang="en-MY" sz="1800" baseline="0">
              <a:solidFill>
                <a:schemeClr val="tx1"/>
              </a:solidFill>
            </a:rPr>
            <a:t> entries</a:t>
          </a:r>
        </a:p>
        <a:p>
          <a:r>
            <a:rPr lang="en-MY" sz="1800" baseline="0">
              <a:solidFill>
                <a:schemeClr val="tx1"/>
              </a:solidFill>
            </a:rPr>
            <a:t>		Use appropriate entry names</a:t>
          </a:r>
        </a:p>
        <a:p>
          <a:r>
            <a:rPr lang="en-MY" sz="1800" baseline="0">
              <a:solidFill>
                <a:schemeClr val="tx1"/>
              </a:solidFill>
            </a:rPr>
            <a:t>General: 		Use text box or datapoint labels to add information to plot area</a:t>
          </a:r>
        </a:p>
        <a:p>
          <a:r>
            <a:rPr lang="en-MY" sz="1800" baseline="0">
              <a:solidFill>
                <a:schemeClr val="tx1"/>
              </a:solidFill>
            </a:rPr>
            <a:t>		Ensure all text are of similar font size such that all are legible</a:t>
          </a:r>
        </a:p>
        <a:p>
          <a:r>
            <a:rPr lang="en-MY" sz="1800" baseline="0">
              <a:solidFill>
                <a:schemeClr val="tx1"/>
              </a:solidFill>
            </a:rPr>
            <a:t>		Use a suitable aspect ratio for how you want to organise your section in the Word document</a:t>
          </a:r>
        </a:p>
      </xdr:txBody>
    </xdr:sp>
    <xdr:clientData/>
  </xdr:oneCellAnchor>
  <xdr:twoCellAnchor>
    <xdr:from>
      <xdr:col>2</xdr:col>
      <xdr:colOff>0</xdr:colOff>
      <xdr:row>88</xdr:row>
      <xdr:rowOff>0</xdr:rowOff>
    </xdr:from>
    <xdr:to>
      <xdr:col>11</xdr:col>
      <xdr:colOff>269151</xdr:colOff>
      <xdr:row>113</xdr:row>
      <xdr:rowOff>59910</xdr:rowOff>
    </xdr:to>
    <xdr:graphicFrame macro="">
      <xdr:nvGraphicFramePr>
        <xdr:cNvPr id="10" name="Chart 20">
          <a:extLst>
            <a:ext uri="{FF2B5EF4-FFF2-40B4-BE49-F238E27FC236}">
              <a16:creationId xmlns:a16="http://schemas.microsoft.com/office/drawing/2014/main" id="{E103A8FA-2378-4DED-AC3B-7DD8CA472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663864</xdr:colOff>
      <xdr:row>18</xdr:row>
      <xdr:rowOff>156945</xdr:rowOff>
    </xdr:from>
    <xdr:to>
      <xdr:col>39</xdr:col>
      <xdr:colOff>245341</xdr:colOff>
      <xdr:row>54</xdr:row>
      <xdr:rowOff>158749</xdr:rowOff>
    </xdr:to>
    <xdr:graphicFrame macro="">
      <xdr:nvGraphicFramePr>
        <xdr:cNvPr id="4" name="Chart 3">
          <a:extLst>
            <a:ext uri="{FF2B5EF4-FFF2-40B4-BE49-F238E27FC236}">
              <a16:creationId xmlns:a16="http://schemas.microsoft.com/office/drawing/2014/main" id="{E67E2148-D785-B645-B542-C6BBE3B84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0</xdr:colOff>
      <xdr:row>25</xdr:row>
      <xdr:rowOff>0</xdr:rowOff>
    </xdr:from>
    <xdr:to>
      <xdr:col>51</xdr:col>
      <xdr:colOff>613060</xdr:colOff>
      <xdr:row>53</xdr:row>
      <xdr:rowOff>164332</xdr:rowOff>
    </xdr:to>
    <xdr:graphicFrame macro="">
      <xdr:nvGraphicFramePr>
        <xdr:cNvPr id="23" name="Chart 6">
          <a:extLst>
            <a:ext uri="{FF2B5EF4-FFF2-40B4-BE49-F238E27FC236}">
              <a16:creationId xmlns:a16="http://schemas.microsoft.com/office/drawing/2014/main" id="{C3620729-B566-4BDA-89C7-6C2379157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52</xdr:col>
      <xdr:colOff>607480</xdr:colOff>
      <xdr:row>24</xdr:row>
      <xdr:rowOff>146667</xdr:rowOff>
    </xdr:from>
    <xdr:ext cx="6288915" cy="3397520"/>
    <mc:AlternateContent xmlns:mc="http://schemas.openxmlformats.org/markup-compatibility/2006" xmlns:a14="http://schemas.microsoft.com/office/drawing/2010/main">
      <mc:Choice Requires="a14">
        <xdr:sp macro="" textlink="">
          <xdr:nvSpPr>
            <xdr:cNvPr id="132" name="TextBox 5">
              <a:extLst>
                <a:ext uri="{FF2B5EF4-FFF2-40B4-BE49-F238E27FC236}">
                  <a16:creationId xmlns:a16="http://schemas.microsoft.com/office/drawing/2014/main" id="{BD1B9867-3774-5369-FD42-C03234DA9647}"/>
                </a:ext>
              </a:extLst>
            </xdr:cNvPr>
            <xdr:cNvSpPr txBox="1"/>
          </xdr:nvSpPr>
          <xdr:spPr>
            <a:xfrm>
              <a:off x="35118992" y="4399690"/>
              <a:ext cx="6288915" cy="3397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chemeClr val="tx1"/>
                  </a:solidFill>
                  <a:effectLst/>
                  <a:latin typeface="Arial" panose="020B0604020202020204" pitchFamily="34" charset="0"/>
                  <a:ea typeface="+mn-ea"/>
                  <a:cs typeface="Arial" panose="020B0604020202020204" pitchFamily="34" charset="0"/>
                </a:rPr>
                <a:t>The highest </a:t>
              </a:r>
              <a14:m>
                <m:oMath xmlns:m="http://schemas.openxmlformats.org/officeDocument/2006/math">
                  <m:sSub>
                    <m:sSubPr>
                      <m:ctrlPr>
                        <a:rPr lang="en-MY"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𝐶</m:t>
                      </m:r>
                    </m:e>
                    <m:sub>
                      <m:sSub>
                        <m:sSubPr>
                          <m:ctrlPr>
                            <a:rPr lang="en-MY"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𝑙</m:t>
                          </m:r>
                        </m:e>
                        <m:sub>
                          <m:r>
                            <a:rPr lang="en-US" sz="1100" i="1">
                              <a:solidFill>
                                <a:schemeClr val="tx1"/>
                              </a:solidFill>
                              <a:effectLst/>
                              <a:latin typeface="Cambria Math" panose="02040503050406030204" pitchFamily="18" charset="0"/>
                              <a:ea typeface="+mn-ea"/>
                              <a:cs typeface="+mn-cs"/>
                            </a:rPr>
                            <m:t>𝑚𝑎𝑥</m:t>
                          </m:r>
                        </m:sub>
                      </m:sSub>
                    </m:sub>
                  </m:sSub>
                </m:oMath>
              </a14:m>
              <a:r>
                <a:rPr lang="en-US" sz="1100">
                  <a:solidFill>
                    <a:schemeClr val="tx1"/>
                  </a:solidFill>
                  <a:effectLst/>
                  <a:latin typeface="Arial" panose="020B0604020202020204" pitchFamily="34" charset="0"/>
                  <a:ea typeface="+mn-ea"/>
                  <a:cs typeface="Arial" panose="020B0604020202020204" pitchFamily="34" charset="0"/>
                </a:rPr>
                <a:t>and lift curve slope values were obtained during the second wind tunnel test (</a:t>
              </a:r>
              <a14:m>
                <m:oMath xmlns:m="http://schemas.openxmlformats.org/officeDocument/2006/math">
                  <m:sSub>
                    <m:sSubPr>
                      <m:ctrlPr>
                        <a:rPr lang="en-MY"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𝑖</m:t>
                      </m:r>
                    </m:e>
                    <m:sub>
                      <m:r>
                        <a:rPr lang="en-US" sz="1100" i="1">
                          <a:solidFill>
                            <a:schemeClr val="tx1"/>
                          </a:solidFill>
                          <a:effectLst/>
                          <a:latin typeface="Cambria Math" panose="02040503050406030204" pitchFamily="18" charset="0"/>
                          <a:ea typeface="+mn-ea"/>
                          <a:cs typeface="+mn-cs"/>
                        </a:rPr>
                        <m:t>𝐻</m:t>
                      </m:r>
                    </m:sub>
                  </m:sSub>
                  <m:r>
                    <a:rPr lang="en-US" sz="1100" i="1">
                      <a:solidFill>
                        <a:schemeClr val="tx1"/>
                      </a:solidFill>
                      <a:effectLst/>
                      <a:latin typeface="Cambria Math" panose="02040503050406030204" pitchFamily="18" charset="0"/>
                      <a:ea typeface="+mn-ea"/>
                      <a:cs typeface="+mn-cs"/>
                    </a:rPr>
                    <m:t>=</m:t>
                  </m:r>
                  <m:sSup>
                    <m:sSupPr>
                      <m:ctrlPr>
                        <a:rPr lang="en-MY"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1</m:t>
                      </m:r>
                    </m:e>
                    <m:sup>
                      <m:r>
                        <a:rPr lang="en-US" sz="1100" i="1">
                          <a:solidFill>
                            <a:schemeClr val="tx1"/>
                          </a:solidFill>
                          <a:effectLst/>
                          <a:latin typeface="Cambria Math" panose="02040503050406030204" pitchFamily="18" charset="0"/>
                          <a:ea typeface="+mn-ea"/>
                          <a:cs typeface="+mn-cs"/>
                        </a:rPr>
                        <m:t>°</m:t>
                      </m:r>
                    </m:sup>
                  </m:sSup>
                </m:oMath>
              </a14:m>
              <a:r>
                <a:rPr lang="en-US" sz="1100">
                  <a:solidFill>
                    <a:schemeClr val="tx1"/>
                  </a:solidFill>
                  <a:effectLst/>
                  <a:latin typeface="Arial" panose="020B0604020202020204" pitchFamily="34" charset="0"/>
                  <a:ea typeface="+mn-ea"/>
                  <a:cs typeface="Arial" panose="020B0604020202020204" pitchFamily="34" charset="0"/>
                </a:rPr>
                <a:t>), before third test (</a:t>
              </a:r>
              <a14:m>
                <m:oMath xmlns:m="http://schemas.openxmlformats.org/officeDocument/2006/math">
                  <m:sSub>
                    <m:sSubPr>
                      <m:ctrlPr>
                        <a:rPr lang="en-MY"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𝑖</m:t>
                      </m:r>
                    </m:e>
                    <m:sub>
                      <m:r>
                        <a:rPr lang="en-US" sz="1100" i="1">
                          <a:solidFill>
                            <a:schemeClr val="tx1"/>
                          </a:solidFill>
                          <a:effectLst/>
                          <a:latin typeface="Cambria Math" panose="02040503050406030204" pitchFamily="18" charset="0"/>
                          <a:ea typeface="+mn-ea"/>
                          <a:cs typeface="+mn-cs"/>
                        </a:rPr>
                        <m:t>𝐻</m:t>
                      </m:r>
                    </m:sub>
                  </m:sSub>
                  <m:r>
                    <a:rPr lang="en-US" sz="1100" i="1">
                      <a:solidFill>
                        <a:schemeClr val="tx1"/>
                      </a:solidFill>
                      <a:effectLst/>
                      <a:latin typeface="Cambria Math" panose="02040503050406030204" pitchFamily="18" charset="0"/>
                      <a:ea typeface="+mn-ea"/>
                      <a:cs typeface="+mn-cs"/>
                    </a:rPr>
                    <m:t>=−</m:t>
                  </m:r>
                  <m:sSup>
                    <m:sSupPr>
                      <m:ctrlPr>
                        <a:rPr lang="en-MY"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2</m:t>
                      </m:r>
                    </m:e>
                    <m:sup>
                      <m:r>
                        <a:rPr lang="en-US" sz="1100" i="1">
                          <a:solidFill>
                            <a:schemeClr val="tx1"/>
                          </a:solidFill>
                          <a:effectLst/>
                          <a:latin typeface="Cambria Math" panose="02040503050406030204" pitchFamily="18" charset="0"/>
                          <a:ea typeface="+mn-ea"/>
                          <a:cs typeface="+mn-cs"/>
                        </a:rPr>
                        <m:t>°</m:t>
                      </m:r>
                    </m:sup>
                  </m:sSup>
                  <m:r>
                    <a:rPr lang="en-US" sz="1100" i="1">
                      <a:solidFill>
                        <a:schemeClr val="tx1"/>
                      </a:solidFill>
                      <a:effectLst/>
                      <a:latin typeface="Cambria Math" panose="02040503050406030204" pitchFamily="18" charset="0"/>
                      <a:ea typeface="+mn-ea"/>
                      <a:cs typeface="+mn-cs"/>
                    </a:rPr>
                    <m:t>)</m:t>
                  </m:r>
                </m:oMath>
              </a14:m>
              <a:r>
                <a:rPr lang="en-US" sz="1100">
                  <a:solidFill>
                    <a:schemeClr val="tx1"/>
                  </a:solidFill>
                  <a:effectLst/>
                  <a:latin typeface="Arial" panose="020B0604020202020204" pitchFamily="34" charset="0"/>
                  <a:ea typeface="+mn-ea"/>
                  <a:cs typeface="Arial" panose="020B0604020202020204" pitchFamily="34" charset="0"/>
                </a:rPr>
                <a:t> and the first test (without the tailplane). This can be explained by the fact that the tailplane improved the aerodynamic efficiency by increasing the overall lift (comparing the two tailplane added tests), as the positive angle of incidence caused air to be redirected downwards in addition to the upwards force of the air (applying Bernoulli’s principle and the Coanda effect), and improving stability (comparing tests with and without tailplane overall) by generating a moment that cancels the effect of the pitching moment of the main wings. At negative angles of attack, however, the lift curves 2 and were under the lift curve 1: the tailplane adds negative lift at negative angles of attack to make descents more efficient. This is because the wings generate negative lift, and the tailplane exagerates the process due to the flow being reversed (the negative angle of incidence configuration exagerates even more this effect due to the air being redirected upwards):this is why the zero lift angle of attack is the lowest without the tailplane, second lowest is first configuration and largest is with second configuration. </a:t>
              </a:r>
              <a:endParaRPr lang="en-MY" sz="1100">
                <a:solidFill>
                  <a:schemeClr val="tx1"/>
                </a:solidFill>
                <a:effectLst/>
                <a:latin typeface="Arial" panose="020B0604020202020204" pitchFamily="34" charset="0"/>
                <a:ea typeface="+mn-ea"/>
                <a:cs typeface="Arial" panose="020B0604020202020204" pitchFamily="34" charset="0"/>
              </a:endParaRPr>
            </a:p>
            <a:p>
              <a:r>
                <a:rPr lang="en-US" sz="1100">
                  <a:solidFill>
                    <a:schemeClr val="tx1"/>
                  </a:solidFill>
                  <a:effectLst/>
                  <a:latin typeface="Arial" panose="020B0604020202020204" pitchFamily="34" charset="0"/>
                  <a:ea typeface="+mn-ea"/>
                  <a:cs typeface="Arial" panose="020B0604020202020204" pitchFamily="34" charset="0"/>
                </a:rPr>
                <a:t>Comparing the flight test with the wind tunnel tests, the trend followed by the curves is very similar (linear relationship between lift coefficient and angle of attack), however, the value of the coefficient of determination </a:t>
              </a:r>
              <a14:m>
                <m:oMath xmlns:m="http://schemas.openxmlformats.org/officeDocument/2006/math">
                  <m:sSup>
                    <m:sSupPr>
                      <m:ctrlPr>
                        <a:rPr lang="en-MY"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𝑅</m:t>
                      </m:r>
                    </m:e>
                    <m:sup>
                      <m:r>
                        <a:rPr lang="en-US" sz="1100" i="1">
                          <a:solidFill>
                            <a:schemeClr val="tx1"/>
                          </a:solidFill>
                          <a:effectLst/>
                          <a:latin typeface="Cambria Math" panose="02040503050406030204" pitchFamily="18" charset="0"/>
                          <a:ea typeface="+mn-ea"/>
                          <a:cs typeface="+mn-cs"/>
                        </a:rPr>
                        <m:t>2</m:t>
                      </m:r>
                    </m:sup>
                  </m:sSup>
                </m:oMath>
              </a14:m>
              <a:r>
                <a:rPr lang="en-US" sz="1100">
                  <a:solidFill>
                    <a:schemeClr val="tx1"/>
                  </a:solidFill>
                  <a:effectLst/>
                  <a:latin typeface="Arial" panose="020B0604020202020204" pitchFamily="34" charset="0"/>
                  <a:ea typeface="+mn-ea"/>
                  <a:cs typeface="Arial" panose="020B0604020202020204" pitchFamily="34" charset="0"/>
                </a:rPr>
                <a:t> is the smallest for the flight test, meaning that the data matches the least with the trend line, most probably due to the velocity and altitude values fluctuating and readings being taken spontaneously. The wind tunnel tests showed more consistent data since the procedure was more automated (velocity, and angles of attack and incidence being fixed), reducing the human error factor. </a:t>
              </a:r>
              <a:endParaRPr lang="en-MY" sz="1100">
                <a:solidFill>
                  <a:schemeClr val="tx1"/>
                </a:solidFill>
                <a:effectLst/>
                <a:latin typeface="Arial" panose="020B0604020202020204" pitchFamily="34" charset="0"/>
                <a:ea typeface="+mn-ea"/>
                <a:cs typeface="Arial" panose="020B0604020202020204" pitchFamily="34" charset="0"/>
              </a:endParaRPr>
            </a:p>
            <a:p>
              <a:endParaRPr lang="en-MY" sz="1100">
                <a:latin typeface="Arial" panose="020B0604020202020204" pitchFamily="34" charset="0"/>
                <a:cs typeface="Arial" panose="020B0604020202020204" pitchFamily="34" charset="0"/>
              </a:endParaRPr>
            </a:p>
          </xdr:txBody>
        </xdr:sp>
      </mc:Choice>
      <mc:Fallback xmlns="">
        <xdr:sp macro="" textlink="">
          <xdr:nvSpPr>
            <xdr:cNvPr id="6" name="TextBox 5">
              <a:extLst>
                <a:ext uri="{FF2B5EF4-FFF2-40B4-BE49-F238E27FC236}">
                  <a16:creationId xmlns:a16="http://schemas.microsoft.com/office/drawing/2014/main" id="{BD1B9867-3774-5369-FD42-C03234DA9647}"/>
                </a:ext>
              </a:extLst>
            </xdr:cNvPr>
            <xdr:cNvSpPr txBox="1"/>
          </xdr:nvSpPr>
          <xdr:spPr>
            <a:xfrm>
              <a:off x="35118992" y="4399690"/>
              <a:ext cx="6288915" cy="3397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chemeClr val="tx1"/>
                  </a:solidFill>
                  <a:effectLst/>
                  <a:latin typeface="Arial" panose="020B0604020202020204" pitchFamily="34" charset="0"/>
                  <a:ea typeface="+mn-ea"/>
                  <a:cs typeface="Arial" panose="020B0604020202020204" pitchFamily="34" charset="0"/>
                </a:rPr>
                <a:t>The highest </a:t>
              </a:r>
              <a:r>
                <a:rPr lang="en-US" sz="1100" i="0">
                  <a:solidFill>
                    <a:schemeClr val="tx1"/>
                  </a:solidFill>
                  <a:effectLst/>
                  <a:latin typeface="+mn-lt"/>
                  <a:ea typeface="+mn-ea"/>
                  <a:cs typeface="+mn-cs"/>
                </a:rPr>
                <a:t>𝐶</a:t>
              </a:r>
              <a:r>
                <a:rPr lang="en-MY" sz="1100" i="0">
                  <a:solidFill>
                    <a:schemeClr val="tx1"/>
                  </a:solidFill>
                  <a:effectLst/>
                  <a:latin typeface="+mn-lt"/>
                  <a:ea typeface="+mn-ea"/>
                  <a:cs typeface="+mn-cs"/>
                </a:rPr>
                <a:t>_(</a:t>
              </a:r>
              <a:r>
                <a:rPr lang="en-US" sz="1100" i="0">
                  <a:solidFill>
                    <a:schemeClr val="tx1"/>
                  </a:solidFill>
                  <a:effectLst/>
                  <a:latin typeface="+mn-lt"/>
                  <a:ea typeface="+mn-ea"/>
                  <a:cs typeface="+mn-cs"/>
                </a:rPr>
                <a:t>𝑙</a:t>
              </a:r>
              <a:r>
                <a:rPr lang="en-MY" sz="1100" i="0">
                  <a:solidFill>
                    <a:schemeClr val="tx1"/>
                  </a:solidFill>
                  <a:effectLst/>
                  <a:latin typeface="+mn-lt"/>
                  <a:ea typeface="+mn-ea"/>
                  <a:cs typeface="+mn-cs"/>
                </a:rPr>
                <a:t>_</a:t>
              </a:r>
              <a:r>
                <a:rPr lang="en-US" sz="1100" i="0">
                  <a:solidFill>
                    <a:schemeClr val="tx1"/>
                  </a:solidFill>
                  <a:effectLst/>
                  <a:latin typeface="+mn-lt"/>
                  <a:ea typeface="+mn-ea"/>
                  <a:cs typeface="+mn-cs"/>
                </a:rPr>
                <a:t>𝑚𝑎𝑥 </a:t>
              </a:r>
              <a:r>
                <a:rPr lang="en-MY" sz="1100" i="0">
                  <a:solidFill>
                    <a:schemeClr val="tx1"/>
                  </a:solidFill>
                  <a:effectLst/>
                  <a:latin typeface="+mn-lt"/>
                  <a:ea typeface="+mn-ea"/>
                  <a:cs typeface="+mn-cs"/>
                </a:rPr>
                <a:t>)</a:t>
              </a:r>
              <a:r>
                <a:rPr lang="en-US" sz="1100">
                  <a:solidFill>
                    <a:schemeClr val="tx1"/>
                  </a:solidFill>
                  <a:effectLst/>
                  <a:latin typeface="Arial" panose="020B0604020202020204" pitchFamily="34" charset="0"/>
                  <a:ea typeface="+mn-ea"/>
                  <a:cs typeface="Arial" panose="020B0604020202020204" pitchFamily="34" charset="0"/>
                </a:rPr>
                <a:t>and lift curve slope values were obtained during the second wind tunnel test (</a:t>
              </a:r>
              <a:r>
                <a:rPr lang="en-US" sz="1100" i="0">
                  <a:solidFill>
                    <a:schemeClr val="tx1"/>
                  </a:solidFill>
                  <a:effectLst/>
                  <a:latin typeface="+mn-lt"/>
                  <a:ea typeface="+mn-ea"/>
                  <a:cs typeface="+mn-cs"/>
                </a:rPr>
                <a:t>𝑖</a:t>
              </a:r>
              <a:r>
                <a:rPr lang="en-MY" sz="1100" i="0">
                  <a:solidFill>
                    <a:schemeClr val="tx1"/>
                  </a:solidFill>
                  <a:effectLst/>
                  <a:latin typeface="+mn-lt"/>
                  <a:ea typeface="+mn-ea"/>
                  <a:cs typeface="+mn-cs"/>
                </a:rPr>
                <a:t>_</a:t>
              </a:r>
              <a:r>
                <a:rPr lang="en-US" sz="1100" i="0">
                  <a:solidFill>
                    <a:schemeClr val="tx1"/>
                  </a:solidFill>
                  <a:effectLst/>
                  <a:latin typeface="+mn-lt"/>
                  <a:ea typeface="+mn-ea"/>
                  <a:cs typeface="+mn-cs"/>
                </a:rPr>
                <a:t>𝐻=1</a:t>
              </a:r>
              <a:r>
                <a:rPr lang="en-MY" sz="110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a:solidFill>
                    <a:schemeClr val="tx1"/>
                  </a:solidFill>
                  <a:effectLst/>
                  <a:latin typeface="Arial" panose="020B0604020202020204" pitchFamily="34" charset="0"/>
                  <a:ea typeface="+mn-ea"/>
                  <a:cs typeface="Arial" panose="020B0604020202020204" pitchFamily="34" charset="0"/>
                </a:rPr>
                <a:t>), before third test (</a:t>
              </a:r>
              <a:r>
                <a:rPr lang="en-US" sz="1100" i="0">
                  <a:solidFill>
                    <a:schemeClr val="tx1"/>
                  </a:solidFill>
                  <a:effectLst/>
                  <a:latin typeface="+mn-lt"/>
                  <a:ea typeface="+mn-ea"/>
                  <a:cs typeface="+mn-cs"/>
                </a:rPr>
                <a:t>𝑖</a:t>
              </a:r>
              <a:r>
                <a:rPr lang="en-MY" sz="1100" i="0">
                  <a:solidFill>
                    <a:schemeClr val="tx1"/>
                  </a:solidFill>
                  <a:effectLst/>
                  <a:latin typeface="+mn-lt"/>
                  <a:ea typeface="+mn-ea"/>
                  <a:cs typeface="+mn-cs"/>
                </a:rPr>
                <a:t>_</a:t>
              </a:r>
              <a:r>
                <a:rPr lang="en-US" sz="1100" i="0">
                  <a:solidFill>
                    <a:schemeClr val="tx1"/>
                  </a:solidFill>
                  <a:effectLst/>
                  <a:latin typeface="+mn-lt"/>
                  <a:ea typeface="+mn-ea"/>
                  <a:cs typeface="+mn-cs"/>
                </a:rPr>
                <a:t>𝐻=−2</a:t>
              </a:r>
              <a:r>
                <a:rPr lang="en-MY" sz="110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a:solidFill>
                    <a:schemeClr val="tx1"/>
                  </a:solidFill>
                  <a:effectLst/>
                  <a:latin typeface="Arial" panose="020B0604020202020204" pitchFamily="34" charset="0"/>
                  <a:ea typeface="+mn-ea"/>
                  <a:cs typeface="Arial" panose="020B0604020202020204" pitchFamily="34" charset="0"/>
                </a:rPr>
                <a:t> and the first test (without the tailplane). This can be explained by the fact that the tailplane improved the aerodynamic efficiency by increasing the overall lift (comparing the two tailplane added tests), as the positive angle of incidence caused air to be redirected downwards in addition to the upwards force of the air (applying Bernoulli’s principle and the Coanda effect), and improving stability (comparing tests with and without tailplane overall) by generating a moment that cancels the effect of the pitching moment of the main wings. At negative angles of attack, however, the lift curves 2 and were under the lift curve 1: the tailplane adds negative lift at negative angles of attack to make descents more efficient. This is because the wings generate negative lift, and the tailplane exagerates the process due to the flow being reversed (the negative angle of incidence configuration exagerates even more this effect due to the air being redirected upwards):this is why the zero lift angle of attack is the lowest without the tailplane, second lowest is first configuration and largest is with second configuration. </a:t>
              </a:r>
              <a:endParaRPr lang="en-MY" sz="1100">
                <a:solidFill>
                  <a:schemeClr val="tx1"/>
                </a:solidFill>
                <a:effectLst/>
                <a:latin typeface="Arial" panose="020B0604020202020204" pitchFamily="34" charset="0"/>
                <a:ea typeface="+mn-ea"/>
                <a:cs typeface="Arial" panose="020B0604020202020204" pitchFamily="34" charset="0"/>
              </a:endParaRPr>
            </a:p>
            <a:p>
              <a:r>
                <a:rPr lang="en-US" sz="1100">
                  <a:solidFill>
                    <a:schemeClr val="tx1"/>
                  </a:solidFill>
                  <a:effectLst/>
                  <a:latin typeface="Arial" panose="020B0604020202020204" pitchFamily="34" charset="0"/>
                  <a:ea typeface="+mn-ea"/>
                  <a:cs typeface="Arial" panose="020B0604020202020204" pitchFamily="34" charset="0"/>
                </a:rPr>
                <a:t>Comparing the flight test with the wind tunnel tests, the trend followed by the curves is very similar (linear relationship between lift coefficient and angle of attack), however, the value of the coefficient of determination </a:t>
              </a:r>
              <a:r>
                <a:rPr lang="en-US" sz="1100" i="0">
                  <a:solidFill>
                    <a:schemeClr val="tx1"/>
                  </a:solidFill>
                  <a:effectLst/>
                  <a:latin typeface="+mn-lt"/>
                  <a:ea typeface="+mn-ea"/>
                  <a:cs typeface="+mn-cs"/>
                </a:rPr>
                <a:t>𝑅</a:t>
              </a:r>
              <a:r>
                <a:rPr lang="en-MY" sz="1100" i="0">
                  <a:solidFill>
                    <a:schemeClr val="tx1"/>
                  </a:solidFill>
                  <a:effectLst/>
                  <a:latin typeface="+mn-lt"/>
                  <a:ea typeface="+mn-ea"/>
                  <a:cs typeface="+mn-cs"/>
                </a:rPr>
                <a:t>^</a:t>
              </a:r>
              <a:r>
                <a:rPr lang="en-US" sz="1100" i="0">
                  <a:solidFill>
                    <a:schemeClr val="tx1"/>
                  </a:solidFill>
                  <a:effectLst/>
                  <a:latin typeface="+mn-lt"/>
                  <a:ea typeface="+mn-ea"/>
                  <a:cs typeface="+mn-cs"/>
                </a:rPr>
                <a:t>2</a:t>
              </a:r>
              <a:r>
                <a:rPr lang="en-US" sz="1100">
                  <a:solidFill>
                    <a:schemeClr val="tx1"/>
                  </a:solidFill>
                  <a:effectLst/>
                  <a:latin typeface="Arial" panose="020B0604020202020204" pitchFamily="34" charset="0"/>
                  <a:ea typeface="+mn-ea"/>
                  <a:cs typeface="Arial" panose="020B0604020202020204" pitchFamily="34" charset="0"/>
                </a:rPr>
                <a:t> is the smallest for the flight test, meaning that the data matches the least with the trend line, most probably due to the velocity and altitude values fluctuating and readings being taken spontaneously. The wind tunnel tests showed more consistent data since the procedure was more automated (velocity, and angles of attack and incidence being fixed), reducing the human error factor. </a:t>
              </a:r>
              <a:endParaRPr lang="en-MY" sz="1100">
                <a:solidFill>
                  <a:schemeClr val="tx1"/>
                </a:solidFill>
                <a:effectLst/>
                <a:latin typeface="Arial" panose="020B0604020202020204" pitchFamily="34" charset="0"/>
                <a:ea typeface="+mn-ea"/>
                <a:cs typeface="Arial" panose="020B0604020202020204" pitchFamily="34" charset="0"/>
              </a:endParaRPr>
            </a:p>
            <a:p>
              <a:endParaRPr lang="en-MY" sz="1100">
                <a:latin typeface="Arial" panose="020B0604020202020204" pitchFamily="34" charset="0"/>
                <a:cs typeface="Arial" panose="020B0604020202020204" pitchFamily="34" charset="0"/>
              </a:endParaRPr>
            </a:p>
          </xdr:txBody>
        </xdr:sp>
      </mc:Fallback>
    </mc:AlternateContent>
    <xdr:clientData/>
  </xdr:oneCellAnchor>
  <xdr:twoCellAnchor>
    <xdr:from>
      <xdr:col>40</xdr:col>
      <xdr:colOff>355022</xdr:colOff>
      <xdr:row>56</xdr:row>
      <xdr:rowOff>117764</xdr:rowOff>
    </xdr:from>
    <xdr:to>
      <xdr:col>48</xdr:col>
      <xdr:colOff>216476</xdr:colOff>
      <xdr:row>70</xdr:row>
      <xdr:rowOff>55419</xdr:rowOff>
    </xdr:to>
    <xdr:graphicFrame macro="">
      <xdr:nvGraphicFramePr>
        <xdr:cNvPr id="6" name="Chart 5">
          <a:extLst>
            <a:ext uri="{FF2B5EF4-FFF2-40B4-BE49-F238E27FC236}">
              <a16:creationId xmlns:a16="http://schemas.microsoft.com/office/drawing/2014/main" id="{4B5CED9C-0744-DA7F-D9E6-F230FA4CC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0.45207</cdr:x>
      <cdr:y>0.45199</cdr:y>
    </cdr:from>
    <cdr:to>
      <cdr:x>0.87609</cdr:x>
      <cdr:y>0.67731</cdr:y>
    </cdr:to>
    <cdr:grpSp>
      <cdr:nvGrpSpPr>
        <cdr:cNvPr id="4" name="Group 3">
          <a:extLst xmlns:a="http://schemas.openxmlformats.org/drawingml/2006/main">
            <a:ext uri="{FF2B5EF4-FFF2-40B4-BE49-F238E27FC236}">
              <a16:creationId xmlns:a16="http://schemas.microsoft.com/office/drawing/2014/main" id="{63204A0C-67C9-920C-95A0-5C293D86D0F9}"/>
            </a:ext>
          </a:extLst>
        </cdr:cNvPr>
        <cdr:cNvGrpSpPr/>
      </cdr:nvGrpSpPr>
      <cdr:grpSpPr>
        <a:xfrm xmlns:a="http://schemas.openxmlformats.org/drawingml/2006/main">
          <a:off x="2517234" y="2326784"/>
          <a:ext cx="2361045" cy="1159918"/>
          <a:chOff x="2686915" y="1192264"/>
          <a:chExt cx="2449021" cy="1024510"/>
        </a:xfrm>
      </cdr:grpSpPr>
      <cdr:sp macro="" textlink="">
        <cdr:nvSpPr>
          <cdr:cNvPr id="2" name="TextBox 1">
            <a:extLst xmlns:a="http://schemas.openxmlformats.org/drawingml/2006/main">
              <a:ext uri="{FF2B5EF4-FFF2-40B4-BE49-F238E27FC236}">
                <a16:creationId xmlns:a16="http://schemas.microsoft.com/office/drawing/2014/main" id="{D356D46C-1B42-1CCB-D1B2-E783B458F435}"/>
              </a:ext>
            </a:extLst>
          </cdr:cNvPr>
          <cdr:cNvSpPr txBox="1"/>
        </cdr:nvSpPr>
        <cdr:spPr>
          <a:xfrm xmlns:a="http://schemas.openxmlformats.org/drawingml/2006/main">
            <a:off x="2686915" y="1194785"/>
            <a:ext cx="1925134" cy="971572"/>
          </a:xfrm>
          <a:prstGeom xmlns:a="http://schemas.openxmlformats.org/drawingml/2006/main" prst="rect">
            <a:avLst/>
          </a:prstGeom>
        </cdr:spPr>
        <cdr:txBody>
          <a:bodyPr xmlns:a="http://schemas.openxmlformats.org/drawingml/2006/main" vertOverflow="overflow" horzOverflow="overflow" wrap="none" rtlCol="0" anchor="t">
            <a:spAutoFit/>
          </a:bodyPr>
          <a:lstStyle xmlns:a="http://schemas.openxmlformats.org/drawingml/2006/main"/>
          <a:p xmlns:a="http://schemas.openxmlformats.org/drawingml/2006/main">
            <a:pPr algn="l"/>
            <a:r>
              <a:rPr lang="en-US" sz="1100" b="1" u="sng" baseline="0">
                <a:effectLst/>
                <a:latin typeface="+mn-lt"/>
                <a:ea typeface="+mn-ea"/>
                <a:cs typeface="+mn-cs"/>
              </a:rPr>
              <a:t>Equation</a:t>
            </a:r>
          </a:p>
          <a:p xmlns:a="http://schemas.openxmlformats.org/drawingml/2006/main">
            <a:pPr algn="l"/>
            <a:r>
              <a:rPr lang="en-US" sz="1100" baseline="0">
                <a:effectLst/>
                <a:latin typeface="+mn-lt"/>
                <a:ea typeface="+mn-ea"/>
                <a:cs typeface="+mn-cs"/>
              </a:rPr>
              <a:t>y = 0.0999x</a:t>
            </a:r>
            <a:r>
              <a:rPr lang="en-US" sz="1100" baseline="30000">
                <a:effectLst/>
                <a:latin typeface="+mn-lt"/>
                <a:ea typeface="+mn-ea"/>
                <a:cs typeface="+mn-cs"/>
              </a:rPr>
              <a:t>2</a:t>
            </a:r>
            <a:r>
              <a:rPr lang="en-US" sz="1100" baseline="0">
                <a:effectLst/>
                <a:latin typeface="+mn-lt"/>
                <a:ea typeface="+mn-ea"/>
                <a:cs typeface="+mn-cs"/>
              </a:rPr>
              <a:t> - 0.0461x + 0.0208</a:t>
            </a:r>
            <a:endParaRPr lang="en-MY" sz="1100"/>
          </a:p>
          <a:p xmlns:a="http://schemas.openxmlformats.org/drawingml/2006/main">
            <a:pPr algn="l"/>
            <a:r>
              <a:rPr kumimoji="0" lang="en-US" sz="1100" b="0" i="0" u="none" strike="noStrike" kern="0" cap="none" spc="0" normalizeH="0" baseline="0" noProof="0">
                <a:ln>
                  <a:noFill/>
                </a:ln>
                <a:solidFill>
                  <a:srgbClr val="FF0000"/>
                </a:solidFill>
                <a:effectLst/>
                <a:uLnTx/>
                <a:uFillTx/>
              </a:rPr>
              <a:t>y = 0.1463x</a:t>
            </a:r>
            <a:r>
              <a:rPr kumimoji="0" lang="en-US" sz="1100" b="0" i="0" u="none" strike="noStrike" kern="0" cap="none" spc="0" normalizeH="0" baseline="30000" noProof="0">
                <a:ln>
                  <a:noFill/>
                </a:ln>
                <a:solidFill>
                  <a:srgbClr val="FF0000"/>
                </a:solidFill>
                <a:effectLst/>
                <a:uLnTx/>
                <a:uFillTx/>
              </a:rPr>
              <a:t>2</a:t>
            </a:r>
            <a:r>
              <a:rPr kumimoji="0" lang="en-US" sz="1100" b="0" i="0" u="none" strike="noStrike" kern="0" cap="none" spc="0" normalizeH="0" baseline="0" noProof="0">
                <a:ln>
                  <a:noFill/>
                </a:ln>
                <a:solidFill>
                  <a:srgbClr val="FF0000"/>
                </a:solidFill>
                <a:effectLst/>
                <a:uLnTx/>
                <a:uFillTx/>
              </a:rPr>
              <a:t> - 0.047x + 0.0242</a:t>
            </a:r>
          </a:p>
          <a:p xmlns:a="http://schemas.openxmlformats.org/drawingml/2006/main">
            <a:pPr algn="l"/>
            <a:r>
              <a:rPr lang="en-US" sz="1100" baseline="0">
                <a:solidFill>
                  <a:srgbClr val="0000FF"/>
                </a:solidFill>
                <a:effectLst/>
                <a:latin typeface="+mn-lt"/>
                <a:ea typeface="+mn-ea"/>
                <a:cs typeface="+mn-cs"/>
              </a:rPr>
              <a:t>y = 0.1306x</a:t>
            </a:r>
            <a:r>
              <a:rPr lang="en-US" sz="1100" baseline="30000">
                <a:solidFill>
                  <a:srgbClr val="0000FF"/>
                </a:solidFill>
                <a:effectLst/>
                <a:latin typeface="+mn-lt"/>
                <a:ea typeface="+mn-ea"/>
                <a:cs typeface="+mn-cs"/>
              </a:rPr>
              <a:t>2</a:t>
            </a:r>
            <a:r>
              <a:rPr lang="en-US" sz="1100" baseline="0">
                <a:solidFill>
                  <a:srgbClr val="0000FF"/>
                </a:solidFill>
                <a:effectLst/>
                <a:latin typeface="+mn-lt"/>
                <a:ea typeface="+mn-ea"/>
                <a:cs typeface="+mn-cs"/>
              </a:rPr>
              <a:t> - 0.0422x + 0.028</a:t>
            </a:r>
          </a:p>
          <a:p xmlns:a="http://schemas.openxmlformats.org/drawingml/2006/main">
            <a:pPr algn="l"/>
            <a:r>
              <a:rPr lang="en-US" sz="1100" baseline="0">
                <a:solidFill>
                  <a:srgbClr val="00C800"/>
                </a:solidFill>
                <a:effectLst/>
                <a:latin typeface="+mn-lt"/>
                <a:ea typeface="+mn-ea"/>
                <a:cs typeface="+mn-cs"/>
              </a:rPr>
              <a:t>y = 0.1376x</a:t>
            </a:r>
            <a:r>
              <a:rPr lang="en-US" sz="1100" baseline="30000">
                <a:solidFill>
                  <a:srgbClr val="00C800"/>
                </a:solidFill>
                <a:effectLst/>
                <a:latin typeface="+mn-lt"/>
                <a:ea typeface="+mn-ea"/>
                <a:cs typeface="+mn-cs"/>
              </a:rPr>
              <a:t>2</a:t>
            </a:r>
            <a:r>
              <a:rPr lang="en-US" sz="1100" baseline="0">
                <a:solidFill>
                  <a:srgbClr val="00C800"/>
                </a:solidFill>
                <a:effectLst/>
                <a:latin typeface="+mn-lt"/>
                <a:ea typeface="+mn-ea"/>
                <a:cs typeface="+mn-cs"/>
              </a:rPr>
              <a:t> - 0.0446x + 0.0292</a:t>
            </a:r>
            <a:endParaRPr lang="en-MY" sz="1100">
              <a:solidFill>
                <a:srgbClr val="00C800"/>
              </a:solidFill>
            </a:endParaRPr>
          </a:p>
        </cdr:txBody>
      </cdr:sp>
      <cdr:sp macro="" textlink="">
        <cdr:nvSpPr>
          <cdr:cNvPr id="3" name="TextBox 1">
            <a:extLst xmlns:a="http://schemas.openxmlformats.org/drawingml/2006/main">
              <a:ext uri="{FF2B5EF4-FFF2-40B4-BE49-F238E27FC236}">
                <a16:creationId xmlns:a16="http://schemas.microsoft.com/office/drawing/2014/main" id="{BCDC2859-6D5B-E5E8-32D4-66AB400F42E8}"/>
              </a:ext>
            </a:extLst>
          </cdr:cNvPr>
          <cdr:cNvSpPr txBox="1"/>
        </cdr:nvSpPr>
        <cdr:spPr>
          <a:xfrm xmlns:a="http://schemas.openxmlformats.org/drawingml/2006/main">
            <a:off x="4559195" y="1192264"/>
            <a:ext cx="576741" cy="1024510"/>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u="sng" baseline="0">
                <a:effectLst/>
                <a:latin typeface="+mn-lt"/>
                <a:ea typeface="+mn-ea"/>
                <a:cs typeface="+mn-cs"/>
              </a:rPr>
              <a:t>R</a:t>
            </a:r>
            <a:r>
              <a:rPr lang="en-US" sz="1100" b="1" i="0" u="sng" baseline="30000">
                <a:effectLst/>
                <a:latin typeface="+mn-lt"/>
                <a:ea typeface="+mn-ea"/>
                <a:cs typeface="+mn-cs"/>
              </a:rPr>
              <a:t>2</a:t>
            </a:r>
            <a:br>
              <a:rPr lang="en-US" sz="1100" b="0" i="0" baseline="0">
                <a:effectLst/>
                <a:latin typeface="+mn-lt"/>
                <a:ea typeface="+mn-ea"/>
                <a:cs typeface="+mn-cs"/>
              </a:rPr>
            </a:br>
            <a:r>
              <a:rPr lang="en-US" sz="1100" b="0" i="0" baseline="0">
                <a:effectLst/>
                <a:latin typeface="+mn-lt"/>
                <a:ea typeface="+mn-ea"/>
                <a:cs typeface="+mn-cs"/>
              </a:rPr>
              <a:t>0.8721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0.9886</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00FF"/>
                </a:solidFill>
                <a:effectLst/>
                <a:latin typeface="+mn-lt"/>
                <a:ea typeface="+mn-ea"/>
                <a:cs typeface="+mn-cs"/>
              </a:rPr>
              <a:t>0.9900</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C800"/>
                </a:solidFill>
                <a:effectLst/>
                <a:latin typeface="+mn-lt"/>
                <a:ea typeface="+mn-ea"/>
                <a:cs typeface="+mn-cs"/>
              </a:rPr>
              <a:t>0.9928</a:t>
            </a:r>
            <a:endParaRPr lang="en-MY" sz="1100">
              <a:solidFill>
                <a:srgbClr val="00C800"/>
              </a:solidFill>
              <a:effectLst/>
            </a:endParaRPr>
          </a:p>
          <a:p xmlns:a="http://schemas.openxmlformats.org/drawingml/2006/main">
            <a:pPr algn="l"/>
            <a:endParaRPr lang="en-MY" sz="1100"/>
          </a:p>
        </cdr:txBody>
      </cdr:sp>
    </cdr:grpSp>
  </cdr:relSizeAnchor>
</c:userShapes>
</file>

<file path=xl/drawings/drawing14.xml><?xml version="1.0" encoding="utf-8"?>
<c:userShapes xmlns:c="http://schemas.openxmlformats.org/drawingml/2006/chart">
  <cdr:relSizeAnchor xmlns:cdr="http://schemas.openxmlformats.org/drawingml/2006/chartDrawing">
    <cdr:from>
      <cdr:x>0.13747</cdr:x>
      <cdr:y>0.41673</cdr:y>
    </cdr:from>
    <cdr:to>
      <cdr:x>0.56149</cdr:x>
      <cdr:y>0.63739</cdr:y>
    </cdr:to>
    <cdr:grpSp>
      <cdr:nvGrpSpPr>
        <cdr:cNvPr id="4" name="Group 3">
          <a:extLst xmlns:a="http://schemas.openxmlformats.org/drawingml/2006/main">
            <a:ext uri="{FF2B5EF4-FFF2-40B4-BE49-F238E27FC236}">
              <a16:creationId xmlns:a16="http://schemas.microsoft.com/office/drawing/2014/main" id="{63204A0C-67C9-920C-95A0-5C293D86D0F9}"/>
            </a:ext>
          </a:extLst>
        </cdr:cNvPr>
        <cdr:cNvGrpSpPr/>
      </cdr:nvGrpSpPr>
      <cdr:grpSpPr>
        <a:xfrm xmlns:a="http://schemas.openxmlformats.org/drawingml/2006/main">
          <a:off x="766931" y="2158869"/>
          <a:ext cx="2365562" cy="1143129"/>
          <a:chOff x="2686915" y="1192264"/>
          <a:chExt cx="2449021" cy="1024510"/>
        </a:xfrm>
      </cdr:grpSpPr>
      <cdr:sp macro="" textlink="">
        <cdr:nvSpPr>
          <cdr:cNvPr id="2" name="TextBox 1">
            <a:extLst xmlns:a="http://schemas.openxmlformats.org/drawingml/2006/main">
              <a:ext uri="{FF2B5EF4-FFF2-40B4-BE49-F238E27FC236}">
                <a16:creationId xmlns:a16="http://schemas.microsoft.com/office/drawing/2014/main" id="{D356D46C-1B42-1CCB-D1B2-E783B458F435}"/>
              </a:ext>
            </a:extLst>
          </cdr:cNvPr>
          <cdr:cNvSpPr txBox="1"/>
        </cdr:nvSpPr>
        <cdr:spPr>
          <a:xfrm xmlns:a="http://schemas.openxmlformats.org/drawingml/2006/main">
            <a:off x="2686915" y="1194785"/>
            <a:ext cx="1925134" cy="971572"/>
          </a:xfrm>
          <a:prstGeom xmlns:a="http://schemas.openxmlformats.org/drawingml/2006/main" prst="rect">
            <a:avLst/>
          </a:prstGeom>
        </cdr:spPr>
        <cdr:txBody>
          <a:bodyPr xmlns:a="http://schemas.openxmlformats.org/drawingml/2006/main" vertOverflow="overflow" horzOverflow="overflow" wrap="none" rtlCol="0" anchor="t">
            <a:spAutoFit/>
          </a:bodyPr>
          <a:lstStyle xmlns:a="http://schemas.openxmlformats.org/drawingml/2006/main"/>
          <a:p xmlns:a="http://schemas.openxmlformats.org/drawingml/2006/main">
            <a:pPr algn="l"/>
            <a:r>
              <a:rPr lang="en-US" sz="1100" b="1" u="sng" baseline="0">
                <a:effectLst/>
                <a:latin typeface="+mn-lt"/>
                <a:ea typeface="+mn-ea"/>
                <a:cs typeface="+mn-cs"/>
              </a:rPr>
              <a:t>Equation</a:t>
            </a:r>
          </a:p>
          <a:p xmlns:a="http://schemas.openxmlformats.org/drawingml/2006/main">
            <a:pPr algn="l"/>
            <a:r>
              <a:rPr lang="en-US" sz="1100" baseline="0">
                <a:effectLst/>
                <a:latin typeface="+mn-lt"/>
                <a:ea typeface="+mn-ea"/>
                <a:cs typeface="+mn-cs"/>
              </a:rPr>
              <a:t>y = 0.0999x</a:t>
            </a:r>
            <a:r>
              <a:rPr lang="en-US" sz="1100" baseline="30000">
                <a:effectLst/>
                <a:latin typeface="+mn-lt"/>
                <a:ea typeface="+mn-ea"/>
                <a:cs typeface="+mn-cs"/>
              </a:rPr>
              <a:t>2</a:t>
            </a:r>
            <a:r>
              <a:rPr lang="en-US" sz="1100" baseline="0">
                <a:effectLst/>
                <a:latin typeface="+mn-lt"/>
                <a:ea typeface="+mn-ea"/>
                <a:cs typeface="+mn-cs"/>
              </a:rPr>
              <a:t> - 0.0461x + 0.0208</a:t>
            </a:r>
            <a:endParaRPr lang="en-MY" sz="1100"/>
          </a:p>
          <a:p xmlns:a="http://schemas.openxmlformats.org/drawingml/2006/main">
            <a:pPr algn="l"/>
            <a:r>
              <a:rPr kumimoji="0" lang="en-US" sz="1100" b="0" i="0" u="none" strike="noStrike" kern="0" cap="none" spc="0" normalizeH="0" baseline="0" noProof="0">
                <a:ln>
                  <a:noFill/>
                </a:ln>
                <a:solidFill>
                  <a:srgbClr val="FF0000"/>
                </a:solidFill>
                <a:effectLst/>
                <a:uLnTx/>
                <a:uFillTx/>
              </a:rPr>
              <a:t>y = 0.1463x</a:t>
            </a:r>
            <a:r>
              <a:rPr kumimoji="0" lang="en-US" sz="1100" b="0" i="0" u="none" strike="noStrike" kern="0" cap="none" spc="0" normalizeH="0" baseline="30000" noProof="0">
                <a:ln>
                  <a:noFill/>
                </a:ln>
                <a:solidFill>
                  <a:srgbClr val="FF0000"/>
                </a:solidFill>
                <a:effectLst/>
                <a:uLnTx/>
                <a:uFillTx/>
              </a:rPr>
              <a:t>2</a:t>
            </a:r>
            <a:r>
              <a:rPr kumimoji="0" lang="en-US" sz="1100" b="0" i="0" u="none" strike="noStrike" kern="0" cap="none" spc="0" normalizeH="0" baseline="0" noProof="0">
                <a:ln>
                  <a:noFill/>
                </a:ln>
                <a:solidFill>
                  <a:srgbClr val="FF0000"/>
                </a:solidFill>
                <a:effectLst/>
                <a:uLnTx/>
                <a:uFillTx/>
              </a:rPr>
              <a:t> - 0.047x + 0.0242</a:t>
            </a:r>
          </a:p>
          <a:p xmlns:a="http://schemas.openxmlformats.org/drawingml/2006/main">
            <a:pPr algn="l"/>
            <a:r>
              <a:rPr lang="en-US" sz="1100" baseline="0">
                <a:solidFill>
                  <a:srgbClr val="0000FF"/>
                </a:solidFill>
                <a:effectLst/>
                <a:latin typeface="+mn-lt"/>
                <a:ea typeface="+mn-ea"/>
                <a:cs typeface="+mn-cs"/>
              </a:rPr>
              <a:t>y = 0.1306x</a:t>
            </a:r>
            <a:r>
              <a:rPr lang="en-US" sz="1100" baseline="30000">
                <a:solidFill>
                  <a:srgbClr val="0000FF"/>
                </a:solidFill>
                <a:effectLst/>
                <a:latin typeface="+mn-lt"/>
                <a:ea typeface="+mn-ea"/>
                <a:cs typeface="+mn-cs"/>
              </a:rPr>
              <a:t>2</a:t>
            </a:r>
            <a:r>
              <a:rPr lang="en-US" sz="1100" baseline="0">
                <a:solidFill>
                  <a:srgbClr val="0000FF"/>
                </a:solidFill>
                <a:effectLst/>
                <a:latin typeface="+mn-lt"/>
                <a:ea typeface="+mn-ea"/>
                <a:cs typeface="+mn-cs"/>
              </a:rPr>
              <a:t> - 0.0422x + 0.028</a:t>
            </a:r>
          </a:p>
          <a:p xmlns:a="http://schemas.openxmlformats.org/drawingml/2006/main">
            <a:pPr algn="l"/>
            <a:r>
              <a:rPr lang="en-US" sz="1100" baseline="0">
                <a:solidFill>
                  <a:srgbClr val="00C800"/>
                </a:solidFill>
                <a:effectLst/>
                <a:latin typeface="+mn-lt"/>
                <a:ea typeface="+mn-ea"/>
                <a:cs typeface="+mn-cs"/>
              </a:rPr>
              <a:t>y = 0.1376x</a:t>
            </a:r>
            <a:r>
              <a:rPr lang="en-US" sz="1100" baseline="30000">
                <a:solidFill>
                  <a:srgbClr val="00C800"/>
                </a:solidFill>
                <a:effectLst/>
                <a:latin typeface="+mn-lt"/>
                <a:ea typeface="+mn-ea"/>
                <a:cs typeface="+mn-cs"/>
              </a:rPr>
              <a:t>2</a:t>
            </a:r>
            <a:r>
              <a:rPr lang="en-US" sz="1100" baseline="0">
                <a:solidFill>
                  <a:srgbClr val="00C800"/>
                </a:solidFill>
                <a:effectLst/>
                <a:latin typeface="+mn-lt"/>
                <a:ea typeface="+mn-ea"/>
                <a:cs typeface="+mn-cs"/>
              </a:rPr>
              <a:t> - 0.0446x + 0.0292</a:t>
            </a:r>
            <a:endParaRPr lang="en-MY" sz="1100">
              <a:solidFill>
                <a:srgbClr val="00C800"/>
              </a:solidFill>
            </a:endParaRPr>
          </a:p>
        </cdr:txBody>
      </cdr:sp>
      <cdr:sp macro="" textlink="">
        <cdr:nvSpPr>
          <cdr:cNvPr id="3" name="TextBox 1">
            <a:extLst xmlns:a="http://schemas.openxmlformats.org/drawingml/2006/main">
              <a:ext uri="{FF2B5EF4-FFF2-40B4-BE49-F238E27FC236}">
                <a16:creationId xmlns:a16="http://schemas.microsoft.com/office/drawing/2014/main" id="{BCDC2859-6D5B-E5E8-32D4-66AB400F42E8}"/>
              </a:ext>
            </a:extLst>
          </cdr:cNvPr>
          <cdr:cNvSpPr txBox="1"/>
        </cdr:nvSpPr>
        <cdr:spPr>
          <a:xfrm xmlns:a="http://schemas.openxmlformats.org/drawingml/2006/main">
            <a:off x="4559195" y="1192264"/>
            <a:ext cx="576741" cy="1024510"/>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u="sng" baseline="0">
                <a:effectLst/>
                <a:latin typeface="+mn-lt"/>
                <a:ea typeface="+mn-ea"/>
                <a:cs typeface="+mn-cs"/>
              </a:rPr>
              <a:t>R</a:t>
            </a:r>
            <a:r>
              <a:rPr lang="en-US" sz="1100" b="1" i="0" u="sng" baseline="30000">
                <a:effectLst/>
                <a:latin typeface="+mn-lt"/>
                <a:ea typeface="+mn-ea"/>
                <a:cs typeface="+mn-cs"/>
              </a:rPr>
              <a:t>2</a:t>
            </a:r>
            <a:br>
              <a:rPr lang="en-US" sz="1100" b="0" i="0" baseline="0">
                <a:effectLst/>
                <a:latin typeface="+mn-lt"/>
                <a:ea typeface="+mn-ea"/>
                <a:cs typeface="+mn-cs"/>
              </a:rPr>
            </a:br>
            <a:r>
              <a:rPr lang="en-US" sz="1100" b="0" i="0" baseline="0">
                <a:effectLst/>
                <a:latin typeface="+mn-lt"/>
                <a:ea typeface="+mn-ea"/>
                <a:cs typeface="+mn-cs"/>
              </a:rPr>
              <a:t>0.8721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0.9886</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00FF"/>
                </a:solidFill>
                <a:effectLst/>
                <a:latin typeface="+mn-lt"/>
                <a:ea typeface="+mn-ea"/>
                <a:cs typeface="+mn-cs"/>
              </a:rPr>
              <a:t>0.9900</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C800"/>
                </a:solidFill>
                <a:effectLst/>
                <a:latin typeface="+mn-lt"/>
                <a:ea typeface="+mn-ea"/>
                <a:cs typeface="+mn-cs"/>
              </a:rPr>
              <a:t>0.9928</a:t>
            </a:r>
            <a:endParaRPr lang="en-MY" sz="1100">
              <a:solidFill>
                <a:srgbClr val="00C800"/>
              </a:solidFill>
              <a:effectLst/>
            </a:endParaRPr>
          </a:p>
          <a:p xmlns:a="http://schemas.openxmlformats.org/drawingml/2006/main">
            <a:pPr algn="l"/>
            <a:endParaRPr lang="en-MY" sz="1100"/>
          </a:p>
        </cdr:txBody>
      </cdr:sp>
    </cdr:grpSp>
  </cdr:relSizeAnchor>
</c:userShapes>
</file>

<file path=xl/drawings/drawing15.xml><?xml version="1.0" encoding="utf-8"?>
<c:userShapes xmlns:c="http://schemas.openxmlformats.org/drawingml/2006/chart">
  <cdr:relSizeAnchor xmlns:cdr="http://schemas.openxmlformats.org/drawingml/2006/chartDrawing">
    <cdr:from>
      <cdr:x>0.6109</cdr:x>
      <cdr:y>0.81132</cdr:y>
    </cdr:from>
    <cdr:to>
      <cdr:x>0.96485</cdr:x>
      <cdr:y>1</cdr:y>
    </cdr:to>
    <cdr:grpSp>
      <cdr:nvGrpSpPr>
        <cdr:cNvPr id="4" name="Group 3">
          <a:extLst xmlns:a="http://schemas.openxmlformats.org/drawingml/2006/main">
            <a:ext uri="{FF2B5EF4-FFF2-40B4-BE49-F238E27FC236}">
              <a16:creationId xmlns:a16="http://schemas.microsoft.com/office/drawing/2014/main" id="{63204A0C-67C9-920C-95A0-5C293D86D0F9}"/>
            </a:ext>
          </a:extLst>
        </cdr:cNvPr>
        <cdr:cNvGrpSpPr/>
      </cdr:nvGrpSpPr>
      <cdr:grpSpPr>
        <a:xfrm xmlns:a="http://schemas.openxmlformats.org/drawingml/2006/main">
          <a:off x="3454002" y="4193875"/>
          <a:ext cx="2001218" cy="975324"/>
          <a:chOff x="3091618" y="1192264"/>
          <a:chExt cx="2044318" cy="1024510"/>
        </a:xfrm>
      </cdr:grpSpPr>
      <cdr:sp macro="" textlink="">
        <cdr:nvSpPr>
          <cdr:cNvPr id="2" name="TextBox 1">
            <a:extLst xmlns:a="http://schemas.openxmlformats.org/drawingml/2006/main">
              <a:ext uri="{FF2B5EF4-FFF2-40B4-BE49-F238E27FC236}">
                <a16:creationId xmlns:a16="http://schemas.microsoft.com/office/drawing/2014/main" id="{D356D46C-1B42-1CCB-D1B2-E783B458F435}"/>
              </a:ext>
            </a:extLst>
          </cdr:cNvPr>
          <cdr:cNvSpPr txBox="1"/>
        </cdr:nvSpPr>
        <cdr:spPr>
          <a:xfrm xmlns:a="http://schemas.openxmlformats.org/drawingml/2006/main">
            <a:off x="3091618" y="1194783"/>
            <a:ext cx="1488720" cy="910647"/>
          </a:xfrm>
          <a:prstGeom xmlns:a="http://schemas.openxmlformats.org/drawingml/2006/main" prst="rect">
            <a:avLst/>
          </a:prstGeom>
        </cdr:spPr>
        <cdr:txBody>
          <a:bodyPr xmlns:a="http://schemas.openxmlformats.org/drawingml/2006/main" vertOverflow="overflow" horzOverflow="overflow" wrap="none" rtlCol="0" anchor="t">
            <a:spAutoFit/>
          </a:bodyPr>
          <a:lstStyle xmlns:a="http://schemas.openxmlformats.org/drawingml/2006/main"/>
          <a:p xmlns:a="http://schemas.openxmlformats.org/drawingml/2006/main">
            <a:pPr algn="l"/>
            <a:r>
              <a:rPr lang="en-US" sz="1100" b="1" u="sng" baseline="0">
                <a:effectLst/>
                <a:latin typeface="+mn-lt"/>
                <a:ea typeface="+mn-ea"/>
                <a:cs typeface="+mn-cs"/>
              </a:rPr>
              <a:t>Equation</a:t>
            </a:r>
          </a:p>
          <a:p xmlns:a="http://schemas.openxmlformats.org/drawingml/2006/main">
            <a:pPr algn="l"/>
            <a:r>
              <a:rPr lang="en-US" sz="1100" baseline="0">
                <a:effectLst/>
                <a:latin typeface="+mn-lt"/>
                <a:ea typeface="+mn-ea"/>
                <a:cs typeface="+mn-cs"/>
              </a:rPr>
              <a:t>y = -79.241x</a:t>
            </a:r>
            <a:r>
              <a:rPr lang="en-US" sz="1100" baseline="30000">
                <a:effectLst/>
                <a:latin typeface="+mn-lt"/>
                <a:ea typeface="+mn-ea"/>
                <a:cs typeface="+mn-cs"/>
              </a:rPr>
              <a:t>2</a:t>
            </a:r>
            <a:r>
              <a:rPr lang="en-US" sz="1100" baseline="0">
                <a:effectLst/>
                <a:latin typeface="+mn-lt"/>
                <a:ea typeface="+mn-ea"/>
                <a:cs typeface="+mn-cs"/>
              </a:rPr>
              <a:t> + 82.648x</a:t>
            </a:r>
            <a:endParaRPr lang="en-MY" sz="1100"/>
          </a:p>
          <a:p xmlns:a="http://schemas.openxmlformats.org/drawingml/2006/main">
            <a:pPr algn="l"/>
            <a:r>
              <a:rPr kumimoji="0" lang="en-US" sz="1100" b="0" i="0" u="none" strike="noStrike" kern="0" cap="none" spc="0" normalizeH="0" baseline="0" noProof="0">
                <a:ln>
                  <a:noFill/>
                </a:ln>
                <a:solidFill>
                  <a:srgbClr val="FF0000"/>
                </a:solidFill>
                <a:effectLst/>
                <a:uLnTx/>
                <a:uFillTx/>
              </a:rPr>
              <a:t>y = -49.808x</a:t>
            </a:r>
            <a:r>
              <a:rPr kumimoji="0" lang="en-US" sz="1100" b="0" i="0" u="none" strike="noStrike" kern="0" cap="none" spc="0" normalizeH="0" baseline="30000" noProof="0">
                <a:ln>
                  <a:noFill/>
                </a:ln>
                <a:solidFill>
                  <a:srgbClr val="FF0000"/>
                </a:solidFill>
                <a:effectLst/>
                <a:uLnTx/>
                <a:uFillTx/>
              </a:rPr>
              <a:t>2</a:t>
            </a:r>
            <a:r>
              <a:rPr kumimoji="0" lang="en-US" sz="1100" b="0" i="0" u="none" strike="noStrike" kern="0" cap="none" spc="0" normalizeH="0" baseline="0" noProof="0">
                <a:ln>
                  <a:noFill/>
                </a:ln>
                <a:solidFill>
                  <a:srgbClr val="FF0000"/>
                </a:solidFill>
                <a:effectLst/>
                <a:uLnTx/>
                <a:uFillTx/>
              </a:rPr>
              <a:t> + 52.185x</a:t>
            </a:r>
          </a:p>
          <a:p xmlns:a="http://schemas.openxmlformats.org/drawingml/2006/main">
            <a:pPr algn="l"/>
            <a:r>
              <a:rPr lang="en-US" sz="1100" baseline="0">
                <a:solidFill>
                  <a:srgbClr val="0000FF"/>
                </a:solidFill>
                <a:effectLst/>
                <a:latin typeface="+mn-lt"/>
                <a:ea typeface="+mn-ea"/>
                <a:cs typeface="+mn-cs"/>
              </a:rPr>
              <a:t>y = -35.461x</a:t>
            </a:r>
            <a:r>
              <a:rPr lang="en-US" sz="1100" baseline="30000">
                <a:solidFill>
                  <a:srgbClr val="0000FF"/>
                </a:solidFill>
                <a:effectLst/>
                <a:latin typeface="+mn-lt"/>
                <a:ea typeface="+mn-ea"/>
                <a:cs typeface="+mn-cs"/>
              </a:rPr>
              <a:t>2</a:t>
            </a:r>
            <a:r>
              <a:rPr lang="en-US" sz="1100" baseline="0">
                <a:solidFill>
                  <a:srgbClr val="0000FF"/>
                </a:solidFill>
                <a:effectLst/>
                <a:latin typeface="+mn-lt"/>
                <a:ea typeface="+mn-ea"/>
                <a:cs typeface="+mn-cs"/>
              </a:rPr>
              <a:t> + 42.369x</a:t>
            </a:r>
          </a:p>
          <a:p xmlns:a="http://schemas.openxmlformats.org/drawingml/2006/main">
            <a:pPr algn="l"/>
            <a:r>
              <a:rPr lang="en-US" sz="1100" baseline="0">
                <a:solidFill>
                  <a:srgbClr val="00C800"/>
                </a:solidFill>
                <a:effectLst/>
                <a:latin typeface="+mn-lt"/>
                <a:ea typeface="+mn-ea"/>
                <a:cs typeface="+mn-cs"/>
              </a:rPr>
              <a:t>y = -33.470x</a:t>
            </a:r>
            <a:r>
              <a:rPr lang="en-US" sz="1100" baseline="30000">
                <a:solidFill>
                  <a:srgbClr val="00C800"/>
                </a:solidFill>
                <a:effectLst/>
                <a:latin typeface="+mn-lt"/>
                <a:ea typeface="+mn-ea"/>
                <a:cs typeface="+mn-cs"/>
              </a:rPr>
              <a:t>2</a:t>
            </a:r>
            <a:r>
              <a:rPr lang="en-US" sz="1100" baseline="0">
                <a:solidFill>
                  <a:srgbClr val="00C800"/>
                </a:solidFill>
                <a:effectLst/>
                <a:latin typeface="+mn-lt"/>
                <a:ea typeface="+mn-ea"/>
                <a:cs typeface="+mn-cs"/>
              </a:rPr>
              <a:t> + 40.139x</a:t>
            </a:r>
            <a:endParaRPr lang="en-MY" sz="1100">
              <a:solidFill>
                <a:srgbClr val="00C800"/>
              </a:solidFill>
            </a:endParaRPr>
          </a:p>
        </cdr:txBody>
      </cdr:sp>
      <cdr:sp macro="" textlink="">
        <cdr:nvSpPr>
          <cdr:cNvPr id="3" name="TextBox 1">
            <a:extLst xmlns:a="http://schemas.openxmlformats.org/drawingml/2006/main">
              <a:ext uri="{FF2B5EF4-FFF2-40B4-BE49-F238E27FC236}">
                <a16:creationId xmlns:a16="http://schemas.microsoft.com/office/drawing/2014/main" id="{BCDC2859-6D5B-E5E8-32D4-66AB400F42E8}"/>
              </a:ext>
            </a:extLst>
          </cdr:cNvPr>
          <cdr:cNvSpPr txBox="1"/>
        </cdr:nvSpPr>
        <cdr:spPr>
          <a:xfrm xmlns:a="http://schemas.openxmlformats.org/drawingml/2006/main">
            <a:off x="4559195" y="1192264"/>
            <a:ext cx="576741" cy="1024510"/>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u="sng" baseline="0">
                <a:effectLst/>
                <a:latin typeface="+mn-lt"/>
                <a:ea typeface="+mn-ea"/>
                <a:cs typeface="+mn-cs"/>
              </a:rPr>
              <a:t>R</a:t>
            </a:r>
            <a:r>
              <a:rPr lang="en-US" sz="1100" b="1" i="0" u="sng" baseline="30000">
                <a:effectLst/>
                <a:latin typeface="+mn-lt"/>
                <a:ea typeface="+mn-ea"/>
                <a:cs typeface="+mn-cs"/>
              </a:rPr>
              <a:t>2</a:t>
            </a:r>
            <a:br>
              <a:rPr lang="en-US" sz="1100" b="0" i="0" baseline="0">
                <a:effectLst/>
                <a:latin typeface="+mn-lt"/>
                <a:ea typeface="+mn-ea"/>
                <a:cs typeface="+mn-cs"/>
              </a:rPr>
            </a:br>
            <a:r>
              <a:rPr lang="en-US" sz="1100" b="0" i="0" baseline="0">
                <a:effectLst/>
                <a:latin typeface="+mn-lt"/>
                <a:ea typeface="+mn-ea"/>
                <a:cs typeface="+mn-cs"/>
              </a:rPr>
              <a:t>0.8928</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0.9927</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00FF"/>
                </a:solidFill>
                <a:effectLst/>
                <a:latin typeface="+mn-lt"/>
                <a:ea typeface="+mn-ea"/>
                <a:cs typeface="+mn-cs"/>
              </a:rPr>
              <a:t>0.9957</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C800"/>
                </a:solidFill>
                <a:effectLst/>
                <a:latin typeface="+mn-lt"/>
                <a:ea typeface="+mn-ea"/>
                <a:cs typeface="+mn-cs"/>
              </a:rPr>
              <a:t>0.9922</a:t>
            </a:r>
            <a:endParaRPr lang="en-MY" sz="1100">
              <a:solidFill>
                <a:srgbClr val="00C800"/>
              </a:solidFill>
              <a:effectLst/>
            </a:endParaRPr>
          </a:p>
          <a:p xmlns:a="http://schemas.openxmlformats.org/drawingml/2006/main">
            <a:pPr algn="l"/>
            <a:endParaRPr lang="en-MY" sz="1100"/>
          </a:p>
        </cdr:txBody>
      </cdr:sp>
    </cdr:grpSp>
  </cdr:relSizeAnchor>
</c:userShapes>
</file>

<file path=xl/drawings/drawing16.xml><?xml version="1.0" encoding="utf-8"?>
<c:userShapes xmlns:c="http://schemas.openxmlformats.org/drawingml/2006/chart">
  <cdr:relSizeAnchor xmlns:cdr="http://schemas.openxmlformats.org/drawingml/2006/chartDrawing">
    <cdr:from>
      <cdr:x>0.07064</cdr:x>
      <cdr:y>0.19776</cdr:y>
    </cdr:from>
    <cdr:to>
      <cdr:x>0.45003</cdr:x>
      <cdr:y>0.42801</cdr:y>
    </cdr:to>
    <mc:AlternateContent xmlns:mc="http://schemas.openxmlformats.org/markup-compatibility/2006">
      <mc:Choice xmlns:a14="http://schemas.microsoft.com/office/drawing/2010/main" Requires="a14">
        <cdr:sp macro="" textlink="">
          <cdr:nvSpPr>
            <cdr:cNvPr id="2" name="TextBox 1">
              <a:extLst xmlns:a="http://schemas.openxmlformats.org/drawingml/2006/main">
                <a:ext uri="{FF2B5EF4-FFF2-40B4-BE49-F238E27FC236}">
                  <a16:creationId xmlns:a16="http://schemas.microsoft.com/office/drawing/2014/main" id="{FEB84A5F-BD8E-F025-58D7-CC30F107B44E}"/>
                </a:ext>
              </a:extLst>
            </cdr:cNvPr>
            <cdr:cNvSpPr txBox="1"/>
          </cdr:nvSpPr>
          <cdr:spPr>
            <a:xfrm xmlns:a="http://schemas.openxmlformats.org/drawingml/2006/main">
              <a:off x="323986" y="519888"/>
              <a:ext cx="1740170" cy="605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𝑙</m:t>
                        </m:r>
                      </m:sub>
                    </m:sSub>
                    <m:r>
                      <a:rPr lang="en-US" sz="1100" b="0" i="1">
                        <a:latin typeface="Cambria Math" panose="02040503050406030204" pitchFamily="18" charset="0"/>
                      </a:rPr>
                      <m:t>=0.0911</m:t>
                    </m:r>
                    <m:r>
                      <a:rPr lang="en-US" sz="1100" b="0" i="1">
                        <a:latin typeface="Cambria Math" panose="02040503050406030204" pitchFamily="18" charset="0"/>
                        <a:ea typeface="Cambria Math" panose="02040503050406030204" pitchFamily="18" charset="0"/>
                      </a:rPr>
                      <m:t>𝛼</m:t>
                    </m:r>
                    <m:r>
                      <a:rPr lang="en-US" sz="1100" b="0" i="1">
                        <a:latin typeface="Cambria Math" panose="02040503050406030204" pitchFamily="18" charset="0"/>
                        <a:ea typeface="Cambria Math" panose="02040503050406030204" pitchFamily="18" charset="0"/>
                      </a:rPr>
                      <m:t>+0.2149</m:t>
                    </m:r>
                  </m:oMath>
                </m:oMathPara>
              </a14:m>
              <a:endParaRPr lang="en-US" sz="1100"/>
            </a:p>
            <a:p xmlns:a="http://schemas.openxmlformats.org/drawingml/2006/main">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𝑅</m:t>
                        </m:r>
                      </m:e>
                      <m:sup>
                        <m:r>
                          <a:rPr lang="en-US" sz="1100" b="0" i="1">
                            <a:latin typeface="Cambria Math" panose="02040503050406030204" pitchFamily="18" charset="0"/>
                          </a:rPr>
                          <m:t>2</m:t>
                        </m:r>
                      </m:sup>
                    </m:sSup>
                    <m:r>
                      <a:rPr lang="en-US" sz="1100" b="0" i="1">
                        <a:latin typeface="Cambria Math" panose="02040503050406030204" pitchFamily="18" charset="0"/>
                      </a:rPr>
                      <m:t>=0.9492</m:t>
                    </m:r>
                  </m:oMath>
                </m:oMathPara>
              </a14:m>
              <a:endParaRPr lang="en-US" sz="1100"/>
            </a:p>
          </cdr:txBody>
        </cdr:sp>
      </mc:Choice>
      <mc:Fallback>
        <cdr:sp macro="" textlink="">
          <cdr:nvSpPr>
            <cdr:cNvPr id="2" name="TextBox 1">
              <a:extLst xmlns:a="http://schemas.openxmlformats.org/drawingml/2006/main">
                <a:ext uri="{FF2B5EF4-FFF2-40B4-BE49-F238E27FC236}">
                  <a16:creationId xmlns:a16="http://schemas.microsoft.com/office/drawing/2014/main" id="{FEB84A5F-BD8E-F025-58D7-CC30F107B44E}"/>
                </a:ext>
              </a:extLst>
            </cdr:cNvPr>
            <cdr:cNvSpPr txBox="1"/>
          </cdr:nvSpPr>
          <cdr:spPr>
            <a:xfrm xmlns:a="http://schemas.openxmlformats.org/drawingml/2006/main">
              <a:off x="323986" y="519888"/>
              <a:ext cx="1740170" cy="605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r>
                <a:rPr lang="en-US" sz="1100" b="0" i="0">
                  <a:latin typeface="Cambria Math" panose="02040503050406030204" pitchFamily="18" charset="0"/>
                </a:rPr>
                <a:t>𝐶_𝑙=0.0911</a:t>
              </a:r>
              <a:r>
                <a:rPr lang="en-US" sz="1100" b="0" i="0">
                  <a:latin typeface="Cambria Math" panose="02040503050406030204" pitchFamily="18" charset="0"/>
                  <a:ea typeface="Cambria Math" panose="02040503050406030204" pitchFamily="18" charset="0"/>
                </a:rPr>
                <a:t>𝛼+0.2149</a:t>
              </a:r>
              <a:endParaRPr lang="en-US" sz="1100"/>
            </a:p>
            <a:p xmlns:a="http://schemas.openxmlformats.org/drawingml/2006/main">
              <a:pPr/>
              <a:r>
                <a:rPr lang="en-US" sz="1100" b="0" i="0">
                  <a:latin typeface="Cambria Math" panose="02040503050406030204" pitchFamily="18" charset="0"/>
                </a:rPr>
                <a:t>𝑅^2=0.9492</a:t>
              </a:r>
              <a:endParaRPr lang="en-US" sz="1100"/>
            </a:p>
          </cdr:txBody>
        </cdr:sp>
      </mc:Fallback>
    </mc:AlternateContent>
  </cdr:relSizeAnchor>
</c:userShapes>
</file>

<file path=xl/drawings/drawing17.xml><?xml version="1.0" encoding="utf-8"?>
<c:userShapes xmlns:c="http://schemas.openxmlformats.org/drawingml/2006/chart">
  <cdr:relSizeAnchor xmlns:cdr="http://schemas.openxmlformats.org/drawingml/2006/chartDrawing">
    <cdr:from>
      <cdr:x>0.58385</cdr:x>
      <cdr:y>0.69675</cdr:y>
    </cdr:from>
    <cdr:to>
      <cdr:x>0.91141</cdr:x>
      <cdr:y>0.91625</cdr:y>
    </cdr:to>
    <cdr:grpSp>
      <cdr:nvGrpSpPr>
        <cdr:cNvPr id="4" name="Group 3">
          <a:extLst xmlns:a="http://schemas.openxmlformats.org/drawingml/2006/main">
            <a:ext uri="{FF2B5EF4-FFF2-40B4-BE49-F238E27FC236}">
              <a16:creationId xmlns:a16="http://schemas.microsoft.com/office/drawing/2014/main" id="{63204A0C-67C9-920C-95A0-5C293D86D0F9}"/>
            </a:ext>
          </a:extLst>
        </cdr:cNvPr>
        <cdr:cNvGrpSpPr/>
      </cdr:nvGrpSpPr>
      <cdr:grpSpPr>
        <a:xfrm xmlns:a="http://schemas.openxmlformats.org/drawingml/2006/main">
          <a:off x="3277942" y="3360014"/>
          <a:ext cx="1839038" cy="1058519"/>
          <a:chOff x="3270572" y="1193532"/>
          <a:chExt cx="1891849" cy="1019125"/>
        </a:xfrm>
      </cdr:grpSpPr>
      <cdr:sp macro="" textlink="">
        <cdr:nvSpPr>
          <cdr:cNvPr id="2" name="TextBox 1">
            <a:extLst xmlns:a="http://schemas.openxmlformats.org/drawingml/2006/main">
              <a:ext uri="{FF2B5EF4-FFF2-40B4-BE49-F238E27FC236}">
                <a16:creationId xmlns:a16="http://schemas.microsoft.com/office/drawing/2014/main" id="{D356D46C-1B42-1CCB-D1B2-E783B458F435}"/>
              </a:ext>
            </a:extLst>
          </cdr:cNvPr>
          <cdr:cNvSpPr txBox="1"/>
        </cdr:nvSpPr>
        <cdr:spPr>
          <a:xfrm xmlns:a="http://schemas.openxmlformats.org/drawingml/2006/main">
            <a:off x="3270572" y="1194784"/>
            <a:ext cx="1306327" cy="913193"/>
          </a:xfrm>
          <a:prstGeom xmlns:a="http://schemas.openxmlformats.org/drawingml/2006/main" prst="rect">
            <a:avLst/>
          </a:prstGeom>
        </cdr:spPr>
        <cdr:txBody>
          <a:bodyPr xmlns:a="http://schemas.openxmlformats.org/drawingml/2006/main" vertOverflow="overflow" horzOverflow="overflow" wrap="none" rtlCol="0" anchor="t">
            <a:spAutoFit/>
          </a:bodyPr>
          <a:lstStyle xmlns:a="http://schemas.openxmlformats.org/drawingml/2006/main"/>
          <a:p xmlns:a="http://schemas.openxmlformats.org/drawingml/2006/main">
            <a:pPr algn="l"/>
            <a:r>
              <a:rPr lang="en-US" sz="1100" b="1" u="sng" baseline="0">
                <a:effectLst/>
                <a:latin typeface="+mn-lt"/>
                <a:ea typeface="+mn-ea"/>
                <a:cs typeface="+mn-cs"/>
              </a:rPr>
              <a:t>Equation</a:t>
            </a:r>
          </a:p>
          <a:p xmlns:a="http://schemas.openxmlformats.org/drawingml/2006/main">
            <a:pPr algn="l"/>
            <a:r>
              <a:rPr lang="en-US" sz="1100" baseline="0">
                <a:effectLst/>
                <a:latin typeface="+mn-lt"/>
                <a:ea typeface="+mn-ea"/>
                <a:cs typeface="+mn-cs"/>
              </a:rPr>
              <a:t>y = 0.0523x + 0.0111</a:t>
            </a:r>
            <a:endParaRPr lang="en-MY" sz="1100"/>
          </a:p>
          <a:p xmlns:a="http://schemas.openxmlformats.org/drawingml/2006/main">
            <a:pPr algn="l"/>
            <a:r>
              <a:rPr kumimoji="0" lang="en-US" sz="1100" b="0" i="0" u="none" strike="noStrike" kern="0" cap="none" spc="0" normalizeH="0" baseline="0" noProof="0">
                <a:ln>
                  <a:noFill/>
                </a:ln>
                <a:solidFill>
                  <a:srgbClr val="FF0000"/>
                </a:solidFill>
                <a:effectLst/>
                <a:uLnTx/>
                <a:uFillTx/>
              </a:rPr>
              <a:t>y = 0.0707x + 0.0197</a:t>
            </a:r>
          </a:p>
          <a:p xmlns:a="http://schemas.openxmlformats.org/drawingml/2006/main">
            <a:pPr algn="l"/>
            <a:r>
              <a:rPr lang="en-US" sz="1100" baseline="0">
                <a:solidFill>
                  <a:srgbClr val="0000FF"/>
                </a:solidFill>
                <a:effectLst/>
                <a:latin typeface="+mn-lt"/>
                <a:ea typeface="+mn-ea"/>
                <a:cs typeface="+mn-cs"/>
              </a:rPr>
              <a:t>y = 0.0743x + 0.0226</a:t>
            </a:r>
          </a:p>
          <a:p xmlns:a="http://schemas.openxmlformats.org/drawingml/2006/main">
            <a:pPr algn="l"/>
            <a:r>
              <a:rPr lang="en-US" sz="1100" baseline="0">
                <a:solidFill>
                  <a:srgbClr val="00C800"/>
                </a:solidFill>
                <a:effectLst/>
                <a:latin typeface="+mn-lt"/>
                <a:ea typeface="+mn-ea"/>
                <a:cs typeface="+mn-cs"/>
              </a:rPr>
              <a:t>y = 0.0774x + 0.0235</a:t>
            </a:r>
            <a:endParaRPr lang="en-MY" sz="1100">
              <a:solidFill>
                <a:srgbClr val="00C800"/>
              </a:solidFill>
            </a:endParaRPr>
          </a:p>
        </cdr:txBody>
      </cdr:sp>
      <cdr:sp macro="" textlink="">
        <cdr:nvSpPr>
          <cdr:cNvPr id="3" name="TextBox 1">
            <a:extLst xmlns:a="http://schemas.openxmlformats.org/drawingml/2006/main">
              <a:ext uri="{FF2B5EF4-FFF2-40B4-BE49-F238E27FC236}">
                <a16:creationId xmlns:a16="http://schemas.microsoft.com/office/drawing/2014/main" id="{BCDC2859-6D5B-E5E8-32D4-66AB400F42E8}"/>
              </a:ext>
            </a:extLst>
          </cdr:cNvPr>
          <cdr:cNvSpPr txBox="1"/>
        </cdr:nvSpPr>
        <cdr:spPr>
          <a:xfrm xmlns:a="http://schemas.openxmlformats.org/drawingml/2006/main">
            <a:off x="4585680" y="1193532"/>
            <a:ext cx="576741" cy="1019125"/>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u="sng" baseline="0">
                <a:effectLst/>
                <a:latin typeface="+mn-lt"/>
                <a:ea typeface="+mn-ea"/>
                <a:cs typeface="+mn-cs"/>
              </a:rPr>
              <a:t>R</a:t>
            </a:r>
            <a:r>
              <a:rPr lang="en-US" sz="1100" b="1" i="0" u="sng" baseline="30000">
                <a:effectLst/>
                <a:latin typeface="+mn-lt"/>
                <a:ea typeface="+mn-ea"/>
                <a:cs typeface="+mn-cs"/>
              </a:rPr>
              <a:t>2</a:t>
            </a:r>
            <a:br>
              <a:rPr lang="en-US" sz="1100" b="0" i="0" baseline="0">
                <a:effectLst/>
                <a:latin typeface="+mn-lt"/>
                <a:ea typeface="+mn-ea"/>
                <a:cs typeface="+mn-cs"/>
              </a:rPr>
            </a:br>
            <a:r>
              <a:rPr lang="en-US" sz="1100" b="0" i="0" baseline="0">
                <a:effectLst/>
                <a:latin typeface="+mn-lt"/>
                <a:ea typeface="+mn-ea"/>
                <a:cs typeface="+mn-cs"/>
              </a:rPr>
              <a:t>0.9921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0.9963</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00FF"/>
                </a:solidFill>
                <a:effectLst/>
                <a:latin typeface="+mn-lt"/>
                <a:ea typeface="+mn-ea"/>
                <a:cs typeface="+mn-cs"/>
              </a:rPr>
              <a:t>0.9967</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C800"/>
                </a:solidFill>
                <a:effectLst/>
                <a:latin typeface="+mn-lt"/>
                <a:ea typeface="+mn-ea"/>
                <a:cs typeface="+mn-cs"/>
              </a:rPr>
              <a:t>0.9902</a:t>
            </a:r>
            <a:endParaRPr lang="en-MY" sz="1100">
              <a:solidFill>
                <a:srgbClr val="00C800"/>
              </a:solidFill>
              <a:effectLst/>
            </a:endParaRPr>
          </a:p>
          <a:p xmlns:a="http://schemas.openxmlformats.org/drawingml/2006/main">
            <a:pPr algn="l"/>
            <a:endParaRPr lang="en-MY" sz="1100"/>
          </a:p>
        </cdr:txBody>
      </cdr:sp>
    </cdr:grpSp>
  </cdr:relSizeAnchor>
</c:userShapes>
</file>

<file path=xl/drawings/drawing18.xml><?xml version="1.0" encoding="utf-8"?>
<c:userShapes xmlns:c="http://schemas.openxmlformats.org/drawingml/2006/chart">
  <cdr:relSizeAnchor xmlns:cdr="http://schemas.openxmlformats.org/drawingml/2006/chartDrawing">
    <cdr:from>
      <cdr:x>0.1419</cdr:x>
      <cdr:y>0.13351</cdr:y>
    </cdr:from>
    <cdr:to>
      <cdr:x>0.50282</cdr:x>
      <cdr:y>0.30778</cdr:y>
    </cdr:to>
    <mc:AlternateContent xmlns:mc="http://schemas.openxmlformats.org/markup-compatibility/2006">
      <mc:Choice xmlns:a14="http://schemas.microsoft.com/office/drawing/2010/main" Requires="a14">
        <cdr:sp macro="" textlink="">
          <cdr:nvSpPr>
            <cdr:cNvPr id="2" name="TextBox 1">
              <a:extLst xmlns:a="http://schemas.openxmlformats.org/drawingml/2006/main">
                <a:ext uri="{FF2B5EF4-FFF2-40B4-BE49-F238E27FC236}">
                  <a16:creationId xmlns:a16="http://schemas.microsoft.com/office/drawing/2014/main" id="{2A5E9319-6921-933B-AFB6-8E3BDDDD8D5D}"/>
                </a:ext>
              </a:extLst>
            </cdr:cNvPr>
            <cdr:cNvSpPr txBox="1"/>
          </cdr:nvSpPr>
          <cdr:spPr>
            <a:xfrm xmlns:a="http://schemas.openxmlformats.org/drawingml/2006/main">
              <a:off x="1174002" y="476250"/>
              <a:ext cx="2986176" cy="6216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sSub>
                          <m:sSubPr>
                            <m:ctrlPr>
                              <a:rPr lang="en-US" sz="1100" i="1">
                                <a:latin typeface="Cambria Math" panose="02040503050406030204" pitchFamily="18" charset="0"/>
                              </a:rPr>
                            </m:ctrlPr>
                          </m:sSubPr>
                          <m:e>
                            <m:r>
                              <a:rPr lang="en-US" sz="1100" b="0" i="1">
                                <a:latin typeface="Cambria Math" panose="02040503050406030204" pitchFamily="18" charset="0"/>
                              </a:rPr>
                              <m:t>𝑙</m:t>
                            </m:r>
                          </m:e>
                          <m:sub>
                            <m:r>
                              <a:rPr lang="en-US" sz="1100" b="0" i="1">
                                <a:latin typeface="Cambria Math" panose="02040503050406030204" pitchFamily="18" charset="0"/>
                              </a:rPr>
                              <m:t>1</m:t>
                            </m:r>
                          </m:sub>
                        </m:sSub>
                      </m:sub>
                    </m:sSub>
                    <m:r>
                      <a:rPr lang="en-US" sz="1100" b="0" i="1">
                        <a:latin typeface="Cambria Math" panose="02040503050406030204" pitchFamily="18" charset="0"/>
                      </a:rPr>
                      <m:t>=0.0616</m:t>
                    </m:r>
                    <m:r>
                      <a:rPr lang="en-US" sz="1100" b="0" i="1">
                        <a:latin typeface="Cambria Math" panose="02040503050406030204" pitchFamily="18" charset="0"/>
                        <a:ea typeface="Cambria Math" panose="02040503050406030204" pitchFamily="18" charset="0"/>
                      </a:rPr>
                      <m:t>𝛼</m:t>
                    </m:r>
                    <m:r>
                      <a:rPr lang="en-US" sz="1100" b="0" i="1">
                        <a:latin typeface="Cambria Math" panose="02040503050406030204" pitchFamily="18" charset="0"/>
                        <a:ea typeface="Cambria Math" panose="02040503050406030204" pitchFamily="18" charset="0"/>
                      </a:rPr>
                      <m:t>+0.1463</m:t>
                    </m:r>
                  </m:oMath>
                </m:oMathPara>
              </a14:m>
              <a:endParaRPr lang="en-US" sz="1100" b="0">
                <a:ea typeface="Cambria Math" panose="02040503050406030204" pitchFamily="18" charset="0"/>
              </a:endParaRPr>
            </a:p>
            <a:p xmlns:a="http://schemas.openxmlformats.org/drawingml/2006/main">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𝑅</m:t>
                        </m:r>
                      </m:e>
                      <m:sup>
                        <m:r>
                          <a:rPr lang="en-US" sz="1100" b="0" i="1">
                            <a:latin typeface="Cambria Math" panose="02040503050406030204" pitchFamily="18" charset="0"/>
                            <a:ea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=0.9911</m:t>
                    </m:r>
                  </m:oMath>
                </m:oMathPara>
              </a14:m>
              <a:endParaRPr lang="en-US" sz="1100" b="0">
                <a:ea typeface="Cambria Math" panose="02040503050406030204" pitchFamily="18" charset="0"/>
              </a:endParaRPr>
            </a:p>
            <a:p xmlns:a="http://schemas.openxmlformats.org/drawingml/2006/main">
              <a:endParaRPr lang="en-US" sz="1100" b="0">
                <a:ea typeface="Cambria Math" panose="02040503050406030204" pitchFamily="18" charset="0"/>
              </a:endParaRPr>
            </a:p>
            <a:p xmlns:a="http://schemas.openxmlformats.org/drawingml/2006/main">
              <a:endParaRPr lang="en-US" sz="1100"/>
            </a:p>
          </cdr:txBody>
        </cdr:sp>
      </mc:Choice>
      <mc:Fallback>
        <cdr:sp macro="" textlink="">
          <cdr:nvSpPr>
            <cdr:cNvPr id="2" name="TextBox 1">
              <a:extLst xmlns:a="http://schemas.openxmlformats.org/drawingml/2006/main">
                <a:ext uri="{FF2B5EF4-FFF2-40B4-BE49-F238E27FC236}">
                  <a16:creationId xmlns:a16="http://schemas.microsoft.com/office/drawing/2014/main" id="{2A5E9319-6921-933B-AFB6-8E3BDDDD8D5D}"/>
                </a:ext>
              </a:extLst>
            </cdr:cNvPr>
            <cdr:cNvSpPr txBox="1"/>
          </cdr:nvSpPr>
          <cdr:spPr>
            <a:xfrm xmlns:a="http://schemas.openxmlformats.org/drawingml/2006/main">
              <a:off x="1174002" y="476250"/>
              <a:ext cx="2986176" cy="6216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r>
                <a:rPr lang="en-US" sz="1100" b="0" i="0">
                  <a:latin typeface="Cambria Math" panose="02040503050406030204" pitchFamily="18" charset="0"/>
                </a:rPr>
                <a:t>𝐶_(𝑙_1 )=0.0616</a:t>
              </a:r>
              <a:r>
                <a:rPr lang="en-US" sz="1100" b="0" i="0">
                  <a:latin typeface="Cambria Math" panose="02040503050406030204" pitchFamily="18" charset="0"/>
                  <a:ea typeface="Cambria Math" panose="02040503050406030204" pitchFamily="18" charset="0"/>
                </a:rPr>
                <a:t>𝛼+0.1463</a:t>
              </a:r>
              <a:endParaRPr lang="en-US" sz="1100" b="0">
                <a:ea typeface="Cambria Math" panose="02040503050406030204" pitchFamily="18" charset="0"/>
              </a:endParaRPr>
            </a:p>
            <a:p xmlns:a="http://schemas.openxmlformats.org/drawingml/2006/main">
              <a:pPr/>
              <a:r>
                <a:rPr lang="en-US" sz="1100" b="0" i="0">
                  <a:latin typeface="Cambria Math" panose="02040503050406030204" pitchFamily="18" charset="0"/>
                  <a:ea typeface="Cambria Math" panose="02040503050406030204" pitchFamily="18" charset="0"/>
                </a:rPr>
                <a:t>𝑅^2=0.9911</a:t>
              </a:r>
              <a:endParaRPr lang="en-US" sz="1100" b="0">
                <a:ea typeface="Cambria Math" panose="02040503050406030204" pitchFamily="18" charset="0"/>
              </a:endParaRPr>
            </a:p>
            <a:p xmlns:a="http://schemas.openxmlformats.org/drawingml/2006/main">
              <a:endParaRPr lang="en-US" sz="1100" b="0">
                <a:ea typeface="Cambria Math" panose="02040503050406030204" pitchFamily="18" charset="0"/>
              </a:endParaRPr>
            </a:p>
            <a:p xmlns:a="http://schemas.openxmlformats.org/drawingml/2006/main">
              <a:endParaRPr lang="en-US" sz="1100"/>
            </a:p>
          </cdr:txBody>
        </cdr:sp>
      </mc:Fallback>
    </mc:AlternateContent>
  </cdr:relSizeAnchor>
  <cdr:relSizeAnchor xmlns:cdr="http://schemas.openxmlformats.org/drawingml/2006/chartDrawing">
    <cdr:from>
      <cdr:x>0.13974</cdr:x>
      <cdr:y>0.25097</cdr:y>
    </cdr:from>
    <cdr:to>
      <cdr:x>0.49088</cdr:x>
      <cdr:y>0.42692</cdr:y>
    </cdr:to>
    <mc:AlternateContent xmlns:mc="http://schemas.openxmlformats.org/markup-compatibility/2006">
      <mc:Choice xmlns:a14="http://schemas.microsoft.com/office/drawing/2010/main" Requires="a14">
        <cdr:sp macro="" textlink="">
          <cdr:nvSpPr>
            <cdr:cNvPr id="3" name="TextBox 2">
              <a:extLst xmlns:a="http://schemas.openxmlformats.org/drawingml/2006/main">
                <a:ext uri="{FF2B5EF4-FFF2-40B4-BE49-F238E27FC236}">
                  <a16:creationId xmlns:a16="http://schemas.microsoft.com/office/drawing/2014/main" id="{28D37F13-E52F-3FBF-74F8-98F2CBD657C0}"/>
                </a:ext>
              </a:extLst>
            </cdr:cNvPr>
            <cdr:cNvSpPr txBox="1"/>
          </cdr:nvSpPr>
          <cdr:spPr>
            <a:xfrm xmlns:a="http://schemas.openxmlformats.org/drawingml/2006/main">
              <a:off x="1156168" y="895269"/>
              <a:ext cx="2905230" cy="6276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sSub>
                          <m:sSubPr>
                            <m:ctrlPr>
                              <a:rPr lang="en-US" sz="1100" i="1">
                                <a:latin typeface="Cambria Math" panose="02040503050406030204" pitchFamily="18" charset="0"/>
                              </a:rPr>
                            </m:ctrlPr>
                          </m:sSubPr>
                          <m:e>
                            <m:r>
                              <a:rPr lang="en-US" sz="1100" b="0" i="1">
                                <a:latin typeface="Cambria Math" panose="02040503050406030204" pitchFamily="18" charset="0"/>
                              </a:rPr>
                              <m:t>𝑙</m:t>
                            </m:r>
                          </m:e>
                          <m:sub>
                            <m:r>
                              <a:rPr lang="en-US" sz="1100" b="0" i="1">
                                <a:latin typeface="Cambria Math" panose="02040503050406030204" pitchFamily="18" charset="0"/>
                              </a:rPr>
                              <m:t>2</m:t>
                            </m:r>
                          </m:sub>
                        </m:sSub>
                      </m:sub>
                    </m:sSub>
                    <m:r>
                      <a:rPr lang="en-US" sz="1100" b="0" i="1">
                        <a:latin typeface="Cambria Math" panose="02040503050406030204" pitchFamily="18" charset="0"/>
                      </a:rPr>
                      <m:t>=0.0717</m:t>
                    </m:r>
                    <m:r>
                      <a:rPr lang="en-US" sz="1100" b="0" i="1">
                        <a:latin typeface="Cambria Math" panose="02040503050406030204" pitchFamily="18" charset="0"/>
                        <a:ea typeface="Cambria Math" panose="02040503050406030204" pitchFamily="18" charset="0"/>
                      </a:rPr>
                      <m:t>𝛼</m:t>
                    </m:r>
                    <m:r>
                      <a:rPr lang="en-US" sz="1100" b="0" i="1">
                        <a:latin typeface="Cambria Math" panose="02040503050406030204" pitchFamily="18" charset="0"/>
                        <a:ea typeface="Cambria Math" panose="02040503050406030204" pitchFamily="18" charset="0"/>
                      </a:rPr>
                      <m:t>+0.147</m:t>
                    </m:r>
                  </m:oMath>
                </m:oMathPara>
              </a14:m>
              <a:endParaRPr lang="en-US" sz="1100"/>
            </a:p>
            <a:p xmlns:a="http://schemas.openxmlformats.org/drawingml/2006/main">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𝑅</m:t>
                        </m:r>
                      </m:e>
                      <m:sup>
                        <m:r>
                          <a:rPr lang="en-US" sz="1100" b="0" i="1">
                            <a:latin typeface="Cambria Math" panose="02040503050406030204" pitchFamily="18" charset="0"/>
                          </a:rPr>
                          <m:t>2</m:t>
                        </m:r>
                      </m:sup>
                    </m:sSup>
                    <m:r>
                      <a:rPr lang="en-US" sz="1100" b="0" i="1">
                        <a:latin typeface="Cambria Math" panose="02040503050406030204" pitchFamily="18" charset="0"/>
                      </a:rPr>
                      <m:t>=0.9911</m:t>
                    </m:r>
                  </m:oMath>
                </m:oMathPara>
              </a14:m>
              <a:endParaRPr lang="en-US" sz="1100"/>
            </a:p>
          </cdr:txBody>
        </cdr:sp>
      </mc:Choice>
      <mc:Fallback>
        <cdr:sp macro="" textlink="">
          <cdr:nvSpPr>
            <cdr:cNvPr id="3" name="TextBox 2">
              <a:extLst xmlns:a="http://schemas.openxmlformats.org/drawingml/2006/main">
                <a:ext uri="{FF2B5EF4-FFF2-40B4-BE49-F238E27FC236}">
                  <a16:creationId xmlns:a16="http://schemas.microsoft.com/office/drawing/2014/main" id="{28D37F13-E52F-3FBF-74F8-98F2CBD657C0}"/>
                </a:ext>
              </a:extLst>
            </cdr:cNvPr>
            <cdr:cNvSpPr txBox="1"/>
          </cdr:nvSpPr>
          <cdr:spPr>
            <a:xfrm xmlns:a="http://schemas.openxmlformats.org/drawingml/2006/main">
              <a:off x="1156168" y="895269"/>
              <a:ext cx="2905230" cy="6276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r>
                <a:rPr lang="en-US" sz="1100" b="0" i="0">
                  <a:latin typeface="Cambria Math" panose="02040503050406030204" pitchFamily="18" charset="0"/>
                </a:rPr>
                <a:t>𝐶_(𝑙_2 )=0.0717</a:t>
              </a:r>
              <a:r>
                <a:rPr lang="en-US" sz="1100" b="0" i="0">
                  <a:latin typeface="Cambria Math" panose="02040503050406030204" pitchFamily="18" charset="0"/>
                  <a:ea typeface="Cambria Math" panose="02040503050406030204" pitchFamily="18" charset="0"/>
                </a:rPr>
                <a:t>𝛼+0.147</a:t>
              </a:r>
              <a:endParaRPr lang="en-US" sz="1100"/>
            </a:p>
            <a:p xmlns:a="http://schemas.openxmlformats.org/drawingml/2006/main">
              <a:pPr/>
              <a:r>
                <a:rPr lang="en-US" sz="1100" b="0" i="0">
                  <a:latin typeface="Cambria Math" panose="02040503050406030204" pitchFamily="18" charset="0"/>
                </a:rPr>
                <a:t>𝑅^2=0.9911</a:t>
              </a:r>
              <a:endParaRPr lang="en-US" sz="1100"/>
            </a:p>
          </cdr:txBody>
        </cdr:sp>
      </mc:Fallback>
    </mc:AlternateContent>
  </cdr:relSizeAnchor>
  <cdr:relSizeAnchor xmlns:cdr="http://schemas.openxmlformats.org/drawingml/2006/chartDrawing">
    <cdr:from>
      <cdr:x>0.12528</cdr:x>
      <cdr:y>0.36436</cdr:y>
    </cdr:from>
    <cdr:to>
      <cdr:x>0.50359</cdr:x>
      <cdr:y>0.57378</cdr:y>
    </cdr:to>
    <mc:AlternateContent xmlns:mc="http://schemas.openxmlformats.org/markup-compatibility/2006">
      <mc:Choice xmlns:a14="http://schemas.microsoft.com/office/drawing/2010/main" Requires="a14">
        <cdr:sp macro="" textlink="">
          <cdr:nvSpPr>
            <cdr:cNvPr id="5" name="TextBox 4">
              <a:extLst xmlns:a="http://schemas.openxmlformats.org/drawingml/2006/main">
                <a:ext uri="{FF2B5EF4-FFF2-40B4-BE49-F238E27FC236}">
                  <a16:creationId xmlns:a16="http://schemas.microsoft.com/office/drawing/2014/main" id="{4882C5C8-D520-998D-CE54-B5E02408E58F}"/>
                </a:ext>
              </a:extLst>
            </cdr:cNvPr>
            <cdr:cNvSpPr txBox="1"/>
          </cdr:nvSpPr>
          <cdr:spPr>
            <a:xfrm xmlns:a="http://schemas.openxmlformats.org/drawingml/2006/main">
              <a:off x="1036544" y="1299742"/>
              <a:ext cx="3129961" cy="7470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sSub>
                          <m:sSubPr>
                            <m:ctrlPr>
                              <a:rPr lang="en-US" sz="1100" i="1">
                                <a:latin typeface="Cambria Math" panose="02040503050406030204" pitchFamily="18" charset="0"/>
                              </a:rPr>
                            </m:ctrlPr>
                          </m:sSubPr>
                          <m:e>
                            <m:r>
                              <a:rPr lang="en-US" sz="1100" b="0" i="1">
                                <a:latin typeface="Cambria Math" panose="02040503050406030204" pitchFamily="18" charset="0"/>
                              </a:rPr>
                              <m:t>𝑙</m:t>
                            </m:r>
                          </m:e>
                          <m:sub>
                            <m:r>
                              <a:rPr lang="en-US" sz="1100" b="0" i="1">
                                <a:latin typeface="Cambria Math" panose="02040503050406030204" pitchFamily="18" charset="0"/>
                              </a:rPr>
                              <m:t>3</m:t>
                            </m:r>
                          </m:sub>
                        </m:sSub>
                      </m:sub>
                    </m:sSub>
                    <m:r>
                      <a:rPr lang="en-US" sz="1100" b="0" i="1">
                        <a:latin typeface="Cambria Math" panose="02040503050406030204" pitchFamily="18" charset="0"/>
                      </a:rPr>
                      <m:t>=0.0702</m:t>
                    </m:r>
                    <m:r>
                      <a:rPr lang="en-US" sz="1100" b="0" i="1">
                        <a:latin typeface="Cambria Math" panose="02040503050406030204" pitchFamily="18" charset="0"/>
                        <a:ea typeface="Cambria Math" panose="02040503050406030204" pitchFamily="18" charset="0"/>
                      </a:rPr>
                      <m:t>𝛼</m:t>
                    </m:r>
                    <m:r>
                      <a:rPr lang="en-US" sz="1100" b="0" i="1">
                        <a:latin typeface="Cambria Math" panose="02040503050406030204" pitchFamily="18" charset="0"/>
                        <a:ea typeface="Cambria Math" panose="02040503050406030204" pitchFamily="18" charset="0"/>
                      </a:rPr>
                      <m:t>+0.0989</m:t>
                    </m:r>
                  </m:oMath>
                </m:oMathPara>
              </a14:m>
              <a:endParaRPr lang="en-US" sz="1100" b="0">
                <a:ea typeface="Cambria Math" panose="02040503050406030204" pitchFamily="18" charset="0"/>
              </a:endParaRPr>
            </a:p>
            <a:p xmlns:a="http://schemas.openxmlformats.org/drawingml/2006/main">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𝑅</m:t>
                        </m:r>
                      </m:e>
                      <m:sup>
                        <m:r>
                          <a:rPr lang="en-US" sz="1100" b="0" i="1">
                            <a:latin typeface="Cambria Math" panose="02040503050406030204" pitchFamily="18" charset="0"/>
                          </a:rPr>
                          <m:t>2</m:t>
                        </m:r>
                      </m:sup>
                    </m:sSup>
                    <m:r>
                      <a:rPr lang="en-US" sz="1100" b="0" i="1">
                        <a:latin typeface="Cambria Math" panose="02040503050406030204" pitchFamily="18" charset="0"/>
                      </a:rPr>
                      <m:t>=0.9918</m:t>
                    </m:r>
                  </m:oMath>
                </m:oMathPara>
              </a14:m>
              <a:endParaRPr lang="en-US" sz="1100"/>
            </a:p>
          </cdr:txBody>
        </cdr:sp>
      </mc:Choice>
      <mc:Fallback>
        <cdr:sp macro="" textlink="">
          <cdr:nvSpPr>
            <cdr:cNvPr id="5" name="TextBox 4">
              <a:extLst xmlns:a="http://schemas.openxmlformats.org/drawingml/2006/main">
                <a:ext uri="{FF2B5EF4-FFF2-40B4-BE49-F238E27FC236}">
                  <a16:creationId xmlns:a16="http://schemas.microsoft.com/office/drawing/2014/main" id="{4882C5C8-D520-998D-CE54-B5E02408E58F}"/>
                </a:ext>
              </a:extLst>
            </cdr:cNvPr>
            <cdr:cNvSpPr txBox="1"/>
          </cdr:nvSpPr>
          <cdr:spPr>
            <a:xfrm xmlns:a="http://schemas.openxmlformats.org/drawingml/2006/main">
              <a:off x="1036544" y="1299742"/>
              <a:ext cx="3129961" cy="7470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r>
                <a:rPr lang="en-US" sz="1100" b="0" i="0">
                  <a:latin typeface="Cambria Math" panose="02040503050406030204" pitchFamily="18" charset="0"/>
                </a:rPr>
                <a:t>𝐶_(𝑙_3 )=0.0702</a:t>
              </a:r>
              <a:r>
                <a:rPr lang="en-US" sz="1100" b="0" i="0">
                  <a:latin typeface="Cambria Math" panose="02040503050406030204" pitchFamily="18" charset="0"/>
                  <a:ea typeface="Cambria Math" panose="02040503050406030204" pitchFamily="18" charset="0"/>
                </a:rPr>
                <a:t>𝛼+0.0989</a:t>
              </a:r>
              <a:endParaRPr lang="en-US" sz="1100" b="0">
                <a:ea typeface="Cambria Math" panose="02040503050406030204" pitchFamily="18" charset="0"/>
              </a:endParaRPr>
            </a:p>
            <a:p xmlns:a="http://schemas.openxmlformats.org/drawingml/2006/main">
              <a:pPr/>
              <a:r>
                <a:rPr lang="en-US" sz="1100" b="0" i="0">
                  <a:latin typeface="Cambria Math" panose="02040503050406030204" pitchFamily="18" charset="0"/>
                </a:rPr>
                <a:t>𝑅^2=0.9918</a:t>
              </a:r>
              <a:endParaRPr lang="en-US" sz="1100"/>
            </a:p>
          </cdr:txBody>
        </cdr:sp>
      </mc:Fallback>
    </mc:AlternateContent>
  </cdr:relSizeAnchor>
</c:userShapes>
</file>

<file path=xl/drawings/drawing19.xml><?xml version="1.0" encoding="utf-8"?>
<c:userShapes xmlns:c="http://schemas.openxmlformats.org/drawingml/2006/chart">
  <cdr:relSizeAnchor xmlns:cdr="http://schemas.openxmlformats.org/drawingml/2006/chartDrawing">
    <cdr:from>
      <cdr:x>0.19724</cdr:x>
      <cdr:y>0.10958</cdr:y>
    </cdr:from>
    <cdr:to>
      <cdr:x>0.49151</cdr:x>
      <cdr:y>0.30623</cdr:y>
    </cdr:to>
    <cdr:grpSp>
      <cdr:nvGrpSpPr>
        <cdr:cNvPr id="7" name="Group 6">
          <a:extLst xmlns:a="http://schemas.openxmlformats.org/drawingml/2006/main">
            <a:ext uri="{FF2B5EF4-FFF2-40B4-BE49-F238E27FC236}">
              <a16:creationId xmlns:a16="http://schemas.microsoft.com/office/drawing/2014/main" id="{94930752-9B2D-E07B-EDC1-37A19CD95120}"/>
            </a:ext>
          </a:extLst>
        </cdr:cNvPr>
        <cdr:cNvGrpSpPr/>
      </cdr:nvGrpSpPr>
      <cdr:grpSpPr>
        <a:xfrm xmlns:a="http://schemas.openxmlformats.org/drawingml/2006/main">
          <a:off x="1288594" y="602507"/>
          <a:ext cx="1922503" cy="1081247"/>
          <a:chOff x="2221521" y="3409126"/>
          <a:chExt cx="1888490" cy="1040811"/>
        </a:xfrm>
      </cdr:grpSpPr>
      <cdr:sp macro="" textlink="">
        <cdr:nvSpPr>
          <cdr:cNvPr id="2" name="TextBox 1">
            <a:extLst xmlns:a="http://schemas.openxmlformats.org/drawingml/2006/main">
              <a:ext uri="{FF2B5EF4-FFF2-40B4-BE49-F238E27FC236}">
                <a16:creationId xmlns:a16="http://schemas.microsoft.com/office/drawing/2014/main" id="{D356D46C-1B42-1CCB-D1B2-E783B458F435}"/>
              </a:ext>
            </a:extLst>
          </cdr:cNvPr>
          <cdr:cNvSpPr txBox="1"/>
        </cdr:nvSpPr>
        <cdr:spPr>
          <a:xfrm xmlns:a="http://schemas.openxmlformats.org/drawingml/2006/main">
            <a:off x="2221521" y="3409126"/>
            <a:ext cx="1369993" cy="1040811"/>
          </a:xfrm>
          <a:prstGeom xmlns:a="http://schemas.openxmlformats.org/drawingml/2006/main" prst="rect">
            <a:avLst/>
          </a:prstGeom>
        </cdr:spPr>
        <cdr:txBody>
          <a:bodyPr xmlns:a="http://schemas.openxmlformats.org/drawingml/2006/main" vertOverflow="overflow" horzOverflow="overflow" wrap="square" rtlCol="0" anchor="t">
            <a:spAutoFit/>
          </a:bodyPr>
          <a:lstStyle xmlns:a="http://schemas.openxmlformats.org/drawingml/2006/main"/>
          <a:p xmlns:a="http://schemas.openxmlformats.org/drawingml/2006/main">
            <a:pPr algn="l"/>
            <a:r>
              <a:rPr lang="en-US" sz="1200" b="1" u="sng" baseline="0">
                <a:effectLst/>
                <a:latin typeface="+mn-lt"/>
                <a:ea typeface="+mn-ea"/>
                <a:cs typeface="+mn-cs"/>
              </a:rPr>
              <a:t>Equation</a:t>
            </a:r>
          </a:p>
          <a:p xmlns:a="http://schemas.openxmlformats.org/drawingml/2006/main">
            <a:pPr algn="l"/>
            <a:r>
              <a:rPr lang="en-US" sz="1200" baseline="0">
                <a:effectLst/>
                <a:latin typeface="+mn-lt"/>
                <a:ea typeface="+mn-ea"/>
                <a:cs typeface="+mn-cs"/>
              </a:rPr>
              <a:t>y = 0.0911x + 0.2149</a:t>
            </a:r>
            <a:endParaRPr lang="en-MY" sz="1200"/>
          </a:p>
          <a:p xmlns:a="http://schemas.openxmlformats.org/drawingml/2006/main">
            <a:pPr algn="l"/>
            <a:r>
              <a:rPr kumimoji="0" lang="en-US" sz="1200" b="0" i="0" u="none" strike="noStrike" kern="0" cap="none" spc="0" normalizeH="0" baseline="0" noProof="0">
                <a:ln>
                  <a:noFill/>
                </a:ln>
                <a:solidFill>
                  <a:srgbClr val="FF0000"/>
                </a:solidFill>
                <a:effectLst/>
                <a:uLnTx/>
                <a:uFillTx/>
              </a:rPr>
              <a:t>y = 0.0661x + 0.1270</a:t>
            </a:r>
          </a:p>
          <a:p xmlns:a="http://schemas.openxmlformats.org/drawingml/2006/main">
            <a:pPr algn="l"/>
            <a:r>
              <a:rPr lang="en-US" sz="1200" baseline="0">
                <a:solidFill>
                  <a:srgbClr val="0000FF"/>
                </a:solidFill>
                <a:effectLst/>
                <a:latin typeface="+mn-lt"/>
                <a:ea typeface="+mn-ea"/>
                <a:cs typeface="+mn-cs"/>
              </a:rPr>
              <a:t>y = 0.0764x + 0.1246</a:t>
            </a:r>
          </a:p>
          <a:p xmlns:a="http://schemas.openxmlformats.org/drawingml/2006/main">
            <a:pPr algn="l"/>
            <a:r>
              <a:rPr lang="en-US" sz="1200" baseline="0">
                <a:solidFill>
                  <a:srgbClr val="00C800"/>
                </a:solidFill>
                <a:effectLst/>
                <a:latin typeface="+mn-lt"/>
                <a:ea typeface="+mn-ea"/>
                <a:cs typeface="+mn-cs"/>
              </a:rPr>
              <a:t>y = 0.0762x + 0.0756</a:t>
            </a:r>
            <a:endParaRPr lang="en-MY" sz="1200">
              <a:solidFill>
                <a:srgbClr val="00C800"/>
              </a:solidFill>
            </a:endParaRPr>
          </a:p>
        </cdr:txBody>
      </cdr:sp>
      <cdr:sp macro="" textlink="">
        <cdr:nvSpPr>
          <cdr:cNvPr id="3" name="TextBox 1">
            <a:extLst xmlns:a="http://schemas.openxmlformats.org/drawingml/2006/main">
              <a:ext uri="{FF2B5EF4-FFF2-40B4-BE49-F238E27FC236}">
                <a16:creationId xmlns:a16="http://schemas.microsoft.com/office/drawing/2014/main" id="{BCDC2859-6D5B-E5E8-32D4-66AB400F42E8}"/>
              </a:ext>
            </a:extLst>
          </cdr:cNvPr>
          <cdr:cNvSpPr txBox="1"/>
        </cdr:nvSpPr>
        <cdr:spPr>
          <a:xfrm xmlns:a="http://schemas.openxmlformats.org/drawingml/2006/main">
            <a:off x="3512762" y="3412323"/>
            <a:ext cx="597249" cy="936466"/>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1" i="0" u="sng" baseline="0">
                <a:effectLst/>
                <a:latin typeface="+mn-lt"/>
                <a:ea typeface="+mn-ea"/>
                <a:cs typeface="+mn-cs"/>
              </a:rPr>
              <a:t>R</a:t>
            </a:r>
            <a:r>
              <a:rPr lang="en-US" sz="1200" b="1" i="0" u="sng" baseline="30000">
                <a:effectLst/>
                <a:latin typeface="+mn-lt"/>
                <a:ea typeface="+mn-ea"/>
                <a:cs typeface="+mn-cs"/>
              </a:rPr>
              <a:t>2</a:t>
            </a:r>
            <a:br>
              <a:rPr lang="en-US" sz="1200" b="0" i="0" baseline="0">
                <a:effectLst/>
                <a:latin typeface="+mn-lt"/>
                <a:ea typeface="+mn-ea"/>
                <a:cs typeface="+mn-cs"/>
              </a:rPr>
            </a:br>
            <a:r>
              <a:rPr lang="en-US" sz="1200" b="0" i="0" baseline="0">
                <a:effectLst/>
                <a:latin typeface="+mn-lt"/>
                <a:ea typeface="+mn-ea"/>
                <a:cs typeface="+mn-cs"/>
              </a:rPr>
              <a:t>0.9492</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rgbClr val="FF0000"/>
                </a:solidFill>
                <a:effectLst/>
                <a:latin typeface="+mn-lt"/>
                <a:ea typeface="+mn-ea"/>
                <a:cs typeface="+mn-cs"/>
              </a:rPr>
              <a:t>0.9999</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rgbClr val="0000FF"/>
                </a:solidFill>
                <a:effectLst/>
                <a:latin typeface="+mn-lt"/>
                <a:ea typeface="+mn-ea"/>
                <a:cs typeface="+mn-cs"/>
              </a:rPr>
              <a:t>1.0000</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rgbClr val="00C800"/>
                </a:solidFill>
                <a:effectLst/>
                <a:latin typeface="+mn-lt"/>
                <a:ea typeface="+mn-ea"/>
                <a:cs typeface="+mn-cs"/>
              </a:rPr>
              <a:t>0.9998</a:t>
            </a:r>
            <a:endParaRPr lang="en-MY" sz="1200">
              <a:solidFill>
                <a:srgbClr val="00C800"/>
              </a:solidFill>
              <a:effectLst/>
            </a:endParaRPr>
          </a:p>
          <a:p xmlns:a="http://schemas.openxmlformats.org/drawingml/2006/main">
            <a:pPr algn="l"/>
            <a:endParaRPr lang="en-MY" sz="1200"/>
          </a:p>
        </cdr:txBody>
      </cdr:sp>
    </cdr:grpSp>
  </cdr:relSizeAnchor>
  <cdr:relSizeAnchor xmlns:cdr="http://schemas.openxmlformats.org/drawingml/2006/chartDrawing">
    <cdr:from>
      <cdr:x>0.76409</cdr:x>
      <cdr:y>0.65829</cdr:y>
    </cdr:from>
    <cdr:to>
      <cdr:x>0.96156</cdr:x>
      <cdr:y>0.87659</cdr:y>
    </cdr:to>
    <cdr:grpSp>
      <cdr:nvGrpSpPr>
        <cdr:cNvPr id="8" name="Group 7">
          <a:extLst xmlns:a="http://schemas.openxmlformats.org/drawingml/2006/main">
            <a:ext uri="{FF2B5EF4-FFF2-40B4-BE49-F238E27FC236}">
              <a16:creationId xmlns:a16="http://schemas.microsoft.com/office/drawing/2014/main" id="{B0C4CD67-A2CA-7648-8055-8CA10BDC4EBD}"/>
            </a:ext>
          </a:extLst>
        </cdr:cNvPr>
        <cdr:cNvGrpSpPr/>
      </cdr:nvGrpSpPr>
      <cdr:grpSpPr>
        <a:xfrm xmlns:a="http://schemas.openxmlformats.org/drawingml/2006/main">
          <a:off x="4991897" y="3619497"/>
          <a:ext cx="1290097" cy="1200286"/>
          <a:chOff x="4134861" y="3312916"/>
          <a:chExt cx="1351817" cy="1156609"/>
        </a:xfrm>
      </cdr:grpSpPr>
      <cdr:sp macro="" textlink="">
        <cdr:nvSpPr>
          <cdr:cNvPr id="5" name="TextBox 1">
            <a:extLst xmlns:a="http://schemas.openxmlformats.org/drawingml/2006/main">
              <a:ext uri="{FF2B5EF4-FFF2-40B4-BE49-F238E27FC236}">
                <a16:creationId xmlns:a16="http://schemas.microsoft.com/office/drawing/2014/main" id="{80D5F38D-18CE-AC7B-F827-3F4C57D5AA04}"/>
              </a:ext>
            </a:extLst>
          </cdr:cNvPr>
          <cdr:cNvSpPr txBox="1"/>
        </cdr:nvSpPr>
        <cdr:spPr>
          <a:xfrm xmlns:a="http://schemas.openxmlformats.org/drawingml/2006/main">
            <a:off x="4134861" y="3312916"/>
            <a:ext cx="628895" cy="1151535"/>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1" i="0" u="sng" baseline="0">
                <a:effectLst/>
                <a:latin typeface="+mn-lt"/>
                <a:ea typeface="+mn-ea"/>
                <a:cs typeface="+mn-cs"/>
              </a:rPr>
              <a:t>a [deg</a:t>
            </a:r>
            <a:r>
              <a:rPr lang="en-US" sz="1400" b="1" i="0" u="sng" baseline="30000">
                <a:effectLst/>
                <a:latin typeface="+mn-lt"/>
                <a:ea typeface="+mn-ea"/>
                <a:cs typeface="+mn-cs"/>
              </a:rPr>
              <a:t>-1</a:t>
            </a:r>
            <a:r>
              <a:rPr lang="en-US" sz="1400" b="1" i="0" u="sng" baseline="0">
                <a:effectLst/>
                <a:latin typeface="+mn-lt"/>
                <a:ea typeface="+mn-ea"/>
                <a:cs typeface="+mn-cs"/>
              </a:rPr>
              <a:t>]</a:t>
            </a:r>
            <a:br>
              <a:rPr lang="en-US" sz="1400" b="0" i="0" baseline="0">
                <a:effectLst/>
                <a:latin typeface="+mn-lt"/>
                <a:ea typeface="+mn-ea"/>
                <a:cs typeface="+mn-cs"/>
              </a:rPr>
            </a:br>
            <a:r>
              <a:rPr lang="en-US" sz="1400" b="0" i="0" baseline="0">
                <a:effectLst/>
                <a:latin typeface="+mn-lt"/>
                <a:ea typeface="+mn-ea"/>
                <a:cs typeface="+mn-cs"/>
              </a:rPr>
              <a:t>0.0911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FF0000"/>
                </a:solidFill>
                <a:effectLst/>
                <a:latin typeface="+mn-lt"/>
                <a:ea typeface="+mn-ea"/>
                <a:cs typeface="+mn-cs"/>
              </a:rPr>
              <a:t>0.0661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0000FF"/>
                </a:solidFill>
                <a:effectLst/>
                <a:latin typeface="+mn-lt"/>
                <a:ea typeface="+mn-ea"/>
                <a:cs typeface="+mn-cs"/>
              </a:rPr>
              <a:t>0.0764</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00C800"/>
                </a:solidFill>
                <a:effectLst/>
                <a:latin typeface="+mn-lt"/>
                <a:ea typeface="+mn-ea"/>
                <a:cs typeface="+mn-cs"/>
              </a:rPr>
              <a:t>0.0762</a:t>
            </a:r>
            <a:endParaRPr lang="en-MY" sz="1400">
              <a:solidFill>
                <a:srgbClr val="00C800"/>
              </a:solidFill>
              <a:effectLst/>
            </a:endParaRPr>
          </a:p>
          <a:p xmlns:a="http://schemas.openxmlformats.org/drawingml/2006/main">
            <a:pPr algn="l"/>
            <a:endParaRPr lang="en-MY" sz="1400"/>
          </a:p>
        </cdr:txBody>
      </cdr:sp>
      <cdr:sp macro="" textlink="">
        <cdr:nvSpPr>
          <cdr:cNvPr id="6" name="TextBox 1">
            <a:extLst xmlns:a="http://schemas.openxmlformats.org/drawingml/2006/main">
              <a:ext uri="{FF2B5EF4-FFF2-40B4-BE49-F238E27FC236}">
                <a16:creationId xmlns:a16="http://schemas.microsoft.com/office/drawing/2014/main" id="{80D5F38D-18CE-AC7B-F827-3F4C57D5AA04}"/>
              </a:ext>
            </a:extLst>
          </cdr:cNvPr>
          <cdr:cNvSpPr txBox="1"/>
        </cdr:nvSpPr>
        <cdr:spPr>
          <a:xfrm xmlns:a="http://schemas.openxmlformats.org/drawingml/2006/main">
            <a:off x="4856765" y="3320982"/>
            <a:ext cx="629913" cy="1148543"/>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l-GR" sz="1400" b="1" i="0" u="sng" baseline="0">
                <a:effectLst/>
                <a:latin typeface="+mn-lt"/>
                <a:ea typeface="+mn-ea"/>
                <a:cs typeface="+mn-cs"/>
              </a:rPr>
              <a:t>α</a:t>
            </a:r>
            <a:r>
              <a:rPr lang="el-GR" sz="1400" b="1" i="0" u="sng" baseline="-25000">
                <a:effectLst/>
                <a:latin typeface="+mn-lt"/>
                <a:ea typeface="+mn-ea"/>
                <a:cs typeface="+mn-cs"/>
              </a:rPr>
              <a:t>0</a:t>
            </a:r>
            <a:r>
              <a:rPr lang="el-GR" sz="1400" b="1" i="0" u="sng" baseline="0">
                <a:effectLst/>
                <a:latin typeface="+mn-lt"/>
                <a:ea typeface="+mn-ea"/>
                <a:cs typeface="+mn-cs"/>
              </a:rPr>
              <a:t> [</a:t>
            </a:r>
            <a:r>
              <a:rPr lang="en-MY" sz="1400" b="1" i="0" u="sng" baseline="0">
                <a:effectLst/>
                <a:latin typeface="+mn-lt"/>
                <a:ea typeface="+mn-ea"/>
                <a:cs typeface="+mn-cs"/>
              </a:rPr>
              <a:t>deg]</a:t>
            </a:r>
            <a:br>
              <a:rPr lang="en-US" sz="1400" b="0" i="0" baseline="0">
                <a:effectLst/>
                <a:latin typeface="+mn-lt"/>
                <a:ea typeface="+mn-ea"/>
                <a:cs typeface="+mn-cs"/>
              </a:rPr>
            </a:br>
            <a:r>
              <a:rPr lang="en-US" sz="1400" b="0" i="0" baseline="0">
                <a:effectLst/>
                <a:latin typeface="+mn-lt"/>
                <a:ea typeface="+mn-ea"/>
                <a:cs typeface="+mn-cs"/>
              </a:rPr>
              <a:t>-2.359</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FF0000"/>
                </a:solidFill>
                <a:effectLst/>
                <a:latin typeface="+mn-lt"/>
                <a:ea typeface="+mn-ea"/>
                <a:cs typeface="+mn-cs"/>
              </a:rPr>
              <a:t>-1.921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0000FF"/>
                </a:solidFill>
                <a:effectLst/>
                <a:latin typeface="+mn-lt"/>
                <a:ea typeface="+mn-ea"/>
                <a:cs typeface="+mn-cs"/>
              </a:rPr>
              <a:t>-1.631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rgbClr val="00C800"/>
                </a:solidFill>
                <a:effectLst/>
                <a:latin typeface="+mn-lt"/>
                <a:ea typeface="+mn-ea"/>
                <a:cs typeface="+mn-cs"/>
              </a:rPr>
              <a:t>-0.992</a:t>
            </a:r>
            <a:endParaRPr lang="en-MY" sz="1400">
              <a:solidFill>
                <a:srgbClr val="00C800"/>
              </a:solidFill>
              <a:effectLst/>
            </a:endParaRPr>
          </a:p>
          <a:p xmlns:a="http://schemas.openxmlformats.org/drawingml/2006/main">
            <a:pPr algn="l"/>
            <a:endParaRPr lang="en-MY" sz="1400"/>
          </a:p>
        </cdr:txBody>
      </cdr:sp>
    </cdr:grpSp>
  </cdr:relSizeAnchor>
  <cdr:relSizeAnchor xmlns:cdr="http://schemas.openxmlformats.org/drawingml/2006/chartDrawing">
    <cdr:from>
      <cdr:x>0.73586</cdr:x>
      <cdr:y>0.02855</cdr:y>
    </cdr:from>
    <cdr:to>
      <cdr:x>0.90682</cdr:x>
      <cdr:y>0.09287</cdr:y>
    </cdr:to>
    <cdr:sp macro="" textlink="">
      <cdr:nvSpPr>
        <cdr:cNvPr id="9" name="TextBox 8">
          <a:extLst xmlns:a="http://schemas.openxmlformats.org/drawingml/2006/main">
            <a:ext uri="{FF2B5EF4-FFF2-40B4-BE49-F238E27FC236}">
              <a16:creationId xmlns:a16="http://schemas.microsoft.com/office/drawing/2014/main" id="{C0FC2CE3-E607-6E07-7416-6A99576305DF}"/>
            </a:ext>
          </a:extLst>
        </cdr:cNvPr>
        <cdr:cNvSpPr txBox="1"/>
      </cdr:nvSpPr>
      <cdr:spPr>
        <a:xfrm xmlns:a="http://schemas.openxmlformats.org/drawingml/2006/main">
          <a:off x="5030663" y="148906"/>
          <a:ext cx="1168770" cy="3355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MY" sz="1400">
              <a:solidFill>
                <a:srgbClr val="00C800"/>
              </a:solidFill>
            </a:rPr>
            <a:t>C</a:t>
          </a:r>
          <a:r>
            <a:rPr lang="en-MY" sz="1400" baseline="-25000">
              <a:solidFill>
                <a:srgbClr val="00C800"/>
              </a:solidFill>
            </a:rPr>
            <a:t>L,</a:t>
          </a:r>
          <a:r>
            <a:rPr lang="en-MY" sz="1400" baseline="0">
              <a:solidFill>
                <a:srgbClr val="00C800"/>
              </a:solidFill>
            </a:rPr>
            <a:t> </a:t>
          </a:r>
          <a:r>
            <a:rPr lang="en-MY" sz="1400" cap="none" baseline="-25000">
              <a:solidFill>
                <a:srgbClr val="00C800"/>
              </a:solidFill>
            </a:rPr>
            <a:t>max</a:t>
          </a:r>
          <a:r>
            <a:rPr lang="en-MY" sz="1400" cap="none" baseline="0">
              <a:solidFill>
                <a:srgbClr val="00C800"/>
              </a:solidFill>
            </a:rPr>
            <a:t> = 0.9665</a:t>
          </a:r>
          <a:endParaRPr lang="en-MY" sz="1400" cap="none" baseline="-25000">
            <a:solidFill>
              <a:srgbClr val="00C800"/>
            </a:solidFil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0.58385</cdr:x>
      <cdr:y>0.69675</cdr:y>
    </cdr:from>
    <cdr:to>
      <cdr:x>0.91141</cdr:x>
      <cdr:y>0.91625</cdr:y>
    </cdr:to>
    <cdr:grpSp>
      <cdr:nvGrpSpPr>
        <cdr:cNvPr id="4" name="Group 3">
          <a:extLst xmlns:a="http://schemas.openxmlformats.org/drawingml/2006/main">
            <a:ext uri="{FF2B5EF4-FFF2-40B4-BE49-F238E27FC236}">
              <a16:creationId xmlns:a16="http://schemas.microsoft.com/office/drawing/2014/main" id="{63204A0C-67C9-920C-95A0-5C293D86D0F9}"/>
            </a:ext>
          </a:extLst>
        </cdr:cNvPr>
        <cdr:cNvGrpSpPr/>
      </cdr:nvGrpSpPr>
      <cdr:grpSpPr>
        <a:xfrm xmlns:a="http://schemas.openxmlformats.org/drawingml/2006/main">
          <a:off x="3295667" y="3555759"/>
          <a:ext cx="1848983" cy="1120185"/>
          <a:chOff x="3270572" y="1193532"/>
          <a:chExt cx="1891849" cy="1019125"/>
        </a:xfrm>
      </cdr:grpSpPr>
      <cdr:sp macro="" textlink="">
        <cdr:nvSpPr>
          <cdr:cNvPr id="2" name="TextBox 1">
            <a:extLst xmlns:a="http://schemas.openxmlformats.org/drawingml/2006/main">
              <a:ext uri="{FF2B5EF4-FFF2-40B4-BE49-F238E27FC236}">
                <a16:creationId xmlns:a16="http://schemas.microsoft.com/office/drawing/2014/main" id="{D356D46C-1B42-1CCB-D1B2-E783B458F435}"/>
              </a:ext>
            </a:extLst>
          </cdr:cNvPr>
          <cdr:cNvSpPr txBox="1"/>
        </cdr:nvSpPr>
        <cdr:spPr>
          <a:xfrm xmlns:a="http://schemas.openxmlformats.org/drawingml/2006/main">
            <a:off x="3270572" y="1194784"/>
            <a:ext cx="1306327" cy="913193"/>
          </a:xfrm>
          <a:prstGeom xmlns:a="http://schemas.openxmlformats.org/drawingml/2006/main" prst="rect">
            <a:avLst/>
          </a:prstGeom>
        </cdr:spPr>
        <cdr:txBody>
          <a:bodyPr xmlns:a="http://schemas.openxmlformats.org/drawingml/2006/main" vertOverflow="overflow" horzOverflow="overflow" wrap="none" rtlCol="0" anchor="t">
            <a:spAutoFit/>
          </a:bodyPr>
          <a:lstStyle xmlns:a="http://schemas.openxmlformats.org/drawingml/2006/main"/>
          <a:p xmlns:a="http://schemas.openxmlformats.org/drawingml/2006/main">
            <a:pPr algn="l"/>
            <a:r>
              <a:rPr lang="en-US" sz="1100" b="1" u="sng" baseline="0">
                <a:effectLst/>
                <a:latin typeface="+mn-lt"/>
                <a:ea typeface="+mn-ea"/>
                <a:cs typeface="+mn-cs"/>
              </a:rPr>
              <a:t>Equation</a:t>
            </a:r>
          </a:p>
          <a:p xmlns:a="http://schemas.openxmlformats.org/drawingml/2006/main">
            <a:pPr algn="l"/>
            <a:r>
              <a:rPr lang="en-US" sz="1100" baseline="0">
                <a:effectLst/>
                <a:latin typeface="+mn-lt"/>
                <a:ea typeface="+mn-ea"/>
                <a:cs typeface="+mn-cs"/>
              </a:rPr>
              <a:t>y = 0.0523x + 0.0111</a:t>
            </a:r>
            <a:endParaRPr lang="en-MY" sz="1100"/>
          </a:p>
          <a:p xmlns:a="http://schemas.openxmlformats.org/drawingml/2006/main">
            <a:pPr algn="l"/>
            <a:r>
              <a:rPr kumimoji="0" lang="en-US" sz="1100" b="0" i="0" u="none" strike="noStrike" kern="0" cap="none" spc="0" normalizeH="0" baseline="0" noProof="0">
                <a:ln>
                  <a:noFill/>
                </a:ln>
                <a:solidFill>
                  <a:srgbClr val="FF0000"/>
                </a:solidFill>
                <a:effectLst/>
                <a:uLnTx/>
                <a:uFillTx/>
              </a:rPr>
              <a:t>y = 0.0707x + 0.0197</a:t>
            </a:r>
          </a:p>
          <a:p xmlns:a="http://schemas.openxmlformats.org/drawingml/2006/main">
            <a:pPr algn="l"/>
            <a:r>
              <a:rPr lang="en-US" sz="1100" baseline="0">
                <a:solidFill>
                  <a:srgbClr val="0000FF"/>
                </a:solidFill>
                <a:effectLst/>
                <a:latin typeface="+mn-lt"/>
                <a:ea typeface="+mn-ea"/>
                <a:cs typeface="+mn-cs"/>
              </a:rPr>
              <a:t>y = 0.0743x + 0.0226</a:t>
            </a:r>
          </a:p>
          <a:p xmlns:a="http://schemas.openxmlformats.org/drawingml/2006/main">
            <a:pPr algn="l"/>
            <a:r>
              <a:rPr lang="en-US" sz="1100" baseline="0">
                <a:solidFill>
                  <a:srgbClr val="00C800"/>
                </a:solidFill>
                <a:effectLst/>
                <a:latin typeface="+mn-lt"/>
                <a:ea typeface="+mn-ea"/>
                <a:cs typeface="+mn-cs"/>
              </a:rPr>
              <a:t>y = 0.0774x + 0.0235</a:t>
            </a:r>
            <a:endParaRPr lang="en-MY" sz="1100">
              <a:solidFill>
                <a:srgbClr val="00C800"/>
              </a:solidFill>
            </a:endParaRPr>
          </a:p>
        </cdr:txBody>
      </cdr:sp>
      <cdr:sp macro="" textlink="">
        <cdr:nvSpPr>
          <cdr:cNvPr id="3" name="TextBox 1">
            <a:extLst xmlns:a="http://schemas.openxmlformats.org/drawingml/2006/main">
              <a:ext uri="{FF2B5EF4-FFF2-40B4-BE49-F238E27FC236}">
                <a16:creationId xmlns:a16="http://schemas.microsoft.com/office/drawing/2014/main" id="{BCDC2859-6D5B-E5E8-32D4-66AB400F42E8}"/>
              </a:ext>
            </a:extLst>
          </cdr:cNvPr>
          <cdr:cNvSpPr txBox="1"/>
        </cdr:nvSpPr>
        <cdr:spPr>
          <a:xfrm xmlns:a="http://schemas.openxmlformats.org/drawingml/2006/main">
            <a:off x="4585680" y="1193532"/>
            <a:ext cx="576741" cy="1019125"/>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u="sng" baseline="0">
                <a:effectLst/>
                <a:latin typeface="+mn-lt"/>
                <a:ea typeface="+mn-ea"/>
                <a:cs typeface="+mn-cs"/>
              </a:rPr>
              <a:t>R</a:t>
            </a:r>
            <a:r>
              <a:rPr lang="en-US" sz="1100" b="1" i="0" u="sng" baseline="30000">
                <a:effectLst/>
                <a:latin typeface="+mn-lt"/>
                <a:ea typeface="+mn-ea"/>
                <a:cs typeface="+mn-cs"/>
              </a:rPr>
              <a:t>2</a:t>
            </a:r>
            <a:br>
              <a:rPr lang="en-US" sz="1100" b="0" i="0" baseline="0">
                <a:effectLst/>
                <a:latin typeface="+mn-lt"/>
                <a:ea typeface="+mn-ea"/>
                <a:cs typeface="+mn-cs"/>
              </a:rPr>
            </a:br>
            <a:r>
              <a:rPr lang="en-US" sz="1100" b="0" i="0" baseline="0">
                <a:effectLst/>
                <a:latin typeface="+mn-lt"/>
                <a:ea typeface="+mn-ea"/>
                <a:cs typeface="+mn-cs"/>
              </a:rPr>
              <a:t>0.9921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0.9963</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00FF"/>
                </a:solidFill>
                <a:effectLst/>
                <a:latin typeface="+mn-lt"/>
                <a:ea typeface="+mn-ea"/>
                <a:cs typeface="+mn-cs"/>
              </a:rPr>
              <a:t>0.9967</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C800"/>
                </a:solidFill>
                <a:effectLst/>
                <a:latin typeface="+mn-lt"/>
                <a:ea typeface="+mn-ea"/>
                <a:cs typeface="+mn-cs"/>
              </a:rPr>
              <a:t>0.9902</a:t>
            </a:r>
            <a:endParaRPr lang="en-MY" sz="1100">
              <a:solidFill>
                <a:srgbClr val="00C800"/>
              </a:solidFill>
              <a:effectLst/>
            </a:endParaRPr>
          </a:p>
          <a:p xmlns:a="http://schemas.openxmlformats.org/drawingml/2006/main">
            <a:pPr algn="l"/>
            <a:endParaRPr lang="en-MY" sz="1100"/>
          </a:p>
        </cdr:txBody>
      </cdr:sp>
    </cdr:grpSp>
  </cdr:relSizeAnchor>
</c:userShapes>
</file>

<file path=xl/drawings/drawing3.xml><?xml version="1.0" encoding="utf-8"?>
<c:userShapes xmlns:c="http://schemas.openxmlformats.org/drawingml/2006/chart">
  <cdr:relSizeAnchor xmlns:cdr="http://schemas.openxmlformats.org/drawingml/2006/chartDrawing">
    <cdr:from>
      <cdr:x>0.14277</cdr:x>
      <cdr:y>0.64553</cdr:y>
    </cdr:from>
    <cdr:to>
      <cdr:x>0.50395</cdr:x>
      <cdr:y>0.84339</cdr:y>
    </cdr:to>
    <cdr:grpSp>
      <cdr:nvGrpSpPr>
        <cdr:cNvPr id="2" name="Group 1">
          <a:extLst xmlns:a="http://schemas.openxmlformats.org/drawingml/2006/main">
            <a:ext uri="{FF2B5EF4-FFF2-40B4-BE49-F238E27FC236}">
              <a16:creationId xmlns:a16="http://schemas.microsoft.com/office/drawing/2014/main" id="{FCC8097F-2CC5-B607-3F73-4C6588B84CA7}"/>
            </a:ext>
          </a:extLst>
        </cdr:cNvPr>
        <cdr:cNvGrpSpPr/>
      </cdr:nvGrpSpPr>
      <cdr:grpSpPr>
        <a:xfrm xmlns:a="http://schemas.openxmlformats.org/drawingml/2006/main">
          <a:off x="792691" y="3199754"/>
          <a:ext cx="2005354" cy="980750"/>
          <a:chOff x="0" y="0"/>
          <a:chExt cx="1369179" cy="1423084"/>
        </a:xfrm>
      </cdr:grpSpPr>
      <cdr:sp macro="" textlink="">
        <cdr:nvSpPr>
          <cdr:cNvPr id="3" name="TextBox 2">
            <a:extLst xmlns:a="http://schemas.openxmlformats.org/drawingml/2006/main">
              <a:ext uri="{FF2B5EF4-FFF2-40B4-BE49-F238E27FC236}">
                <a16:creationId xmlns:a16="http://schemas.microsoft.com/office/drawing/2014/main" id="{E956C89C-7DCF-9911-9DD8-EBD86145770C}"/>
              </a:ext>
            </a:extLst>
          </cdr:cNvPr>
          <cdr:cNvSpPr txBox="1"/>
        </cdr:nvSpPr>
        <cdr:spPr>
          <a:xfrm xmlns:a="http://schemas.openxmlformats.org/drawingml/2006/main">
            <a:off x="0" y="0"/>
            <a:ext cx="1035115" cy="1252369"/>
          </a:xfrm>
          <a:prstGeom xmlns:a="http://schemas.openxmlformats.org/drawingml/2006/main" prst="rect">
            <a:avLst/>
          </a:prstGeom>
        </cdr:spPr>
        <cdr:txBody>
          <a:bodyPr xmlns:a="http://schemas.openxmlformats.org/drawingml/2006/main" wrap="square" rtlCol="0" anchor="t">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200" b="1" u="sng" baseline="0">
                <a:effectLst/>
                <a:latin typeface="+mn-lt"/>
                <a:ea typeface="+mn-ea"/>
                <a:cs typeface="+mn-cs"/>
              </a:rPr>
              <a:t>Equation</a:t>
            </a:r>
          </a:p>
          <a:p xmlns:a="http://schemas.openxmlformats.org/drawingml/2006/main">
            <a:pPr algn="l"/>
            <a:r>
              <a:rPr kumimoji="0" lang="en-US" sz="1200" b="0" i="0" u="none" strike="noStrike" kern="0" cap="none" spc="0" normalizeH="0" baseline="0" noProof="0">
                <a:ln>
                  <a:noFill/>
                </a:ln>
                <a:solidFill>
                  <a:srgbClr val="0000FF"/>
                </a:solidFill>
                <a:effectLst/>
                <a:uLnTx/>
                <a:uFillTx/>
              </a:rPr>
              <a:t>y = -6.5108x + 1.6694</a:t>
            </a:r>
          </a:p>
          <a:p xmlns:a="http://schemas.openxmlformats.org/drawingml/2006/main">
            <a:pPr algn="l"/>
            <a:r>
              <a:rPr lang="en-US" sz="1200" baseline="0">
                <a:solidFill>
                  <a:schemeClr val="tx1"/>
                </a:solidFill>
                <a:effectLst/>
                <a:latin typeface="+mn-lt"/>
                <a:ea typeface="+mn-ea"/>
                <a:cs typeface="+mn-cs"/>
              </a:rPr>
              <a:t>y = -6.0276x + 1.4631</a:t>
            </a:r>
          </a:p>
          <a:p xmlns:a="http://schemas.openxmlformats.org/drawingml/2006/main">
            <a:pPr algn="l"/>
            <a:r>
              <a:rPr lang="en-US" sz="1200" baseline="0">
                <a:solidFill>
                  <a:srgbClr val="FF0000"/>
                </a:solidFill>
                <a:effectLst/>
                <a:latin typeface="+mn-lt"/>
                <a:ea typeface="+mn-ea"/>
                <a:cs typeface="+mn-cs"/>
              </a:rPr>
              <a:t>y = -8.0367x + 1.8137</a:t>
            </a:r>
          </a:p>
        </cdr:txBody>
      </cdr:sp>
      <cdr:sp macro="" textlink="">
        <cdr:nvSpPr>
          <cdr:cNvPr id="4" name="TextBox 1">
            <a:extLst xmlns:a="http://schemas.openxmlformats.org/drawingml/2006/main">
              <a:ext uri="{FF2B5EF4-FFF2-40B4-BE49-F238E27FC236}">
                <a16:creationId xmlns:a16="http://schemas.microsoft.com/office/drawing/2014/main" id="{14AAE17C-0D65-3E46-2C38-F90BF941E811}"/>
              </a:ext>
            </a:extLst>
          </cdr:cNvPr>
          <cdr:cNvSpPr txBox="1"/>
        </cdr:nvSpPr>
        <cdr:spPr>
          <a:xfrm xmlns:a="http://schemas.openxmlformats.org/drawingml/2006/main">
            <a:off x="917920" y="3186"/>
            <a:ext cx="451259" cy="1419898"/>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1" i="0" u="sng" baseline="0">
                <a:effectLst/>
                <a:latin typeface="+mn-lt"/>
                <a:ea typeface="+mn-ea"/>
                <a:cs typeface="+mn-cs"/>
              </a:rPr>
              <a:t>R</a:t>
            </a:r>
            <a:r>
              <a:rPr lang="en-US" sz="1200" b="1" i="0" u="sng" baseline="30000">
                <a:effectLst/>
                <a:latin typeface="+mn-lt"/>
                <a:ea typeface="+mn-ea"/>
                <a:cs typeface="+mn-cs"/>
              </a:rPr>
              <a:t>2</a:t>
            </a:r>
            <a:endParaRPr lang="en-US" sz="1200" b="0" i="0" baseline="0">
              <a:effectLst/>
              <a:latin typeface="+mn-lt"/>
              <a:ea typeface="+mn-ea"/>
              <a:cs typeface="+mn-cs"/>
            </a:endParaRP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rgbClr val="0000FF"/>
                </a:solidFill>
                <a:effectLst/>
                <a:latin typeface="+mn-lt"/>
                <a:ea typeface="+mn-ea"/>
                <a:cs typeface="+mn-cs"/>
              </a:rPr>
              <a:t>0.9898</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chemeClr val="tx1"/>
                </a:solidFill>
                <a:effectLst/>
                <a:latin typeface="+mn-lt"/>
                <a:ea typeface="+mn-ea"/>
                <a:cs typeface="+mn-cs"/>
              </a:rPr>
              <a:t>0.9956</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rgbClr val="FF0000"/>
                </a:solidFill>
                <a:effectLst/>
                <a:latin typeface="+mn-lt"/>
                <a:ea typeface="+mn-ea"/>
                <a:cs typeface="+mn-cs"/>
              </a:rPr>
              <a:t>0.9949</a:t>
            </a:r>
            <a:endParaRPr lang="en-MY" sz="1200">
              <a:solidFill>
                <a:srgbClr val="FF0000"/>
              </a:solidFill>
              <a:effectLst/>
            </a:endParaRPr>
          </a:p>
          <a:p xmlns:a="http://schemas.openxmlformats.org/drawingml/2006/main">
            <a:pPr algn="l"/>
            <a:endParaRPr lang="en-MY" sz="1200"/>
          </a:p>
        </cdr:txBody>
      </cdr:sp>
    </cdr:grpSp>
  </cdr:relSizeAnchor>
</c:userShapes>
</file>

<file path=xl/drawings/drawing4.xml><?xml version="1.0" encoding="utf-8"?>
<xdr:wsDr xmlns:xdr="http://schemas.openxmlformats.org/drawingml/2006/spreadsheetDrawing" xmlns:a="http://schemas.openxmlformats.org/drawingml/2006/main">
  <xdr:twoCellAnchor>
    <xdr:from>
      <xdr:col>35</xdr:col>
      <xdr:colOff>30189</xdr:colOff>
      <xdr:row>56</xdr:row>
      <xdr:rowOff>41676</xdr:rowOff>
    </xdr:from>
    <xdr:to>
      <xdr:col>39</xdr:col>
      <xdr:colOff>131379</xdr:colOff>
      <xdr:row>71</xdr:row>
      <xdr:rowOff>70827</xdr:rowOff>
    </xdr:to>
    <xdr:graphicFrame macro="">
      <xdr:nvGraphicFramePr>
        <xdr:cNvPr id="2" name="Chart 1">
          <a:extLst>
            <a:ext uri="{FF2B5EF4-FFF2-40B4-BE49-F238E27FC236}">
              <a16:creationId xmlns:a16="http://schemas.microsoft.com/office/drawing/2014/main" id="{64805E72-27E6-4843-927E-FE7D47D79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27016</xdr:colOff>
      <xdr:row>86</xdr:row>
      <xdr:rowOff>141542</xdr:rowOff>
    </xdr:from>
    <xdr:to>
      <xdr:col>39</xdr:col>
      <xdr:colOff>153277</xdr:colOff>
      <xdr:row>102</xdr:row>
      <xdr:rowOff>23202</xdr:rowOff>
    </xdr:to>
    <xdr:graphicFrame macro="">
      <xdr:nvGraphicFramePr>
        <xdr:cNvPr id="3" name="Chart 1">
          <a:extLst>
            <a:ext uri="{FF2B5EF4-FFF2-40B4-BE49-F238E27FC236}">
              <a16:creationId xmlns:a16="http://schemas.microsoft.com/office/drawing/2014/main" id="{77467B77-A0D7-40F4-9A7B-E8236C64E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50105</xdr:colOff>
      <xdr:row>71</xdr:row>
      <xdr:rowOff>140100</xdr:rowOff>
    </xdr:from>
    <xdr:to>
      <xdr:col>39</xdr:col>
      <xdr:colOff>131379</xdr:colOff>
      <xdr:row>86</xdr:row>
      <xdr:rowOff>86702</xdr:rowOff>
    </xdr:to>
    <xdr:graphicFrame macro="">
      <xdr:nvGraphicFramePr>
        <xdr:cNvPr id="4" name="Chart 1">
          <a:extLst>
            <a:ext uri="{FF2B5EF4-FFF2-40B4-BE49-F238E27FC236}">
              <a16:creationId xmlns:a16="http://schemas.microsoft.com/office/drawing/2014/main" id="{3D2DF55A-3A2C-4806-98E0-6136D7E6F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6703</xdr:colOff>
      <xdr:row>57</xdr:row>
      <xdr:rowOff>64912</xdr:rowOff>
    </xdr:from>
    <xdr:to>
      <xdr:col>8</xdr:col>
      <xdr:colOff>692855</xdr:colOff>
      <xdr:row>90</xdr:row>
      <xdr:rowOff>122062</xdr:rowOff>
    </xdr:to>
    <xdr:sp macro="" textlink="">
      <xdr:nvSpPr>
        <xdr:cNvPr id="5" name="Rectangle 1">
          <a:extLst>
            <a:ext uri="{FF2B5EF4-FFF2-40B4-BE49-F238E27FC236}">
              <a16:creationId xmlns:a16="http://schemas.microsoft.com/office/drawing/2014/main" id="{6183A5C3-4B3F-4237-81FA-1B1146E427D5}"/>
            </a:ext>
            <a:ext uri="{147F2762-F138-4A5C-976F-8EAC2B608ADB}">
              <a16:predDERef xmlns:a16="http://schemas.microsoft.com/office/drawing/2014/main" pred="{1C4D61B9-78DB-425C-A464-C60A9B02E064}"/>
            </a:ext>
          </a:extLst>
        </xdr:cNvPr>
        <xdr:cNvSpPr/>
      </xdr:nvSpPr>
      <xdr:spPr>
        <a:xfrm>
          <a:off x="752828" y="9986787"/>
          <a:ext cx="7306027" cy="5819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chemeClr val="lt1"/>
              </a:solidFill>
              <a:latin typeface="Aptos Narrow" panose="020B0004020202020204" pitchFamily="34" charset="0"/>
            </a:rPr>
            <a:t>Observations:</a:t>
          </a:r>
        </a:p>
        <a:p>
          <a:pPr marL="0" indent="0" algn="l"/>
          <a:endParaRPr lang="en-US" sz="1100" b="0" i="0" u="none" strike="noStrike">
            <a:solidFill>
              <a:schemeClr val="lt1"/>
            </a:solidFill>
            <a:latin typeface="+mn-lt"/>
            <a:ea typeface="+mn-lt"/>
            <a:cs typeface="+mn-lt"/>
          </a:endParaRPr>
        </a:p>
        <a:p>
          <a:pPr marL="0" indent="0" algn="l"/>
          <a:r>
            <a:rPr lang="en-US" sz="1100">
              <a:solidFill>
                <a:schemeClr val="lt1"/>
              </a:solidFill>
              <a:latin typeface="+mn-lt"/>
              <a:ea typeface="+mn-lt"/>
              <a:cs typeface="+mn-lt"/>
            </a:rPr>
            <a:t>Tail-off:</a:t>
          </a:r>
          <a:r>
            <a:rPr lang="en-US" sz="1100" baseline="0">
              <a:solidFill>
                <a:schemeClr val="lt1"/>
              </a:solidFill>
              <a:latin typeface="+mn-lt"/>
              <a:ea typeface="+mn-lt"/>
              <a:cs typeface="+mn-lt"/>
            </a:rPr>
            <a:t> </a:t>
          </a:r>
        </a:p>
        <a:p>
          <a:pPr marL="0" indent="0" algn="l"/>
          <a:r>
            <a:rPr lang="en-US" sz="1100">
              <a:solidFill>
                <a:schemeClr val="lt1"/>
              </a:solidFill>
              <a:latin typeface="+mn-lt"/>
              <a:ea typeface="+mn-lt"/>
              <a:cs typeface="+mn-lt"/>
            </a:rPr>
            <a:t>(Tail removed):</a:t>
          </a:r>
          <a:r>
            <a:rPr lang="en-US" sz="1100" baseline="0">
              <a:solidFill>
                <a:schemeClr val="lt1"/>
              </a:solidFill>
              <a:latin typeface="+mn-lt"/>
              <a:ea typeface="+mn-lt"/>
              <a:cs typeface="+mn-lt"/>
            </a:rPr>
            <a:t> forces changed, weight decreased</a:t>
          </a:r>
        </a:p>
        <a:p>
          <a:pPr marL="0" indent="0" algn="l"/>
          <a:r>
            <a:rPr lang="en-US" sz="1100" baseline="0">
              <a:solidFill>
                <a:schemeClr val="lt1"/>
              </a:solidFill>
              <a:latin typeface="+mn-lt"/>
              <a:ea typeface="+mn-lt"/>
              <a:cs typeface="+mn-lt"/>
            </a:rPr>
            <a:t>- Vortices at wing tip, very unstable string (closest to body)</a:t>
          </a:r>
        </a:p>
        <a:p>
          <a:pPr marL="0" indent="0" algn="l"/>
          <a:r>
            <a:rPr lang="en-US" sz="1100">
              <a:solidFill>
                <a:schemeClr val="lt1"/>
              </a:solidFill>
              <a:latin typeface="+mn-lt"/>
              <a:ea typeface="+mn-lt"/>
              <a:cs typeface="+mn-lt"/>
            </a:rPr>
            <a:t>- Theta = 0 : no more</a:t>
          </a:r>
          <a:r>
            <a:rPr lang="en-US" sz="1100" baseline="0">
              <a:solidFill>
                <a:schemeClr val="lt1"/>
              </a:solidFill>
              <a:latin typeface="+mn-lt"/>
              <a:ea typeface="+mn-lt"/>
              <a:cs typeface="+mn-lt"/>
            </a:rPr>
            <a:t> vortexat tip, very stable strings overall</a:t>
          </a:r>
        </a:p>
        <a:p>
          <a:pPr marL="0" indent="0" algn="l"/>
          <a:r>
            <a:rPr lang="en-US" sz="1100" baseline="0">
              <a:solidFill>
                <a:schemeClr val="lt1"/>
              </a:solidFill>
              <a:latin typeface="+mn-lt"/>
              <a:ea typeface="+mn-lt"/>
              <a:cs typeface="+mn-lt"/>
            </a:rPr>
            <a:t>- As Theta increases (until 11.2), vortex velocity increasing </a:t>
          </a:r>
        </a:p>
        <a:p>
          <a:pPr marL="0" indent="0" algn="l"/>
          <a:r>
            <a:rPr lang="en-US" sz="1100" baseline="0">
              <a:solidFill>
                <a:schemeClr val="lt1"/>
              </a:solidFill>
              <a:latin typeface="+mn-lt"/>
              <a:ea typeface="+mn-lt"/>
              <a:cs typeface="+mn-lt"/>
            </a:rPr>
            <a:t>- Separation occurs at aroun theta = 9.2 (adverse pressure gradient shows up as strings are pulled to the left)</a:t>
          </a:r>
        </a:p>
        <a:p>
          <a:pPr marL="0" indent="0" algn="l"/>
          <a:r>
            <a:rPr lang="en-US" sz="1100" baseline="0">
              <a:solidFill>
                <a:schemeClr val="lt1"/>
              </a:solidFill>
              <a:latin typeface="+mn-lt"/>
              <a:ea typeface="+mn-lt"/>
              <a:cs typeface="+mn-lt"/>
            </a:rPr>
            <a:t>- More separation at theta = 11.2 (happening earlier)</a:t>
          </a:r>
        </a:p>
        <a:p>
          <a:pPr marL="0" indent="0" algn="l"/>
          <a:r>
            <a:rPr lang="en-US" sz="1100" baseline="0">
              <a:solidFill>
                <a:schemeClr val="lt1"/>
              </a:solidFill>
              <a:latin typeface="+mn-lt"/>
              <a:ea typeface="+mn-lt"/>
              <a:cs typeface="+mn-lt"/>
            </a:rPr>
            <a:t>Tail-on(configuration 1):</a:t>
          </a:r>
        </a:p>
        <a:p>
          <a:pPr marL="0" indent="0" algn="l"/>
          <a:r>
            <a:rPr lang="en-US" sz="1100">
              <a:solidFill>
                <a:schemeClr val="lt1"/>
              </a:solidFill>
              <a:latin typeface="+mn-lt"/>
              <a:ea typeface="+mn-lt"/>
              <a:cs typeface="+mn-lt"/>
            </a:rPr>
            <a:t>- theta = 0 </a:t>
          </a:r>
        </a:p>
        <a:p>
          <a:pPr marL="0" indent="0" algn="l"/>
          <a:r>
            <a:rPr lang="en-US" sz="1100">
              <a:solidFill>
                <a:schemeClr val="lt1"/>
              </a:solidFill>
              <a:latin typeface="+mn-lt"/>
              <a:ea typeface="+mn-lt"/>
              <a:cs typeface="+mn-lt"/>
            </a:rPr>
            <a:t>- stable at tail</a:t>
          </a:r>
          <a:r>
            <a:rPr lang="en-US" sz="1100" baseline="0">
              <a:solidFill>
                <a:schemeClr val="lt1"/>
              </a:solidFill>
              <a:latin typeface="+mn-lt"/>
              <a:ea typeface="+mn-lt"/>
              <a:cs typeface="+mn-lt"/>
            </a:rPr>
            <a:t> tip (no vortices) </a:t>
          </a:r>
        </a:p>
        <a:p>
          <a:pPr marL="0" indent="0" algn="l"/>
          <a:r>
            <a:rPr lang="en-US" sz="1100">
              <a:solidFill>
                <a:schemeClr val="lt1"/>
              </a:solidFill>
              <a:latin typeface="+mn-lt"/>
              <a:ea typeface="+mn-lt"/>
              <a:cs typeface="+mn-lt"/>
            </a:rPr>
            <a:t>- rotation at midpoint of the tail</a:t>
          </a:r>
        </a:p>
        <a:p>
          <a:pPr marL="0" indent="0" algn="l"/>
          <a:r>
            <a:rPr lang="en-US" sz="1100">
              <a:solidFill>
                <a:schemeClr val="lt1"/>
              </a:solidFill>
              <a:latin typeface="+mn-lt"/>
              <a:ea typeface="+mn-lt"/>
              <a:cs typeface="+mn-lt"/>
            </a:rPr>
            <a:t>-</a:t>
          </a:r>
          <a:r>
            <a:rPr lang="en-US" sz="1100" baseline="0">
              <a:solidFill>
                <a:schemeClr val="lt1"/>
              </a:solidFill>
              <a:latin typeface="+mn-lt"/>
              <a:ea typeface="+mn-lt"/>
              <a:cs typeface="+mn-lt"/>
            </a:rPr>
            <a:t> theta = -2.8</a:t>
          </a:r>
        </a:p>
        <a:p>
          <a:pPr marL="0" indent="0" algn="l"/>
          <a:r>
            <a:rPr lang="en-US" sz="1100" baseline="0">
              <a:solidFill>
                <a:schemeClr val="lt1"/>
              </a:solidFill>
              <a:latin typeface="+mn-lt"/>
              <a:ea typeface="+mn-lt"/>
              <a:cs typeface="+mn-lt"/>
            </a:rPr>
            <a:t>- increases byincrements of 2</a:t>
          </a:r>
        </a:p>
        <a:p>
          <a:pPr marL="0" indent="0" algn="l"/>
          <a:r>
            <a:rPr lang="en-US" sz="1100" baseline="0">
              <a:solidFill>
                <a:schemeClr val="lt1"/>
              </a:solidFill>
              <a:latin typeface="+mn-lt"/>
              <a:ea typeface="+mn-lt"/>
              <a:cs typeface="+mn-lt"/>
            </a:rPr>
            <a:t>- Vortex velocity and intensity increase at wing and tail tip(rotating from lower tp upper surface)</a:t>
          </a:r>
        </a:p>
        <a:p>
          <a:pPr marL="0" indent="0" algn="l"/>
          <a:r>
            <a:rPr lang="en-US" sz="1100" baseline="0">
              <a:solidFill>
                <a:schemeClr val="lt1"/>
              </a:solidFill>
              <a:latin typeface="+mn-lt"/>
              <a:ea typeface="+mn-lt"/>
              <a:cs typeface="+mn-lt"/>
            </a:rPr>
            <a:t>- Vortex intensity and velocity are larger atwing tip than at tail tip </a:t>
          </a:r>
        </a:p>
        <a:p>
          <a:pPr marL="0" indent="0" algn="l"/>
          <a:r>
            <a:rPr lang="en-US" sz="1100">
              <a:solidFill>
                <a:schemeClr val="lt1"/>
              </a:solidFill>
              <a:latin typeface="+mn-lt"/>
              <a:ea typeface="+mn-lt"/>
              <a:cs typeface="+mn-lt"/>
            </a:rPr>
            <a:t>- separation is</a:t>
          </a:r>
          <a:r>
            <a:rPr lang="en-US" sz="1100" baseline="0">
              <a:solidFill>
                <a:schemeClr val="lt1"/>
              </a:solidFill>
              <a:latin typeface="+mn-lt"/>
              <a:ea typeface="+mn-lt"/>
              <a:cs typeface="+mn-lt"/>
            </a:rPr>
            <a:t> beginning t0o show up at theta approaching 7.2 degrees</a:t>
          </a:r>
        </a:p>
        <a:p>
          <a:pPr marL="0" indent="0" algn="l"/>
          <a:r>
            <a:rPr lang="en-US" sz="1100" baseline="0">
              <a:solidFill>
                <a:schemeClr val="lt1"/>
              </a:solidFill>
              <a:latin typeface="+mn-lt"/>
              <a:ea typeface="+mn-lt"/>
              <a:cs typeface="+mn-lt"/>
            </a:rPr>
            <a:t>- separation at theta = 9.2 (adverse pressure gradient)</a:t>
          </a:r>
        </a:p>
        <a:p>
          <a:pPr marL="0" indent="0" algn="l"/>
          <a:r>
            <a:rPr lang="en-US" sz="1100" baseline="0">
              <a:solidFill>
                <a:schemeClr val="lt1"/>
              </a:solidFill>
              <a:latin typeface="+mn-lt"/>
              <a:ea typeface="+mn-lt"/>
              <a:cs typeface="+mn-lt"/>
            </a:rPr>
            <a:t>-amplified at theta = 11.2(separation happening earlier, closer to leadingedge)</a:t>
          </a:r>
        </a:p>
        <a:p>
          <a:pPr marL="0" indent="0" algn="l"/>
          <a:r>
            <a:rPr lang="en-US" sz="1100">
              <a:solidFill>
                <a:schemeClr val="lt1"/>
              </a:solidFill>
              <a:latin typeface="+mn-lt"/>
              <a:ea typeface="+mn-lt"/>
              <a:cs typeface="+mn-lt"/>
            </a:rPr>
            <a:t>Tail-on configuration 2:</a:t>
          </a:r>
        </a:p>
        <a:p>
          <a:pPr marL="0" indent="0" algn="l"/>
          <a:r>
            <a:rPr lang="en-US" sz="1100">
              <a:solidFill>
                <a:schemeClr val="lt1"/>
              </a:solidFill>
              <a:latin typeface="+mn-lt"/>
              <a:ea typeface="+mn-lt"/>
              <a:cs typeface="+mn-lt"/>
            </a:rPr>
            <a:t>- Same trend:</a:t>
          </a:r>
        </a:p>
        <a:p>
          <a:pPr marL="0" indent="0" algn="l"/>
          <a:r>
            <a:rPr lang="en-US" sz="1100">
              <a:solidFill>
                <a:schemeClr val="lt1"/>
              </a:solidFill>
              <a:latin typeface="+mn-lt"/>
              <a:ea typeface="+mn-lt"/>
              <a:cs typeface="+mn-lt"/>
            </a:rPr>
            <a:t>-</a:t>
          </a:r>
          <a:r>
            <a:rPr lang="en-US" sz="1100" baseline="0">
              <a:solidFill>
                <a:schemeClr val="lt1"/>
              </a:solidFill>
              <a:latin typeface="+mn-lt"/>
              <a:ea typeface="+mn-lt"/>
              <a:cs typeface="+mn-lt"/>
            </a:rPr>
            <a:t> theta = -2.8</a:t>
          </a:r>
        </a:p>
        <a:p>
          <a:pPr marL="0" indent="0" algn="l"/>
          <a:r>
            <a:rPr lang="en-US" sz="1100">
              <a:solidFill>
                <a:schemeClr val="lt1"/>
              </a:solidFill>
              <a:latin typeface="+mn-lt"/>
              <a:ea typeface="+mn-lt"/>
              <a:cs typeface="+mn-lt"/>
            </a:rPr>
            <a:t>Vortices at wing tip and closest string to body very unstable</a:t>
          </a:r>
        </a:p>
        <a:p>
          <a:pPr marL="0" indent="0" algn="l"/>
          <a:r>
            <a:rPr lang="en-US" sz="1100">
              <a:solidFill>
                <a:schemeClr val="lt1"/>
              </a:solidFill>
              <a:latin typeface="+mn-lt"/>
              <a:ea typeface="+mn-lt"/>
              <a:cs typeface="+mn-lt"/>
            </a:rPr>
            <a:t>- at</a:t>
          </a:r>
          <a:r>
            <a:rPr lang="en-US" sz="1100" baseline="0">
              <a:solidFill>
                <a:schemeClr val="lt1"/>
              </a:solidFill>
              <a:latin typeface="+mn-lt"/>
              <a:ea typeface="+mn-lt"/>
              <a:cs typeface="+mn-lt"/>
            </a:rPr>
            <a:t> theta = -0.8, no vortices at all</a:t>
          </a:r>
        </a:p>
        <a:p>
          <a:pPr marL="0" indent="0" algn="l"/>
          <a:r>
            <a:rPr lang="en-US" sz="1100" baseline="0">
              <a:solidFill>
                <a:schemeClr val="lt1"/>
              </a:solidFill>
              <a:latin typeface="+mn-lt"/>
              <a:ea typeface="+mn-lt"/>
              <a:cs typeface="+mn-lt"/>
            </a:rPr>
            <a:t>- As theta increases, separation is happening closer and closer to leading edge and everything is more stable at the tail</a:t>
          </a:r>
        </a:p>
        <a:p>
          <a:pPr marL="0" indent="0" algn="l"/>
          <a:r>
            <a:rPr lang="en-US" sz="1100" baseline="0">
              <a:solidFill>
                <a:schemeClr val="lt1"/>
              </a:solidFill>
              <a:latin typeface="+mn-lt"/>
              <a:ea typeface="+mn-lt"/>
              <a:cs typeface="+mn-lt"/>
            </a:rPr>
            <a:t>- As theta grows over theta = 12.2</a:t>
          </a:r>
        </a:p>
        <a:p>
          <a:pPr marL="0" indent="0" algn="l"/>
          <a:r>
            <a:rPr lang="en-US" sz="1100">
              <a:solidFill>
                <a:schemeClr val="lt1"/>
              </a:solidFill>
              <a:latin typeface="+mn-lt"/>
              <a:ea typeface="+mn-lt"/>
              <a:cs typeface="+mn-lt"/>
            </a:rPr>
            <a:t>Tail jvortices less intense, stable strings along the tail</a:t>
          </a:r>
        </a:p>
        <a:p>
          <a:pPr marL="0" indent="0" algn="l"/>
          <a:r>
            <a:rPr lang="en-US" sz="1100">
              <a:solidFill>
                <a:schemeClr val="lt1"/>
              </a:solidFill>
              <a:latin typeface="+mn-lt"/>
              <a:ea typeface="+mn-lt"/>
              <a:cs typeface="+mn-lt"/>
            </a:rPr>
            <a:t>- theta = 14.2</a:t>
          </a:r>
        </a:p>
        <a:p>
          <a:pPr marL="0" indent="0" algn="l"/>
          <a:r>
            <a:rPr lang="en-US" sz="1100">
              <a:solidFill>
                <a:schemeClr val="lt1"/>
              </a:solidFill>
              <a:latin typeface="+mn-lt"/>
              <a:ea typeface="+mn-lt"/>
              <a:cs typeface="+mn-lt"/>
            </a:rPr>
            <a:t>most of the wing is stalling, non linear distribution</a:t>
          </a:r>
          <a:r>
            <a:rPr lang="en-US" sz="1100" baseline="0">
              <a:solidFill>
                <a:schemeClr val="lt1"/>
              </a:solidFill>
              <a:latin typeface="+mn-lt"/>
              <a:ea typeface="+mn-lt"/>
              <a:cs typeface="+mn-lt"/>
            </a:rPr>
            <a:t> of adverse pressure gradient</a:t>
          </a:r>
        </a:p>
        <a:p>
          <a:pPr marL="0" indent="0" algn="l"/>
          <a:r>
            <a:rPr lang="en-US" sz="1100">
              <a:solidFill>
                <a:schemeClr val="lt1"/>
              </a:solidFill>
              <a:latin typeface="+mn-lt"/>
              <a:ea typeface="+mn-lt"/>
              <a:cs typeface="+mn-lt"/>
            </a:rPr>
            <a:t>Theta = 17.2, separation almost</a:t>
          </a:r>
          <a:r>
            <a:rPr lang="en-US" sz="1100" baseline="0">
              <a:solidFill>
                <a:schemeClr val="lt1"/>
              </a:solidFill>
              <a:latin typeface="+mn-lt"/>
              <a:ea typeface="+mn-lt"/>
              <a:cs typeface="+mn-lt"/>
            </a:rPr>
            <a:t> at leading edge , tail is less stable overall, all of the strings are unstable (separation).</a:t>
          </a:r>
          <a:endParaRPr lang="en-US" sz="1100">
            <a:solidFill>
              <a:schemeClr val="lt1"/>
            </a:solidFill>
            <a:latin typeface="+mn-lt"/>
            <a:ea typeface="+mn-lt"/>
            <a:cs typeface="+mn-lt"/>
          </a:endParaRPr>
        </a:p>
      </xdr:txBody>
    </xdr:sp>
    <xdr:clientData/>
  </xdr:twoCellAnchor>
  <xdr:twoCellAnchor>
    <xdr:from>
      <xdr:col>10</xdr:col>
      <xdr:colOff>111126</xdr:colOff>
      <xdr:row>57</xdr:row>
      <xdr:rowOff>40569</xdr:rowOff>
    </xdr:from>
    <xdr:to>
      <xdr:col>20</xdr:col>
      <xdr:colOff>387350</xdr:colOff>
      <xdr:row>105</xdr:row>
      <xdr:rowOff>166864</xdr:rowOff>
    </xdr:to>
    <xdr:sp macro="" textlink="">
      <xdr:nvSpPr>
        <xdr:cNvPr id="6" name="TextBox 647">
          <a:extLst>
            <a:ext uri="{FF2B5EF4-FFF2-40B4-BE49-F238E27FC236}">
              <a16:creationId xmlns:a16="http://schemas.microsoft.com/office/drawing/2014/main" id="{A324AFB3-9693-43BD-9FC3-4E8C1ED2A38B}"/>
            </a:ext>
            <a:ext uri="{147F2762-F138-4A5C-976F-8EAC2B608ADB}">
              <a16:predDERef xmlns:a16="http://schemas.microsoft.com/office/drawing/2014/main" pred="{1C4D61B9-78DB-425C-A464-C60A9B02E064}"/>
            </a:ext>
          </a:extLst>
        </xdr:cNvPr>
        <xdr:cNvSpPr txBox="1"/>
      </xdr:nvSpPr>
      <xdr:spPr>
        <a:xfrm>
          <a:off x="8223251" y="9962444"/>
          <a:ext cx="6626224" cy="850829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1" u="sng" strike="noStrike">
              <a:solidFill>
                <a:srgbClr val="000000"/>
              </a:solidFill>
              <a:latin typeface="Aptos Narrow" panose="020B0004020202020204" pitchFamily="34" charset="0"/>
            </a:rPr>
            <a:t>More observations:</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endParaRPr lang="en-US" sz="1100" b="1" i="1" u="sng" strike="noStrike">
            <a:solidFill>
              <a:srgbClr val="000000"/>
            </a:solidFill>
            <a:latin typeface="Aptos Narrow" panose="020B0004020202020204" pitchFamily="34" charset="0"/>
          </a:endParaRPr>
        </a:p>
        <a:p>
          <a:pPr marL="0" indent="0" algn="l"/>
          <a:r>
            <a:rPr lang="en-US" sz="1100" b="1" i="1" u="sng" strike="noStrike">
              <a:solidFill>
                <a:srgbClr val="000000"/>
              </a:solidFill>
              <a:latin typeface="Aptos Narrow" panose="020B0004020202020204" pitchFamily="34" charset="0"/>
            </a:rPr>
            <a:t>Observations:</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taking pictures of the readings reduces error in our interpretation of it</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pitot static tube is behind the model so we're not getting an accurate value of velocity, but this is not quantifyable due to the body of the plane accelerating the flow, so they are higher velocity values. It isn't the effect of turbulence though. </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as angle of attack is increased, more lift is generated which means the pressure gradient is bigger, so the wingtip vortices are more powerful causing the most outer tell tale to rotate more quickly and with a greater radius. but the tell tale closest to the root is moving less (getting more stable). </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at a value of theta of 9.2 degrees, the tell tales had a lot more movement suggesting separation to the extent that two tell tales. the tell tales between the middle of the LHS wing and the root. </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triangular gap between the horizontal and vertical stabilisers at the tail disrupts the middle tell tale as stated above</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reduced intervals of increase around 10, 11, and 12 of the test to give better resolution (insight) into the most critical points that we needed to observe. </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the 3' by 3' wind tunnel we were using has a turbulence level of 0.05% </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at 13.2 degrees during the 3rd test, there was huge fluctuation of the results which suggests separation. </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at 15.2 degrees, complete separation, tell tales in the first row were moving erratically. even moving backwards due to the turbulence. </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crazy at 18.2 degrees.</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separation region moves from the middle of the wing towards the tip. </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 the swept wing splits the airflow into 2 components, the spanwise and also the sweptwise?? component. the second one will angle all tell tales towards the tip of the wing, they won't be directly parallel with it which is not easy to see from our side view.</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swept wing planform is largely the decider to the characteristics of the tell tales. would be completely different a rectangular wing or elliptical wing planform. </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at the wing tip the tell tale is conically shaped (like a cone). It was visible in 3D. shows the nature of wintip vortices. of course coincides with theory, CFD and our previous flow vis lab. this was also what we saw when we added the horizontal stabiliser (mini wing)</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the tell tale closest to the fuselage was moving erratically, because of intersection drag between the wing and fuselage and sting apparatus (sharp change in geometry between the wing and fuselage which the air doesn't like so the airflow separates from laminar to turbulent flow. this effect of intersection drag was also seen when we put the tail on. the middle tell tale was moving erratically and that's the airflow coming off the vertical stabiliser, detaching (there's a small triangular gap) and then attaching to the underside of the hoizontal stabiliser. </a:t>
          </a:r>
          <a:endParaRPr lang="en-US" sz="1100" b="0" i="0" u="none" strike="noStrike">
            <a:solidFill>
              <a:srgbClr val="000000"/>
            </a:solidFill>
            <a:latin typeface="+mn-lt"/>
            <a:ea typeface="+mn-lt"/>
            <a:cs typeface="+mn-lt"/>
          </a:endParaRPr>
        </a:p>
        <a:p>
          <a:pPr marL="0" indent="0" algn="l"/>
          <a:endParaRPr lang="en-US" sz="1100">
            <a:latin typeface="+mn-lt"/>
            <a:ea typeface="+mn-lt"/>
            <a:cs typeface="+mn-lt"/>
          </a:endParaRPr>
        </a:p>
      </xdr:txBody>
    </xdr:sp>
    <xdr:clientData/>
  </xdr:twoCellAnchor>
  <xdr:twoCellAnchor>
    <xdr:from>
      <xdr:col>43</xdr:col>
      <xdr:colOff>12246</xdr:colOff>
      <xdr:row>56</xdr:row>
      <xdr:rowOff>51636</xdr:rowOff>
    </xdr:from>
    <xdr:to>
      <xdr:col>46</xdr:col>
      <xdr:colOff>153275</xdr:colOff>
      <xdr:row>71</xdr:row>
      <xdr:rowOff>70827</xdr:rowOff>
    </xdr:to>
    <xdr:graphicFrame macro="">
      <xdr:nvGraphicFramePr>
        <xdr:cNvPr id="7" name="Chart 1">
          <a:extLst>
            <a:ext uri="{FF2B5EF4-FFF2-40B4-BE49-F238E27FC236}">
              <a16:creationId xmlns:a16="http://schemas.microsoft.com/office/drawing/2014/main" id="{48B05962-FDEF-431B-A38E-FCB9F8C03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31343</xdr:colOff>
      <xdr:row>86</xdr:row>
      <xdr:rowOff>168117</xdr:rowOff>
    </xdr:from>
    <xdr:to>
      <xdr:col>46</xdr:col>
      <xdr:colOff>197068</xdr:colOff>
      <xdr:row>102</xdr:row>
      <xdr:rowOff>70827</xdr:rowOff>
    </xdr:to>
    <xdr:graphicFrame macro="">
      <xdr:nvGraphicFramePr>
        <xdr:cNvPr id="8" name="Chart 1">
          <a:extLst>
            <a:ext uri="{FF2B5EF4-FFF2-40B4-BE49-F238E27FC236}">
              <a16:creationId xmlns:a16="http://schemas.microsoft.com/office/drawing/2014/main" id="{8A000068-2767-43A1-A96C-F19988B05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38558</xdr:colOff>
      <xdr:row>71</xdr:row>
      <xdr:rowOff>166674</xdr:rowOff>
    </xdr:from>
    <xdr:to>
      <xdr:col>46</xdr:col>
      <xdr:colOff>197068</xdr:colOff>
      <xdr:row>86</xdr:row>
      <xdr:rowOff>70826</xdr:rowOff>
    </xdr:to>
    <xdr:graphicFrame macro="">
      <xdr:nvGraphicFramePr>
        <xdr:cNvPr id="9" name="Chart 1">
          <a:extLst>
            <a:ext uri="{FF2B5EF4-FFF2-40B4-BE49-F238E27FC236}">
              <a16:creationId xmlns:a16="http://schemas.microsoft.com/office/drawing/2014/main" id="{44F33331-2C00-490E-B53D-5EAB39B7E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67</xdr:col>
      <xdr:colOff>66276</xdr:colOff>
      <xdr:row>91</xdr:row>
      <xdr:rowOff>79483</xdr:rowOff>
    </xdr:from>
    <xdr:to>
      <xdr:col>70</xdr:col>
      <xdr:colOff>346</xdr:colOff>
      <xdr:row>102</xdr:row>
      <xdr:rowOff>63363</xdr:rowOff>
    </xdr:to>
    <xdr:pic>
      <xdr:nvPicPr>
        <xdr:cNvPr id="11" name="Picture 10">
          <a:extLst>
            <a:ext uri="{FF2B5EF4-FFF2-40B4-BE49-F238E27FC236}">
              <a16:creationId xmlns:a16="http://schemas.microsoft.com/office/drawing/2014/main" id="{4AB77C57-B1E3-BC48-6238-738C718C3221}"/>
            </a:ext>
          </a:extLst>
        </xdr:cNvPr>
        <xdr:cNvPicPr>
          <a:picLocks noChangeAspect="1"/>
        </xdr:cNvPicPr>
      </xdr:nvPicPr>
      <xdr:blipFill>
        <a:blip xmlns:r="http://schemas.openxmlformats.org/officeDocument/2006/relationships" r:embed="rId7"/>
        <a:stretch>
          <a:fillRect/>
        </a:stretch>
      </xdr:blipFill>
      <xdr:spPr>
        <a:xfrm>
          <a:off x="37886129" y="14409005"/>
          <a:ext cx="2710514" cy="1935573"/>
        </a:xfrm>
        <a:prstGeom prst="rect">
          <a:avLst/>
        </a:prstGeom>
        <a:ln w="9525">
          <a:solidFill>
            <a:sysClr val="windowText" lastClr="000000"/>
          </a:solidFill>
        </a:ln>
      </xdr:spPr>
    </xdr:pic>
    <xdr:clientData/>
  </xdr:twoCellAnchor>
  <xdr:twoCellAnchor>
    <xdr:from>
      <xdr:col>67</xdr:col>
      <xdr:colOff>13053</xdr:colOff>
      <xdr:row>55</xdr:row>
      <xdr:rowOff>64580</xdr:rowOff>
    </xdr:from>
    <xdr:to>
      <xdr:col>72</xdr:col>
      <xdr:colOff>386522</xdr:colOff>
      <xdr:row>79</xdr:row>
      <xdr:rowOff>82825</xdr:rowOff>
    </xdr:to>
    <xdr:graphicFrame macro="">
      <xdr:nvGraphicFramePr>
        <xdr:cNvPr id="12" name="Chart 1">
          <a:extLst>
            <a:ext uri="{FF2B5EF4-FFF2-40B4-BE49-F238E27FC236}">
              <a16:creationId xmlns:a16="http://schemas.microsoft.com/office/drawing/2014/main" id="{3A4170F4-A57A-4D1B-ABD4-33FB09065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82</xdr:col>
      <xdr:colOff>21952</xdr:colOff>
      <xdr:row>55</xdr:row>
      <xdr:rowOff>26031</xdr:rowOff>
    </xdr:from>
    <xdr:to>
      <xdr:col>87</xdr:col>
      <xdr:colOff>2152804</xdr:colOff>
      <xdr:row>88</xdr:row>
      <xdr:rowOff>138358</xdr:rowOff>
    </xdr:to>
    <xdr:graphicFrame macro="">
      <xdr:nvGraphicFramePr>
        <xdr:cNvPr id="13" name="Chart 1">
          <a:extLst>
            <a:ext uri="{FF2B5EF4-FFF2-40B4-BE49-F238E27FC236}">
              <a16:creationId xmlns:a16="http://schemas.microsoft.com/office/drawing/2014/main" id="{4744CDF0-504D-44BE-9FFA-FFAA7577B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4</xdr:col>
      <xdr:colOff>418047</xdr:colOff>
      <xdr:row>2</xdr:row>
      <xdr:rowOff>51418</xdr:rowOff>
    </xdr:from>
    <xdr:ext cx="4305029" cy="843693"/>
    <xdr:sp macro="" textlink="">
      <xdr:nvSpPr>
        <xdr:cNvPr id="15" name="TextBox 14">
          <a:extLst>
            <a:ext uri="{FF2B5EF4-FFF2-40B4-BE49-F238E27FC236}">
              <a16:creationId xmlns:a16="http://schemas.microsoft.com/office/drawing/2014/main" id="{E2D82540-E0B6-82E4-22D0-12123337010D}"/>
            </a:ext>
          </a:extLst>
        </xdr:cNvPr>
        <xdr:cNvSpPr txBox="1"/>
      </xdr:nvSpPr>
      <xdr:spPr>
        <a:xfrm>
          <a:off x="4399669" y="394661"/>
          <a:ext cx="4305029" cy="84369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MY" sz="2400"/>
            <a:t>im assuming</a:t>
          </a:r>
          <a:r>
            <a:rPr lang="en-MY" sz="2400" baseline="0"/>
            <a:t> no uncertainties in any angles and provided values</a:t>
          </a:r>
          <a:endParaRPr lang="en-MY" sz="2400"/>
        </a:p>
      </xdr:txBody>
    </xdr:sp>
    <xdr:clientData/>
  </xdr:oneCellAnchor>
  <xdr:twoCellAnchor>
    <xdr:from>
      <xdr:col>72</xdr:col>
      <xdr:colOff>525771</xdr:colOff>
      <xdr:row>55</xdr:row>
      <xdr:rowOff>79798</xdr:rowOff>
    </xdr:from>
    <xdr:to>
      <xdr:col>77</xdr:col>
      <xdr:colOff>1284655</xdr:colOff>
      <xdr:row>79</xdr:row>
      <xdr:rowOff>98043</xdr:rowOff>
    </xdr:to>
    <xdr:graphicFrame macro="">
      <xdr:nvGraphicFramePr>
        <xdr:cNvPr id="16" name="Chart 1">
          <a:extLst>
            <a:ext uri="{FF2B5EF4-FFF2-40B4-BE49-F238E27FC236}">
              <a16:creationId xmlns:a16="http://schemas.microsoft.com/office/drawing/2014/main" id="{BC1086E3-4C50-4932-8A44-4F367D13B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89</xdr:col>
      <xdr:colOff>52377</xdr:colOff>
      <xdr:row>56</xdr:row>
      <xdr:rowOff>58084</xdr:rowOff>
    </xdr:from>
    <xdr:to>
      <xdr:col>101</xdr:col>
      <xdr:colOff>343190</xdr:colOff>
      <xdr:row>83</xdr:row>
      <xdr:rowOff>111052</xdr:rowOff>
    </xdr:to>
    <xdr:graphicFrame macro="">
      <xdr:nvGraphicFramePr>
        <xdr:cNvPr id="17" name="Chart 16">
          <a:extLst>
            <a:ext uri="{FF2B5EF4-FFF2-40B4-BE49-F238E27FC236}">
              <a16:creationId xmlns:a16="http://schemas.microsoft.com/office/drawing/2014/main" id="{5F327528-DCA5-4B3F-84DF-6CFA784C0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102</xdr:col>
      <xdr:colOff>51838</xdr:colOff>
      <xdr:row>56</xdr:row>
      <xdr:rowOff>64796</xdr:rowOff>
    </xdr:from>
    <xdr:to>
      <xdr:col>111</xdr:col>
      <xdr:colOff>342650</xdr:colOff>
      <xdr:row>83</xdr:row>
      <xdr:rowOff>109497</xdr:rowOff>
    </xdr:to>
    <xdr:graphicFrame macro="">
      <xdr:nvGraphicFramePr>
        <xdr:cNvPr id="18" name="Chart 17">
          <a:extLst>
            <a:ext uri="{FF2B5EF4-FFF2-40B4-BE49-F238E27FC236}">
              <a16:creationId xmlns:a16="http://schemas.microsoft.com/office/drawing/2014/main" id="{D8EAC04A-62E5-454C-BFF0-8DF2D37D4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89</xdr:col>
      <xdr:colOff>51837</xdr:colOff>
      <xdr:row>84</xdr:row>
      <xdr:rowOff>142551</xdr:rowOff>
    </xdr:from>
    <xdr:to>
      <xdr:col>101</xdr:col>
      <xdr:colOff>342649</xdr:colOff>
      <xdr:row>112</xdr:row>
      <xdr:rowOff>5824</xdr:rowOff>
    </xdr:to>
    <xdr:graphicFrame macro="">
      <xdr:nvGraphicFramePr>
        <xdr:cNvPr id="10" name="Chart 9">
          <a:extLst>
            <a:ext uri="{FF2B5EF4-FFF2-40B4-BE49-F238E27FC236}">
              <a16:creationId xmlns:a16="http://schemas.microsoft.com/office/drawing/2014/main" id="{AF42BDF5-75C0-4DBE-81A2-91A7FA8C4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465667</xdr:colOff>
      <xdr:row>76</xdr:row>
      <xdr:rowOff>16933</xdr:rowOff>
    </xdr:from>
    <xdr:to>
      <xdr:col>28</xdr:col>
      <xdr:colOff>211667</xdr:colOff>
      <xdr:row>90</xdr:row>
      <xdr:rowOff>152400</xdr:rowOff>
    </xdr:to>
    <xdr:graphicFrame macro="">
      <xdr:nvGraphicFramePr>
        <xdr:cNvPr id="14" name="Chart 13">
          <a:extLst>
            <a:ext uri="{FF2B5EF4-FFF2-40B4-BE49-F238E27FC236}">
              <a16:creationId xmlns:a16="http://schemas.microsoft.com/office/drawing/2014/main" id="{52990E49-3E4F-0482-D6BE-0A9CA817E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131062</xdr:colOff>
      <xdr:row>91</xdr:row>
      <xdr:rowOff>156167</xdr:rowOff>
    </xdr:from>
    <xdr:to>
      <xdr:col>27</xdr:col>
      <xdr:colOff>932045</xdr:colOff>
      <xdr:row>107</xdr:row>
      <xdr:rowOff>87796</xdr:rowOff>
    </xdr:to>
    <xdr:graphicFrame macro="">
      <xdr:nvGraphicFramePr>
        <xdr:cNvPr id="233" name="Chart 232">
          <a:extLst>
            <a:ext uri="{FF2B5EF4-FFF2-40B4-BE49-F238E27FC236}">
              <a16:creationId xmlns:a16="http://schemas.microsoft.com/office/drawing/2014/main" id="{3DC8FD29-9F87-3897-EA91-305649671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102</xdr:col>
      <xdr:colOff>0</xdr:colOff>
      <xdr:row>85</xdr:row>
      <xdr:rowOff>0</xdr:rowOff>
    </xdr:from>
    <xdr:to>
      <xdr:col>111</xdr:col>
      <xdr:colOff>434473</xdr:colOff>
      <xdr:row>112</xdr:row>
      <xdr:rowOff>33421</xdr:rowOff>
    </xdr:to>
    <xdr:graphicFrame macro="">
      <xdr:nvGraphicFramePr>
        <xdr:cNvPr id="20" name="Chart 20">
          <a:extLst>
            <a:ext uri="{FF2B5EF4-FFF2-40B4-BE49-F238E27FC236}">
              <a16:creationId xmlns:a16="http://schemas.microsoft.com/office/drawing/2014/main" id="{46A95385-B6A3-457B-BBDE-67287FC44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98</xdr:col>
      <xdr:colOff>449540</xdr:colOff>
      <xdr:row>24</xdr:row>
      <xdr:rowOff>48263</xdr:rowOff>
    </xdr:from>
    <xdr:to>
      <xdr:col>108</xdr:col>
      <xdr:colOff>343936</xdr:colOff>
      <xdr:row>51</xdr:row>
      <xdr:rowOff>35156</xdr:rowOff>
    </xdr:to>
    <xdr:graphicFrame macro="">
      <xdr:nvGraphicFramePr>
        <xdr:cNvPr id="19" name="Chart 21">
          <a:extLst>
            <a:ext uri="{FF2B5EF4-FFF2-40B4-BE49-F238E27FC236}">
              <a16:creationId xmlns:a16="http://schemas.microsoft.com/office/drawing/2014/main" id="{8A7B17ED-B5DF-4063-984B-D5810B7FC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116</xdr:col>
      <xdr:colOff>135128</xdr:colOff>
      <xdr:row>64</xdr:row>
      <xdr:rowOff>172632</xdr:rowOff>
    </xdr:from>
    <xdr:to>
      <xdr:col>123</xdr:col>
      <xdr:colOff>302617</xdr:colOff>
      <xdr:row>90</xdr:row>
      <xdr:rowOff>153790</xdr:rowOff>
    </xdr:to>
    <xdr:graphicFrame macro="">
      <xdr:nvGraphicFramePr>
        <xdr:cNvPr id="1050" name="Chart 1">
          <a:extLst>
            <a:ext uri="{FF2B5EF4-FFF2-40B4-BE49-F238E27FC236}">
              <a16:creationId xmlns:a16="http://schemas.microsoft.com/office/drawing/2014/main" id="{C6E99686-ACEC-4692-B6CE-9098EB517C96}"/>
            </a:ext>
            <a:ext uri="{147F2762-F138-4A5C-976F-8EAC2B608ADB}">
              <a16:predDERef xmlns:a16="http://schemas.microsoft.com/office/drawing/2014/main" pred="{8A7B17ED-B5DF-4063-984B-D5810B7FC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116</xdr:col>
      <xdr:colOff>0</xdr:colOff>
      <xdr:row>35</xdr:row>
      <xdr:rowOff>1</xdr:rowOff>
    </xdr:from>
    <xdr:to>
      <xdr:col>125</xdr:col>
      <xdr:colOff>447183</xdr:colOff>
      <xdr:row>63</xdr:row>
      <xdr:rowOff>109904</xdr:rowOff>
    </xdr:to>
    <xdr:graphicFrame macro="">
      <xdr:nvGraphicFramePr>
        <xdr:cNvPr id="691" name="Chart 20">
          <a:extLst>
            <a:ext uri="{FF2B5EF4-FFF2-40B4-BE49-F238E27FC236}">
              <a16:creationId xmlns:a16="http://schemas.microsoft.com/office/drawing/2014/main" id="{8ADE2C0A-51C6-4562-B21C-ECFA47BFE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610720</xdr:colOff>
      <xdr:row>50</xdr:row>
      <xdr:rowOff>158002</xdr:rowOff>
    </xdr:from>
    <xdr:to>
      <xdr:col>16</xdr:col>
      <xdr:colOff>151279</xdr:colOff>
      <xdr:row>66</xdr:row>
      <xdr:rowOff>10084</xdr:rowOff>
    </xdr:to>
    <xdr:graphicFrame macro="">
      <xdr:nvGraphicFramePr>
        <xdr:cNvPr id="24" name="Chart 23">
          <a:extLst>
            <a:ext uri="{FF2B5EF4-FFF2-40B4-BE49-F238E27FC236}">
              <a16:creationId xmlns:a16="http://schemas.microsoft.com/office/drawing/2014/main" id="{3DCFD259-1F3F-3057-DC9D-0E3C8FE46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324971</xdr:colOff>
      <xdr:row>66</xdr:row>
      <xdr:rowOff>100852</xdr:rowOff>
    </xdr:from>
    <xdr:to>
      <xdr:col>16</xdr:col>
      <xdr:colOff>560295</xdr:colOff>
      <xdr:row>81</xdr:row>
      <xdr:rowOff>154641</xdr:rowOff>
    </xdr:to>
    <xdr:graphicFrame macro="">
      <xdr:nvGraphicFramePr>
        <xdr:cNvPr id="25" name="Chart 24">
          <a:extLst>
            <a:ext uri="{FF2B5EF4-FFF2-40B4-BE49-F238E27FC236}">
              <a16:creationId xmlns:a16="http://schemas.microsoft.com/office/drawing/2014/main" id="{C9F735B7-D190-4D48-AFCA-A7C9CFE20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28</xdr:col>
      <xdr:colOff>717176</xdr:colOff>
      <xdr:row>58</xdr:row>
      <xdr:rowOff>10645</xdr:rowOff>
    </xdr:from>
    <xdr:to>
      <xdr:col>34</xdr:col>
      <xdr:colOff>12326</xdr:colOff>
      <xdr:row>73</xdr:row>
      <xdr:rowOff>66114</xdr:rowOff>
    </xdr:to>
    <xdr:graphicFrame macro="">
      <xdr:nvGraphicFramePr>
        <xdr:cNvPr id="21" name="Chart 25">
          <a:extLst>
            <a:ext uri="{FF2B5EF4-FFF2-40B4-BE49-F238E27FC236}">
              <a16:creationId xmlns:a16="http://schemas.microsoft.com/office/drawing/2014/main" id="{B6820250-25B0-4158-A16A-A040BE7D5C76}"/>
            </a:ext>
            <a:ext uri="{147F2762-F138-4A5C-976F-8EAC2B608ADB}">
              <a16:predDERef xmlns:a16="http://schemas.microsoft.com/office/drawing/2014/main" pred="{C9F735B7-D190-4D48-AFCA-A7C9CFE20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43</xdr:col>
      <xdr:colOff>112059</xdr:colOff>
      <xdr:row>68</xdr:row>
      <xdr:rowOff>135590</xdr:rowOff>
    </xdr:from>
    <xdr:to>
      <xdr:col>48</xdr:col>
      <xdr:colOff>56029</xdr:colOff>
      <xdr:row>84</xdr:row>
      <xdr:rowOff>10084</xdr:rowOff>
    </xdr:to>
    <xdr:graphicFrame macro="">
      <xdr:nvGraphicFramePr>
        <xdr:cNvPr id="28" name="Chart 27">
          <a:extLst>
            <a:ext uri="{FF2B5EF4-FFF2-40B4-BE49-F238E27FC236}">
              <a16:creationId xmlns:a16="http://schemas.microsoft.com/office/drawing/2014/main" id="{48702DBD-74FC-9E82-0AB2-07F8EA47E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53</xdr:col>
      <xdr:colOff>145677</xdr:colOff>
      <xdr:row>70</xdr:row>
      <xdr:rowOff>12325</xdr:rowOff>
    </xdr:from>
    <xdr:to>
      <xdr:col>59</xdr:col>
      <xdr:colOff>392206</xdr:colOff>
      <xdr:row>85</xdr:row>
      <xdr:rowOff>66113</xdr:rowOff>
    </xdr:to>
    <xdr:graphicFrame macro="">
      <xdr:nvGraphicFramePr>
        <xdr:cNvPr id="31" name="Chart 30">
          <a:extLst>
            <a:ext uri="{FF2B5EF4-FFF2-40B4-BE49-F238E27FC236}">
              <a16:creationId xmlns:a16="http://schemas.microsoft.com/office/drawing/2014/main" id="{7C68FE23-6B49-B6DD-AD18-D3C6AC605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528917</xdr:colOff>
      <xdr:row>66</xdr:row>
      <xdr:rowOff>161365</xdr:rowOff>
    </xdr:from>
    <xdr:to>
      <xdr:col>26</xdr:col>
      <xdr:colOff>369794</xdr:colOff>
      <xdr:row>82</xdr:row>
      <xdr:rowOff>35860</xdr:rowOff>
    </xdr:to>
    <xdr:graphicFrame macro="">
      <xdr:nvGraphicFramePr>
        <xdr:cNvPr id="22" name="Chart 21">
          <a:extLst>
            <a:ext uri="{FF2B5EF4-FFF2-40B4-BE49-F238E27FC236}">
              <a16:creationId xmlns:a16="http://schemas.microsoft.com/office/drawing/2014/main" id="{20FDB7C7-DDBC-4BA9-B6BC-C5976802E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0.45207</cdr:x>
      <cdr:y>0.45199</cdr:y>
    </cdr:from>
    <cdr:to>
      <cdr:x>0.87609</cdr:x>
      <cdr:y>0.67731</cdr:y>
    </cdr:to>
    <cdr:grpSp>
      <cdr:nvGrpSpPr>
        <cdr:cNvPr id="4" name="Group 3">
          <a:extLst xmlns:a="http://schemas.openxmlformats.org/drawingml/2006/main">
            <a:ext uri="{FF2B5EF4-FFF2-40B4-BE49-F238E27FC236}">
              <a16:creationId xmlns:a16="http://schemas.microsoft.com/office/drawing/2014/main" id="{63204A0C-67C9-920C-95A0-5C293D86D0F9}"/>
            </a:ext>
          </a:extLst>
        </cdr:cNvPr>
        <cdr:cNvGrpSpPr/>
      </cdr:nvGrpSpPr>
      <cdr:grpSpPr>
        <a:xfrm xmlns:a="http://schemas.openxmlformats.org/drawingml/2006/main">
          <a:off x="4462764" y="2211998"/>
          <a:ext cx="4185858" cy="1102696"/>
          <a:chOff x="2686915" y="1192264"/>
          <a:chExt cx="2449021" cy="1024510"/>
        </a:xfrm>
      </cdr:grpSpPr>
      <cdr:sp macro="" textlink="">
        <cdr:nvSpPr>
          <cdr:cNvPr id="2" name="TextBox 1">
            <a:extLst xmlns:a="http://schemas.openxmlformats.org/drawingml/2006/main">
              <a:ext uri="{FF2B5EF4-FFF2-40B4-BE49-F238E27FC236}">
                <a16:creationId xmlns:a16="http://schemas.microsoft.com/office/drawing/2014/main" id="{D356D46C-1B42-1CCB-D1B2-E783B458F435}"/>
              </a:ext>
            </a:extLst>
          </cdr:cNvPr>
          <cdr:cNvSpPr txBox="1"/>
        </cdr:nvSpPr>
        <cdr:spPr>
          <a:xfrm xmlns:a="http://schemas.openxmlformats.org/drawingml/2006/main">
            <a:off x="2686915" y="1194785"/>
            <a:ext cx="1925134" cy="971572"/>
          </a:xfrm>
          <a:prstGeom xmlns:a="http://schemas.openxmlformats.org/drawingml/2006/main" prst="rect">
            <a:avLst/>
          </a:prstGeom>
        </cdr:spPr>
        <cdr:txBody>
          <a:bodyPr xmlns:a="http://schemas.openxmlformats.org/drawingml/2006/main" vertOverflow="overflow" horzOverflow="overflow" wrap="none" rtlCol="0" anchor="t">
            <a:spAutoFit/>
          </a:bodyPr>
          <a:lstStyle xmlns:a="http://schemas.openxmlformats.org/drawingml/2006/main"/>
          <a:p xmlns:a="http://schemas.openxmlformats.org/drawingml/2006/main">
            <a:pPr algn="l"/>
            <a:r>
              <a:rPr lang="en-US" sz="1100" b="1" u="sng" baseline="0">
                <a:effectLst/>
                <a:latin typeface="+mn-lt"/>
                <a:ea typeface="+mn-ea"/>
                <a:cs typeface="+mn-cs"/>
              </a:rPr>
              <a:t>Equation</a:t>
            </a:r>
          </a:p>
          <a:p xmlns:a="http://schemas.openxmlformats.org/drawingml/2006/main">
            <a:pPr algn="l"/>
            <a:r>
              <a:rPr lang="en-US" sz="1100" baseline="0">
                <a:effectLst/>
                <a:latin typeface="+mn-lt"/>
                <a:ea typeface="+mn-ea"/>
                <a:cs typeface="+mn-cs"/>
              </a:rPr>
              <a:t>y = 0.0999x</a:t>
            </a:r>
            <a:r>
              <a:rPr lang="en-US" sz="1100" baseline="30000">
                <a:effectLst/>
                <a:latin typeface="+mn-lt"/>
                <a:ea typeface="+mn-ea"/>
                <a:cs typeface="+mn-cs"/>
              </a:rPr>
              <a:t>2</a:t>
            </a:r>
            <a:r>
              <a:rPr lang="en-US" sz="1100" baseline="0">
                <a:effectLst/>
                <a:latin typeface="+mn-lt"/>
                <a:ea typeface="+mn-ea"/>
                <a:cs typeface="+mn-cs"/>
              </a:rPr>
              <a:t> - 0.0461x + 0.0208</a:t>
            </a:r>
            <a:endParaRPr lang="en-MY" sz="1100"/>
          </a:p>
          <a:p xmlns:a="http://schemas.openxmlformats.org/drawingml/2006/main">
            <a:pPr algn="l"/>
            <a:r>
              <a:rPr kumimoji="0" lang="en-US" sz="1100" b="0" i="0" u="none" strike="noStrike" kern="0" cap="none" spc="0" normalizeH="0" baseline="0" noProof="0">
                <a:ln>
                  <a:noFill/>
                </a:ln>
                <a:solidFill>
                  <a:srgbClr val="FF0000"/>
                </a:solidFill>
                <a:effectLst/>
                <a:uLnTx/>
                <a:uFillTx/>
              </a:rPr>
              <a:t>y = 0.1463x</a:t>
            </a:r>
            <a:r>
              <a:rPr kumimoji="0" lang="en-US" sz="1100" b="0" i="0" u="none" strike="noStrike" kern="0" cap="none" spc="0" normalizeH="0" baseline="30000" noProof="0">
                <a:ln>
                  <a:noFill/>
                </a:ln>
                <a:solidFill>
                  <a:srgbClr val="FF0000"/>
                </a:solidFill>
                <a:effectLst/>
                <a:uLnTx/>
                <a:uFillTx/>
              </a:rPr>
              <a:t>2</a:t>
            </a:r>
            <a:r>
              <a:rPr kumimoji="0" lang="en-US" sz="1100" b="0" i="0" u="none" strike="noStrike" kern="0" cap="none" spc="0" normalizeH="0" baseline="0" noProof="0">
                <a:ln>
                  <a:noFill/>
                </a:ln>
                <a:solidFill>
                  <a:srgbClr val="FF0000"/>
                </a:solidFill>
                <a:effectLst/>
                <a:uLnTx/>
                <a:uFillTx/>
              </a:rPr>
              <a:t> - 0.047x + 0.0242</a:t>
            </a:r>
          </a:p>
          <a:p xmlns:a="http://schemas.openxmlformats.org/drawingml/2006/main">
            <a:pPr algn="l"/>
            <a:r>
              <a:rPr lang="en-US" sz="1100" baseline="0">
                <a:solidFill>
                  <a:srgbClr val="0000FF"/>
                </a:solidFill>
                <a:effectLst/>
                <a:latin typeface="+mn-lt"/>
                <a:ea typeface="+mn-ea"/>
                <a:cs typeface="+mn-cs"/>
              </a:rPr>
              <a:t>y = 0.1306x</a:t>
            </a:r>
            <a:r>
              <a:rPr lang="en-US" sz="1100" baseline="30000">
                <a:solidFill>
                  <a:srgbClr val="0000FF"/>
                </a:solidFill>
                <a:effectLst/>
                <a:latin typeface="+mn-lt"/>
                <a:ea typeface="+mn-ea"/>
                <a:cs typeface="+mn-cs"/>
              </a:rPr>
              <a:t>2</a:t>
            </a:r>
            <a:r>
              <a:rPr lang="en-US" sz="1100" baseline="0">
                <a:solidFill>
                  <a:srgbClr val="0000FF"/>
                </a:solidFill>
                <a:effectLst/>
                <a:latin typeface="+mn-lt"/>
                <a:ea typeface="+mn-ea"/>
                <a:cs typeface="+mn-cs"/>
              </a:rPr>
              <a:t> - 0.0422x + 0.028</a:t>
            </a:r>
          </a:p>
          <a:p xmlns:a="http://schemas.openxmlformats.org/drawingml/2006/main">
            <a:pPr algn="l"/>
            <a:r>
              <a:rPr lang="en-US" sz="1100" baseline="0">
                <a:solidFill>
                  <a:srgbClr val="00C800"/>
                </a:solidFill>
                <a:effectLst/>
                <a:latin typeface="+mn-lt"/>
                <a:ea typeface="+mn-ea"/>
                <a:cs typeface="+mn-cs"/>
              </a:rPr>
              <a:t>y = 0.1376x</a:t>
            </a:r>
            <a:r>
              <a:rPr lang="en-US" sz="1100" baseline="30000">
                <a:solidFill>
                  <a:srgbClr val="00C800"/>
                </a:solidFill>
                <a:effectLst/>
                <a:latin typeface="+mn-lt"/>
                <a:ea typeface="+mn-ea"/>
                <a:cs typeface="+mn-cs"/>
              </a:rPr>
              <a:t>2</a:t>
            </a:r>
            <a:r>
              <a:rPr lang="en-US" sz="1100" baseline="0">
                <a:solidFill>
                  <a:srgbClr val="00C800"/>
                </a:solidFill>
                <a:effectLst/>
                <a:latin typeface="+mn-lt"/>
                <a:ea typeface="+mn-ea"/>
                <a:cs typeface="+mn-cs"/>
              </a:rPr>
              <a:t> - 0.0446x + 0.0292</a:t>
            </a:r>
            <a:endParaRPr lang="en-MY" sz="1100">
              <a:solidFill>
                <a:srgbClr val="00C800"/>
              </a:solidFill>
            </a:endParaRPr>
          </a:p>
        </cdr:txBody>
      </cdr:sp>
      <cdr:sp macro="" textlink="">
        <cdr:nvSpPr>
          <cdr:cNvPr id="3" name="TextBox 1">
            <a:extLst xmlns:a="http://schemas.openxmlformats.org/drawingml/2006/main">
              <a:ext uri="{FF2B5EF4-FFF2-40B4-BE49-F238E27FC236}">
                <a16:creationId xmlns:a16="http://schemas.microsoft.com/office/drawing/2014/main" id="{BCDC2859-6D5B-E5E8-32D4-66AB400F42E8}"/>
              </a:ext>
            </a:extLst>
          </cdr:cNvPr>
          <cdr:cNvSpPr txBox="1"/>
        </cdr:nvSpPr>
        <cdr:spPr>
          <a:xfrm xmlns:a="http://schemas.openxmlformats.org/drawingml/2006/main">
            <a:off x="4559195" y="1192264"/>
            <a:ext cx="576741" cy="1024510"/>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u="sng" baseline="0">
                <a:effectLst/>
                <a:latin typeface="+mn-lt"/>
                <a:ea typeface="+mn-ea"/>
                <a:cs typeface="+mn-cs"/>
              </a:rPr>
              <a:t>R</a:t>
            </a:r>
            <a:r>
              <a:rPr lang="en-US" sz="1100" b="1" i="0" u="sng" baseline="30000">
                <a:effectLst/>
                <a:latin typeface="+mn-lt"/>
                <a:ea typeface="+mn-ea"/>
                <a:cs typeface="+mn-cs"/>
              </a:rPr>
              <a:t>2</a:t>
            </a:r>
            <a:br>
              <a:rPr lang="en-US" sz="1100" b="0" i="0" baseline="0">
                <a:effectLst/>
                <a:latin typeface="+mn-lt"/>
                <a:ea typeface="+mn-ea"/>
                <a:cs typeface="+mn-cs"/>
              </a:rPr>
            </a:br>
            <a:r>
              <a:rPr lang="en-US" sz="1100" b="0" i="0" baseline="0">
                <a:effectLst/>
                <a:latin typeface="+mn-lt"/>
                <a:ea typeface="+mn-ea"/>
                <a:cs typeface="+mn-cs"/>
              </a:rPr>
              <a:t>0.8721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0.9886</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00FF"/>
                </a:solidFill>
                <a:effectLst/>
                <a:latin typeface="+mn-lt"/>
                <a:ea typeface="+mn-ea"/>
                <a:cs typeface="+mn-cs"/>
              </a:rPr>
              <a:t>0.9900</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C800"/>
                </a:solidFill>
                <a:effectLst/>
                <a:latin typeface="+mn-lt"/>
                <a:ea typeface="+mn-ea"/>
                <a:cs typeface="+mn-cs"/>
              </a:rPr>
              <a:t>0.9928</a:t>
            </a:r>
            <a:endParaRPr lang="en-MY" sz="1100">
              <a:solidFill>
                <a:srgbClr val="00C800"/>
              </a:solidFill>
              <a:effectLst/>
            </a:endParaRPr>
          </a:p>
          <a:p xmlns:a="http://schemas.openxmlformats.org/drawingml/2006/main">
            <a:pPr algn="l"/>
            <a:endParaRPr lang="en-MY" sz="1100"/>
          </a:p>
        </cdr:txBody>
      </cdr:sp>
    </cdr:grpSp>
  </cdr:relSizeAnchor>
</c:userShapes>
</file>

<file path=xl/drawings/drawing6.xml><?xml version="1.0" encoding="utf-8"?>
<c:userShapes xmlns:c="http://schemas.openxmlformats.org/drawingml/2006/chart">
  <cdr:relSizeAnchor xmlns:cdr="http://schemas.openxmlformats.org/drawingml/2006/chartDrawing">
    <cdr:from>
      <cdr:x>0.13747</cdr:x>
      <cdr:y>0.41673</cdr:y>
    </cdr:from>
    <cdr:to>
      <cdr:x>0.56149</cdr:x>
      <cdr:y>0.63739</cdr:y>
    </cdr:to>
    <cdr:grpSp>
      <cdr:nvGrpSpPr>
        <cdr:cNvPr id="4" name="Group 3">
          <a:extLst xmlns:a="http://schemas.openxmlformats.org/drawingml/2006/main">
            <a:ext uri="{FF2B5EF4-FFF2-40B4-BE49-F238E27FC236}">
              <a16:creationId xmlns:a16="http://schemas.microsoft.com/office/drawing/2014/main" id="{63204A0C-67C9-920C-95A0-5C293D86D0F9}"/>
            </a:ext>
          </a:extLst>
        </cdr:cNvPr>
        <cdr:cNvGrpSpPr/>
      </cdr:nvGrpSpPr>
      <cdr:grpSpPr>
        <a:xfrm xmlns:a="http://schemas.openxmlformats.org/drawingml/2006/main">
          <a:off x="985828" y="2035994"/>
          <a:ext cx="3040743" cy="1078066"/>
          <a:chOff x="2686915" y="1192264"/>
          <a:chExt cx="2449021" cy="1024510"/>
        </a:xfrm>
      </cdr:grpSpPr>
      <cdr:sp macro="" textlink="">
        <cdr:nvSpPr>
          <cdr:cNvPr id="2" name="TextBox 1">
            <a:extLst xmlns:a="http://schemas.openxmlformats.org/drawingml/2006/main">
              <a:ext uri="{FF2B5EF4-FFF2-40B4-BE49-F238E27FC236}">
                <a16:creationId xmlns:a16="http://schemas.microsoft.com/office/drawing/2014/main" id="{D356D46C-1B42-1CCB-D1B2-E783B458F435}"/>
              </a:ext>
            </a:extLst>
          </cdr:cNvPr>
          <cdr:cNvSpPr txBox="1"/>
        </cdr:nvSpPr>
        <cdr:spPr>
          <a:xfrm xmlns:a="http://schemas.openxmlformats.org/drawingml/2006/main">
            <a:off x="2686915" y="1194785"/>
            <a:ext cx="1925134" cy="971572"/>
          </a:xfrm>
          <a:prstGeom xmlns:a="http://schemas.openxmlformats.org/drawingml/2006/main" prst="rect">
            <a:avLst/>
          </a:prstGeom>
        </cdr:spPr>
        <cdr:txBody>
          <a:bodyPr xmlns:a="http://schemas.openxmlformats.org/drawingml/2006/main" vertOverflow="overflow" horzOverflow="overflow" wrap="none" rtlCol="0" anchor="t">
            <a:spAutoFit/>
          </a:bodyPr>
          <a:lstStyle xmlns:a="http://schemas.openxmlformats.org/drawingml/2006/main"/>
          <a:p xmlns:a="http://schemas.openxmlformats.org/drawingml/2006/main">
            <a:pPr algn="l"/>
            <a:r>
              <a:rPr lang="en-US" sz="1100" b="1" u="sng" baseline="0">
                <a:effectLst/>
                <a:latin typeface="+mn-lt"/>
                <a:ea typeface="+mn-ea"/>
                <a:cs typeface="+mn-cs"/>
              </a:rPr>
              <a:t>Equation</a:t>
            </a:r>
          </a:p>
          <a:p xmlns:a="http://schemas.openxmlformats.org/drawingml/2006/main">
            <a:pPr algn="l"/>
            <a:r>
              <a:rPr lang="en-US" sz="1100" baseline="0">
                <a:effectLst/>
                <a:latin typeface="+mn-lt"/>
                <a:ea typeface="+mn-ea"/>
                <a:cs typeface="+mn-cs"/>
              </a:rPr>
              <a:t>y = 0.0999x</a:t>
            </a:r>
            <a:r>
              <a:rPr lang="en-US" sz="1100" baseline="30000">
                <a:effectLst/>
                <a:latin typeface="+mn-lt"/>
                <a:ea typeface="+mn-ea"/>
                <a:cs typeface="+mn-cs"/>
              </a:rPr>
              <a:t>2</a:t>
            </a:r>
            <a:r>
              <a:rPr lang="en-US" sz="1100" baseline="0">
                <a:effectLst/>
                <a:latin typeface="+mn-lt"/>
                <a:ea typeface="+mn-ea"/>
                <a:cs typeface="+mn-cs"/>
              </a:rPr>
              <a:t> - 0.0461x + 0.0208</a:t>
            </a:r>
            <a:endParaRPr lang="en-MY" sz="1100"/>
          </a:p>
          <a:p xmlns:a="http://schemas.openxmlformats.org/drawingml/2006/main">
            <a:pPr algn="l"/>
            <a:r>
              <a:rPr kumimoji="0" lang="en-US" sz="1100" b="0" i="0" u="none" strike="noStrike" kern="0" cap="none" spc="0" normalizeH="0" baseline="0" noProof="0">
                <a:ln>
                  <a:noFill/>
                </a:ln>
                <a:solidFill>
                  <a:srgbClr val="FF0000"/>
                </a:solidFill>
                <a:effectLst/>
                <a:uLnTx/>
                <a:uFillTx/>
              </a:rPr>
              <a:t>y = 0.1463x</a:t>
            </a:r>
            <a:r>
              <a:rPr kumimoji="0" lang="en-US" sz="1100" b="0" i="0" u="none" strike="noStrike" kern="0" cap="none" spc="0" normalizeH="0" baseline="30000" noProof="0">
                <a:ln>
                  <a:noFill/>
                </a:ln>
                <a:solidFill>
                  <a:srgbClr val="FF0000"/>
                </a:solidFill>
                <a:effectLst/>
                <a:uLnTx/>
                <a:uFillTx/>
              </a:rPr>
              <a:t>2</a:t>
            </a:r>
            <a:r>
              <a:rPr kumimoji="0" lang="en-US" sz="1100" b="0" i="0" u="none" strike="noStrike" kern="0" cap="none" spc="0" normalizeH="0" baseline="0" noProof="0">
                <a:ln>
                  <a:noFill/>
                </a:ln>
                <a:solidFill>
                  <a:srgbClr val="FF0000"/>
                </a:solidFill>
                <a:effectLst/>
                <a:uLnTx/>
                <a:uFillTx/>
              </a:rPr>
              <a:t> - 0.047x + 0.0242</a:t>
            </a:r>
          </a:p>
          <a:p xmlns:a="http://schemas.openxmlformats.org/drawingml/2006/main">
            <a:pPr algn="l"/>
            <a:r>
              <a:rPr lang="en-US" sz="1100" baseline="0">
                <a:solidFill>
                  <a:srgbClr val="0000FF"/>
                </a:solidFill>
                <a:effectLst/>
                <a:latin typeface="+mn-lt"/>
                <a:ea typeface="+mn-ea"/>
                <a:cs typeface="+mn-cs"/>
              </a:rPr>
              <a:t>y = 0.1306x</a:t>
            </a:r>
            <a:r>
              <a:rPr lang="en-US" sz="1100" baseline="30000">
                <a:solidFill>
                  <a:srgbClr val="0000FF"/>
                </a:solidFill>
                <a:effectLst/>
                <a:latin typeface="+mn-lt"/>
                <a:ea typeface="+mn-ea"/>
                <a:cs typeface="+mn-cs"/>
              </a:rPr>
              <a:t>2</a:t>
            </a:r>
            <a:r>
              <a:rPr lang="en-US" sz="1100" baseline="0">
                <a:solidFill>
                  <a:srgbClr val="0000FF"/>
                </a:solidFill>
                <a:effectLst/>
                <a:latin typeface="+mn-lt"/>
                <a:ea typeface="+mn-ea"/>
                <a:cs typeface="+mn-cs"/>
              </a:rPr>
              <a:t> - 0.0422x + 0.028</a:t>
            </a:r>
          </a:p>
          <a:p xmlns:a="http://schemas.openxmlformats.org/drawingml/2006/main">
            <a:pPr algn="l"/>
            <a:r>
              <a:rPr lang="en-US" sz="1100" baseline="0">
                <a:solidFill>
                  <a:srgbClr val="00C800"/>
                </a:solidFill>
                <a:effectLst/>
                <a:latin typeface="+mn-lt"/>
                <a:ea typeface="+mn-ea"/>
                <a:cs typeface="+mn-cs"/>
              </a:rPr>
              <a:t>y = 0.1376x</a:t>
            </a:r>
            <a:r>
              <a:rPr lang="en-US" sz="1100" baseline="30000">
                <a:solidFill>
                  <a:srgbClr val="00C800"/>
                </a:solidFill>
                <a:effectLst/>
                <a:latin typeface="+mn-lt"/>
                <a:ea typeface="+mn-ea"/>
                <a:cs typeface="+mn-cs"/>
              </a:rPr>
              <a:t>2</a:t>
            </a:r>
            <a:r>
              <a:rPr lang="en-US" sz="1100" baseline="0">
                <a:solidFill>
                  <a:srgbClr val="00C800"/>
                </a:solidFill>
                <a:effectLst/>
                <a:latin typeface="+mn-lt"/>
                <a:ea typeface="+mn-ea"/>
                <a:cs typeface="+mn-cs"/>
              </a:rPr>
              <a:t> - 0.0446x + 0.0292</a:t>
            </a:r>
            <a:endParaRPr lang="en-MY" sz="1100">
              <a:solidFill>
                <a:srgbClr val="00C800"/>
              </a:solidFill>
            </a:endParaRPr>
          </a:p>
        </cdr:txBody>
      </cdr:sp>
      <cdr:sp macro="" textlink="">
        <cdr:nvSpPr>
          <cdr:cNvPr id="3" name="TextBox 1">
            <a:extLst xmlns:a="http://schemas.openxmlformats.org/drawingml/2006/main">
              <a:ext uri="{FF2B5EF4-FFF2-40B4-BE49-F238E27FC236}">
                <a16:creationId xmlns:a16="http://schemas.microsoft.com/office/drawing/2014/main" id="{BCDC2859-6D5B-E5E8-32D4-66AB400F42E8}"/>
              </a:ext>
            </a:extLst>
          </cdr:cNvPr>
          <cdr:cNvSpPr txBox="1"/>
        </cdr:nvSpPr>
        <cdr:spPr>
          <a:xfrm xmlns:a="http://schemas.openxmlformats.org/drawingml/2006/main">
            <a:off x="4559195" y="1192264"/>
            <a:ext cx="576741" cy="1024510"/>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u="sng" baseline="0">
                <a:effectLst/>
                <a:latin typeface="+mn-lt"/>
                <a:ea typeface="+mn-ea"/>
                <a:cs typeface="+mn-cs"/>
              </a:rPr>
              <a:t>R</a:t>
            </a:r>
            <a:r>
              <a:rPr lang="en-US" sz="1100" b="1" i="0" u="sng" baseline="30000">
                <a:effectLst/>
                <a:latin typeface="+mn-lt"/>
                <a:ea typeface="+mn-ea"/>
                <a:cs typeface="+mn-cs"/>
              </a:rPr>
              <a:t>2</a:t>
            </a:r>
            <a:br>
              <a:rPr lang="en-US" sz="1100" b="0" i="0" baseline="0">
                <a:effectLst/>
                <a:latin typeface="+mn-lt"/>
                <a:ea typeface="+mn-ea"/>
                <a:cs typeface="+mn-cs"/>
              </a:rPr>
            </a:br>
            <a:r>
              <a:rPr lang="en-US" sz="1100" b="0" i="0" baseline="0">
                <a:effectLst/>
                <a:latin typeface="+mn-lt"/>
                <a:ea typeface="+mn-ea"/>
                <a:cs typeface="+mn-cs"/>
              </a:rPr>
              <a:t>0.8721</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0.9886</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00FF"/>
                </a:solidFill>
                <a:effectLst/>
                <a:latin typeface="+mn-lt"/>
                <a:ea typeface="+mn-ea"/>
                <a:cs typeface="+mn-cs"/>
              </a:rPr>
              <a:t>0.9900</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C800"/>
                </a:solidFill>
                <a:effectLst/>
                <a:latin typeface="+mn-lt"/>
                <a:ea typeface="+mn-ea"/>
                <a:cs typeface="+mn-cs"/>
              </a:rPr>
              <a:t>0.9928</a:t>
            </a:r>
            <a:endParaRPr lang="en-MY" sz="1100">
              <a:solidFill>
                <a:srgbClr val="00C800"/>
              </a:solidFill>
              <a:effectLst/>
            </a:endParaRPr>
          </a:p>
          <a:p xmlns:a="http://schemas.openxmlformats.org/drawingml/2006/main">
            <a:pPr algn="l"/>
            <a:endParaRPr lang="en-MY" sz="1100"/>
          </a:p>
        </cdr:txBody>
      </cdr:sp>
    </cdr:grpSp>
  </cdr:relSizeAnchor>
</c:userShapes>
</file>

<file path=xl/drawings/drawing7.xml><?xml version="1.0" encoding="utf-8"?>
<c:userShapes xmlns:c="http://schemas.openxmlformats.org/drawingml/2006/chart">
  <cdr:relSizeAnchor xmlns:cdr="http://schemas.openxmlformats.org/drawingml/2006/chartDrawing">
    <cdr:from>
      <cdr:x>0.6109</cdr:x>
      <cdr:y>0.81132</cdr:y>
    </cdr:from>
    <cdr:to>
      <cdr:x>0.96485</cdr:x>
      <cdr:y>1</cdr:y>
    </cdr:to>
    <cdr:grpSp>
      <cdr:nvGrpSpPr>
        <cdr:cNvPr id="4" name="Group 3">
          <a:extLst xmlns:a="http://schemas.openxmlformats.org/drawingml/2006/main">
            <a:ext uri="{FF2B5EF4-FFF2-40B4-BE49-F238E27FC236}">
              <a16:creationId xmlns:a16="http://schemas.microsoft.com/office/drawing/2014/main" id="{63204A0C-67C9-920C-95A0-5C293D86D0F9}"/>
            </a:ext>
          </a:extLst>
        </cdr:cNvPr>
        <cdr:cNvGrpSpPr/>
      </cdr:nvGrpSpPr>
      <cdr:grpSpPr>
        <a:xfrm xmlns:a="http://schemas.openxmlformats.org/drawingml/2006/main">
          <a:off x="6030708" y="3962088"/>
          <a:ext cx="3494138" cy="921420"/>
          <a:chOff x="3091618" y="1192264"/>
          <a:chExt cx="2044318" cy="1024510"/>
        </a:xfrm>
      </cdr:grpSpPr>
      <cdr:sp macro="" textlink="">
        <cdr:nvSpPr>
          <cdr:cNvPr id="2" name="TextBox 1">
            <a:extLst xmlns:a="http://schemas.openxmlformats.org/drawingml/2006/main">
              <a:ext uri="{FF2B5EF4-FFF2-40B4-BE49-F238E27FC236}">
                <a16:creationId xmlns:a16="http://schemas.microsoft.com/office/drawing/2014/main" id="{D356D46C-1B42-1CCB-D1B2-E783B458F435}"/>
              </a:ext>
            </a:extLst>
          </cdr:cNvPr>
          <cdr:cNvSpPr txBox="1"/>
        </cdr:nvSpPr>
        <cdr:spPr>
          <a:xfrm xmlns:a="http://schemas.openxmlformats.org/drawingml/2006/main">
            <a:off x="3091618" y="1194783"/>
            <a:ext cx="1488720" cy="910647"/>
          </a:xfrm>
          <a:prstGeom xmlns:a="http://schemas.openxmlformats.org/drawingml/2006/main" prst="rect">
            <a:avLst/>
          </a:prstGeom>
        </cdr:spPr>
        <cdr:txBody>
          <a:bodyPr xmlns:a="http://schemas.openxmlformats.org/drawingml/2006/main" vertOverflow="overflow" horzOverflow="overflow" wrap="none" rtlCol="0" anchor="t">
            <a:spAutoFit/>
          </a:bodyPr>
          <a:lstStyle xmlns:a="http://schemas.openxmlformats.org/drawingml/2006/main"/>
          <a:p xmlns:a="http://schemas.openxmlformats.org/drawingml/2006/main">
            <a:pPr algn="l"/>
            <a:r>
              <a:rPr lang="en-US" sz="1100" b="1" u="sng" baseline="0">
                <a:effectLst/>
                <a:latin typeface="+mn-lt"/>
                <a:ea typeface="+mn-ea"/>
                <a:cs typeface="+mn-cs"/>
              </a:rPr>
              <a:t>Equation</a:t>
            </a:r>
          </a:p>
          <a:p xmlns:a="http://schemas.openxmlformats.org/drawingml/2006/main">
            <a:pPr algn="l"/>
            <a:r>
              <a:rPr lang="en-US" sz="1100" baseline="0">
                <a:effectLst/>
                <a:latin typeface="+mn-lt"/>
                <a:ea typeface="+mn-ea"/>
                <a:cs typeface="+mn-cs"/>
              </a:rPr>
              <a:t>y = -79.241x</a:t>
            </a:r>
            <a:r>
              <a:rPr lang="en-US" sz="1100" baseline="30000">
                <a:effectLst/>
                <a:latin typeface="+mn-lt"/>
                <a:ea typeface="+mn-ea"/>
                <a:cs typeface="+mn-cs"/>
              </a:rPr>
              <a:t>2</a:t>
            </a:r>
            <a:r>
              <a:rPr lang="en-US" sz="1100" baseline="0">
                <a:effectLst/>
                <a:latin typeface="+mn-lt"/>
                <a:ea typeface="+mn-ea"/>
                <a:cs typeface="+mn-cs"/>
              </a:rPr>
              <a:t> + 82.648x</a:t>
            </a:r>
            <a:endParaRPr lang="en-MY" sz="1100"/>
          </a:p>
          <a:p xmlns:a="http://schemas.openxmlformats.org/drawingml/2006/main">
            <a:pPr algn="l"/>
            <a:r>
              <a:rPr kumimoji="0" lang="en-US" sz="1100" b="0" i="0" u="none" strike="noStrike" kern="0" cap="none" spc="0" normalizeH="0" baseline="0" noProof="0">
                <a:ln>
                  <a:noFill/>
                </a:ln>
                <a:solidFill>
                  <a:srgbClr val="FF0000"/>
                </a:solidFill>
                <a:effectLst/>
                <a:uLnTx/>
                <a:uFillTx/>
              </a:rPr>
              <a:t>y = -49.808x</a:t>
            </a:r>
            <a:r>
              <a:rPr kumimoji="0" lang="en-US" sz="1100" b="0" i="0" u="none" strike="noStrike" kern="0" cap="none" spc="0" normalizeH="0" baseline="30000" noProof="0">
                <a:ln>
                  <a:noFill/>
                </a:ln>
                <a:solidFill>
                  <a:srgbClr val="FF0000"/>
                </a:solidFill>
                <a:effectLst/>
                <a:uLnTx/>
                <a:uFillTx/>
              </a:rPr>
              <a:t>2</a:t>
            </a:r>
            <a:r>
              <a:rPr kumimoji="0" lang="en-US" sz="1100" b="0" i="0" u="none" strike="noStrike" kern="0" cap="none" spc="0" normalizeH="0" baseline="0" noProof="0">
                <a:ln>
                  <a:noFill/>
                </a:ln>
                <a:solidFill>
                  <a:srgbClr val="FF0000"/>
                </a:solidFill>
                <a:effectLst/>
                <a:uLnTx/>
                <a:uFillTx/>
              </a:rPr>
              <a:t> + 52.185x</a:t>
            </a:r>
          </a:p>
          <a:p xmlns:a="http://schemas.openxmlformats.org/drawingml/2006/main">
            <a:pPr algn="l"/>
            <a:r>
              <a:rPr lang="en-US" sz="1100" baseline="0">
                <a:solidFill>
                  <a:srgbClr val="0000FF"/>
                </a:solidFill>
                <a:effectLst/>
                <a:latin typeface="+mn-lt"/>
                <a:ea typeface="+mn-ea"/>
                <a:cs typeface="+mn-cs"/>
              </a:rPr>
              <a:t>y = -35.461x</a:t>
            </a:r>
            <a:r>
              <a:rPr lang="en-US" sz="1100" baseline="30000">
                <a:solidFill>
                  <a:srgbClr val="0000FF"/>
                </a:solidFill>
                <a:effectLst/>
                <a:latin typeface="+mn-lt"/>
                <a:ea typeface="+mn-ea"/>
                <a:cs typeface="+mn-cs"/>
              </a:rPr>
              <a:t>2</a:t>
            </a:r>
            <a:r>
              <a:rPr lang="en-US" sz="1100" baseline="0">
                <a:solidFill>
                  <a:srgbClr val="0000FF"/>
                </a:solidFill>
                <a:effectLst/>
                <a:latin typeface="+mn-lt"/>
                <a:ea typeface="+mn-ea"/>
                <a:cs typeface="+mn-cs"/>
              </a:rPr>
              <a:t> + 42.369x</a:t>
            </a:r>
          </a:p>
          <a:p xmlns:a="http://schemas.openxmlformats.org/drawingml/2006/main">
            <a:pPr algn="l"/>
            <a:r>
              <a:rPr lang="en-US" sz="1100" baseline="0">
                <a:solidFill>
                  <a:srgbClr val="00C800"/>
                </a:solidFill>
                <a:effectLst/>
                <a:latin typeface="+mn-lt"/>
                <a:ea typeface="+mn-ea"/>
                <a:cs typeface="+mn-cs"/>
              </a:rPr>
              <a:t>y = -33.470x</a:t>
            </a:r>
            <a:r>
              <a:rPr lang="en-US" sz="1100" baseline="30000">
                <a:solidFill>
                  <a:srgbClr val="00C800"/>
                </a:solidFill>
                <a:effectLst/>
                <a:latin typeface="+mn-lt"/>
                <a:ea typeface="+mn-ea"/>
                <a:cs typeface="+mn-cs"/>
              </a:rPr>
              <a:t>2</a:t>
            </a:r>
            <a:r>
              <a:rPr lang="en-US" sz="1100" baseline="0">
                <a:solidFill>
                  <a:srgbClr val="00C800"/>
                </a:solidFill>
                <a:effectLst/>
                <a:latin typeface="+mn-lt"/>
                <a:ea typeface="+mn-ea"/>
                <a:cs typeface="+mn-cs"/>
              </a:rPr>
              <a:t> + 40.139x</a:t>
            </a:r>
            <a:endParaRPr lang="en-MY" sz="1100">
              <a:solidFill>
                <a:srgbClr val="00C800"/>
              </a:solidFill>
            </a:endParaRPr>
          </a:p>
        </cdr:txBody>
      </cdr:sp>
      <cdr:sp macro="" textlink="">
        <cdr:nvSpPr>
          <cdr:cNvPr id="3" name="TextBox 1">
            <a:extLst xmlns:a="http://schemas.openxmlformats.org/drawingml/2006/main">
              <a:ext uri="{FF2B5EF4-FFF2-40B4-BE49-F238E27FC236}">
                <a16:creationId xmlns:a16="http://schemas.microsoft.com/office/drawing/2014/main" id="{BCDC2859-6D5B-E5E8-32D4-66AB400F42E8}"/>
              </a:ext>
            </a:extLst>
          </cdr:cNvPr>
          <cdr:cNvSpPr txBox="1"/>
        </cdr:nvSpPr>
        <cdr:spPr>
          <a:xfrm xmlns:a="http://schemas.openxmlformats.org/drawingml/2006/main">
            <a:off x="4559195" y="1192264"/>
            <a:ext cx="576741" cy="1024510"/>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u="sng" baseline="0">
                <a:effectLst/>
                <a:latin typeface="+mn-lt"/>
                <a:ea typeface="+mn-ea"/>
                <a:cs typeface="+mn-cs"/>
              </a:rPr>
              <a:t>R</a:t>
            </a:r>
            <a:r>
              <a:rPr lang="en-US" sz="1100" b="1" i="0" u="sng" baseline="30000">
                <a:effectLst/>
                <a:latin typeface="+mn-lt"/>
                <a:ea typeface="+mn-ea"/>
                <a:cs typeface="+mn-cs"/>
              </a:rPr>
              <a:t>2</a:t>
            </a:r>
            <a:br>
              <a:rPr lang="en-US" sz="1100" b="0" i="0" baseline="0">
                <a:effectLst/>
                <a:latin typeface="+mn-lt"/>
                <a:ea typeface="+mn-ea"/>
                <a:cs typeface="+mn-cs"/>
              </a:rPr>
            </a:br>
            <a:r>
              <a:rPr lang="en-US" sz="1100" b="0" i="0" baseline="0">
                <a:effectLst/>
                <a:latin typeface="+mn-lt"/>
                <a:ea typeface="+mn-ea"/>
                <a:cs typeface="+mn-cs"/>
              </a:rPr>
              <a:t>0.8928</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0.9927</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00FF"/>
                </a:solidFill>
                <a:effectLst/>
                <a:latin typeface="+mn-lt"/>
                <a:ea typeface="+mn-ea"/>
                <a:cs typeface="+mn-cs"/>
              </a:rPr>
              <a:t>0.9957</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C800"/>
                </a:solidFill>
                <a:effectLst/>
                <a:latin typeface="+mn-lt"/>
                <a:ea typeface="+mn-ea"/>
                <a:cs typeface="+mn-cs"/>
              </a:rPr>
              <a:t>0.9922</a:t>
            </a:r>
            <a:endParaRPr lang="en-MY" sz="1100">
              <a:solidFill>
                <a:srgbClr val="00C800"/>
              </a:solidFill>
              <a:effectLst/>
            </a:endParaRPr>
          </a:p>
          <a:p xmlns:a="http://schemas.openxmlformats.org/drawingml/2006/main">
            <a:pPr algn="l"/>
            <a:endParaRPr lang="en-MY" sz="1100"/>
          </a:p>
        </cdr:txBody>
      </cdr:sp>
    </cdr:grpSp>
  </cdr:relSizeAnchor>
</c:userShapes>
</file>

<file path=xl/drawings/drawing8.xml><?xml version="1.0" encoding="utf-8"?>
<c:userShapes xmlns:c="http://schemas.openxmlformats.org/drawingml/2006/chart">
  <cdr:relSizeAnchor xmlns:cdr="http://schemas.openxmlformats.org/drawingml/2006/chartDrawing">
    <cdr:from>
      <cdr:x>0.58385</cdr:x>
      <cdr:y>0.69675</cdr:y>
    </cdr:from>
    <cdr:to>
      <cdr:x>0.91141</cdr:x>
      <cdr:y>0.91625</cdr:y>
    </cdr:to>
    <cdr:grpSp>
      <cdr:nvGrpSpPr>
        <cdr:cNvPr id="4" name="Group 3">
          <a:extLst xmlns:a="http://schemas.openxmlformats.org/drawingml/2006/main">
            <a:ext uri="{FF2B5EF4-FFF2-40B4-BE49-F238E27FC236}">
              <a16:creationId xmlns:a16="http://schemas.microsoft.com/office/drawing/2014/main" id="{63204A0C-67C9-920C-95A0-5C293D86D0F9}"/>
            </a:ext>
          </a:extLst>
        </cdr:cNvPr>
        <cdr:cNvGrpSpPr/>
      </cdr:nvGrpSpPr>
      <cdr:grpSpPr>
        <a:xfrm xmlns:a="http://schemas.openxmlformats.org/drawingml/2006/main">
          <a:off x="4273599" y="3351039"/>
          <a:ext cx="2397637" cy="1055691"/>
          <a:chOff x="3270572" y="1193532"/>
          <a:chExt cx="1891849" cy="1019125"/>
        </a:xfrm>
      </cdr:grpSpPr>
      <cdr:sp macro="" textlink="">
        <cdr:nvSpPr>
          <cdr:cNvPr id="2" name="TextBox 1">
            <a:extLst xmlns:a="http://schemas.openxmlformats.org/drawingml/2006/main">
              <a:ext uri="{FF2B5EF4-FFF2-40B4-BE49-F238E27FC236}">
                <a16:creationId xmlns:a16="http://schemas.microsoft.com/office/drawing/2014/main" id="{D356D46C-1B42-1CCB-D1B2-E783B458F435}"/>
              </a:ext>
            </a:extLst>
          </cdr:cNvPr>
          <cdr:cNvSpPr txBox="1"/>
        </cdr:nvSpPr>
        <cdr:spPr>
          <a:xfrm xmlns:a="http://schemas.openxmlformats.org/drawingml/2006/main">
            <a:off x="3270572" y="1194784"/>
            <a:ext cx="1380412" cy="925712"/>
          </a:xfrm>
          <a:prstGeom xmlns:a="http://schemas.openxmlformats.org/drawingml/2006/main" prst="rect">
            <a:avLst/>
          </a:prstGeom>
        </cdr:spPr>
        <cdr:txBody>
          <a:bodyPr xmlns:a="http://schemas.openxmlformats.org/drawingml/2006/main" vertOverflow="overflow" horzOverflow="overflow" wrap="none" rtlCol="0" anchor="t">
            <a:spAutoFit/>
          </a:bodyPr>
          <a:lstStyle xmlns:a="http://schemas.openxmlformats.org/drawingml/2006/main"/>
          <a:p xmlns:a="http://schemas.openxmlformats.org/drawingml/2006/main">
            <a:pPr algn="l"/>
            <a:r>
              <a:rPr lang="en-US" sz="1100" b="1" u="sng" baseline="0">
                <a:effectLst/>
                <a:latin typeface="+mn-lt"/>
                <a:ea typeface="+mn-ea"/>
                <a:cs typeface="+mn-cs"/>
              </a:rPr>
              <a:t>Equation</a:t>
            </a:r>
          </a:p>
          <a:p xmlns:a="http://schemas.openxmlformats.org/drawingml/2006/main">
            <a:pPr algn="l"/>
            <a:r>
              <a:rPr lang="en-US" sz="1100" baseline="0">
                <a:effectLst/>
                <a:latin typeface="+mn-lt"/>
                <a:ea typeface="+mn-ea"/>
                <a:cs typeface="+mn-cs"/>
              </a:rPr>
              <a:t>y = 0.0432x + 0.0140</a:t>
            </a:r>
            <a:endParaRPr lang="en-MY" sz="1100"/>
          </a:p>
          <a:p xmlns:a="http://schemas.openxmlformats.org/drawingml/2006/main">
            <a:pPr algn="l"/>
            <a:r>
              <a:rPr kumimoji="0" lang="en-US" sz="1100" b="0" i="0" u="none" strike="noStrike" kern="0" cap="none" spc="0" normalizeH="0" baseline="0" noProof="0">
                <a:ln>
                  <a:noFill/>
                </a:ln>
                <a:solidFill>
                  <a:srgbClr val="FF0000"/>
                </a:solidFill>
                <a:effectLst/>
                <a:uLnTx/>
                <a:uFillTx/>
              </a:rPr>
              <a:t>y = 0.0707x + 0.0197</a:t>
            </a:r>
          </a:p>
          <a:p xmlns:a="http://schemas.openxmlformats.org/drawingml/2006/main">
            <a:pPr algn="l"/>
            <a:r>
              <a:rPr lang="en-US" sz="1100" baseline="0">
                <a:solidFill>
                  <a:srgbClr val="0000FF"/>
                </a:solidFill>
                <a:effectLst/>
                <a:latin typeface="+mn-lt"/>
                <a:ea typeface="+mn-ea"/>
                <a:cs typeface="+mn-cs"/>
              </a:rPr>
              <a:t>y = 0.0714x + 0.0238</a:t>
            </a:r>
          </a:p>
          <a:p xmlns:a="http://schemas.openxmlformats.org/drawingml/2006/main">
            <a:pPr algn="l"/>
            <a:r>
              <a:rPr lang="en-US" sz="1100" baseline="0">
                <a:solidFill>
                  <a:srgbClr val="00C800"/>
                </a:solidFill>
                <a:effectLst/>
                <a:latin typeface="+mn-lt"/>
                <a:ea typeface="+mn-ea"/>
                <a:cs typeface="+mn-cs"/>
              </a:rPr>
              <a:t>y = 0.0774x + 0.0235</a:t>
            </a:r>
            <a:endParaRPr lang="en-MY" sz="1100">
              <a:solidFill>
                <a:srgbClr val="00C800"/>
              </a:solidFill>
            </a:endParaRPr>
          </a:p>
        </cdr:txBody>
      </cdr:sp>
      <cdr:sp macro="" textlink="">
        <cdr:nvSpPr>
          <cdr:cNvPr id="3" name="TextBox 1">
            <a:extLst xmlns:a="http://schemas.openxmlformats.org/drawingml/2006/main">
              <a:ext uri="{FF2B5EF4-FFF2-40B4-BE49-F238E27FC236}">
                <a16:creationId xmlns:a16="http://schemas.microsoft.com/office/drawing/2014/main" id="{BCDC2859-6D5B-E5E8-32D4-66AB400F42E8}"/>
              </a:ext>
            </a:extLst>
          </cdr:cNvPr>
          <cdr:cNvSpPr txBox="1"/>
        </cdr:nvSpPr>
        <cdr:spPr>
          <a:xfrm xmlns:a="http://schemas.openxmlformats.org/drawingml/2006/main">
            <a:off x="4585680" y="1193532"/>
            <a:ext cx="576741" cy="1019125"/>
          </a:xfrm>
          <a:prstGeom xmlns:a="http://schemas.openxmlformats.org/drawingml/2006/main" prst="rect">
            <a:avLst/>
          </a:prstGeom>
        </cdr:spPr>
        <cdr:txBody>
          <a:bodyPr xmlns:a="http://schemas.openxmlformats.org/drawingml/2006/main" wrap="none"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u="sng" baseline="0">
                <a:effectLst/>
                <a:latin typeface="+mn-lt"/>
                <a:ea typeface="+mn-ea"/>
                <a:cs typeface="+mn-cs"/>
              </a:rPr>
              <a:t>R</a:t>
            </a:r>
            <a:r>
              <a:rPr lang="en-US" sz="1100" b="1" i="0" u="sng" baseline="30000">
                <a:effectLst/>
                <a:latin typeface="+mn-lt"/>
                <a:ea typeface="+mn-ea"/>
                <a:cs typeface="+mn-cs"/>
              </a:rPr>
              <a:t>2</a:t>
            </a:r>
            <a:br>
              <a:rPr lang="en-US" sz="1100" b="0" i="0" baseline="0">
                <a:effectLst/>
                <a:latin typeface="+mn-lt"/>
                <a:ea typeface="+mn-ea"/>
                <a:cs typeface="+mn-cs"/>
              </a:rPr>
            </a:br>
            <a:r>
              <a:rPr lang="en-US" sz="1100" b="0" i="0" baseline="0">
                <a:effectLst/>
                <a:latin typeface="+mn-lt"/>
                <a:ea typeface="+mn-ea"/>
                <a:cs typeface="+mn-cs"/>
              </a:rPr>
              <a:t>0.8063</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0.9963</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00FF"/>
                </a:solidFill>
                <a:effectLst/>
                <a:latin typeface="+mn-lt"/>
                <a:ea typeface="+mn-ea"/>
                <a:cs typeface="+mn-cs"/>
              </a:rPr>
              <a:t>0.9946</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00C800"/>
                </a:solidFill>
                <a:effectLst/>
                <a:latin typeface="+mn-lt"/>
                <a:ea typeface="+mn-ea"/>
                <a:cs typeface="+mn-cs"/>
              </a:rPr>
              <a:t>0.9902</a:t>
            </a:r>
            <a:endParaRPr lang="en-MY" sz="1100">
              <a:solidFill>
                <a:srgbClr val="00C800"/>
              </a:solidFill>
              <a:effectLst/>
            </a:endParaRPr>
          </a:p>
          <a:p xmlns:a="http://schemas.openxmlformats.org/drawingml/2006/main">
            <a:pPr algn="l"/>
            <a:endParaRPr lang="en-MY" sz="1100"/>
          </a:p>
        </cdr:txBody>
      </cdr:sp>
    </cdr:grpSp>
  </cdr:relSizeAnchor>
</c:userShapes>
</file>

<file path=xl/drawings/drawing9.xml><?xml version="1.0" encoding="utf-8"?>
<c:userShapes xmlns:c="http://schemas.openxmlformats.org/drawingml/2006/chart">
  <cdr:relSizeAnchor xmlns:cdr="http://schemas.openxmlformats.org/drawingml/2006/chartDrawing">
    <cdr:from>
      <cdr:x>0.11077</cdr:x>
      <cdr:y>0.3252</cdr:y>
    </cdr:from>
    <cdr:to>
      <cdr:x>0.11077</cdr:x>
      <cdr:y>0.3252</cdr:y>
    </cdr:to>
    <cdr:grpSp>
      <cdr:nvGrpSpPr>
        <cdr:cNvPr id="4" name="Group 3">
          <a:extLst xmlns:a="http://schemas.openxmlformats.org/drawingml/2006/main">
            <a:ext uri="{FF2B5EF4-FFF2-40B4-BE49-F238E27FC236}">
              <a16:creationId xmlns:a16="http://schemas.microsoft.com/office/drawing/2014/main" id="{63204A0C-67C9-920C-95A0-5C293D86D0F9}"/>
            </a:ext>
          </a:extLst>
        </cdr:cNvPr>
        <cdr:cNvGrpSpPr/>
      </cdr:nvGrpSpPr>
      <cdr:grpSpPr>
        <a:xfrm xmlns:a="http://schemas.openxmlformats.org/drawingml/2006/main">
          <a:off x="967669" y="1631962"/>
          <a:ext cx="0" cy="0"/>
          <a:chOff x="967669" y="1631962"/>
          <a:chExt cx="0" cy="0"/>
        </a:xfrm>
      </cdr:grpSpPr>
    </cdr:grp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E99ACA-F045-4FAA-9942-9E23FF18DD12}" name="Table2" displayName="Table2" ref="AH61:AL65" totalsRowShown="0" headerRowDxfId="9" dataDxfId="8" headerRowBorderDxfId="6" tableBorderDxfId="7" totalsRowBorderDxfId="5" headerRowCellStyle="Normal 2" dataCellStyle="Normal 2">
  <autoFilter ref="AH61:AL65" xr:uid="{01E99ACA-F045-4FAA-9942-9E23FF18DD12}"/>
  <tableColumns count="5">
    <tableColumn id="1" xr3:uid="{2C727D85-15D4-4D64-85E6-7E83DFBA5A89}" name="Case" dataDxfId="4" dataCellStyle="Normal 2"/>
    <tableColumn id="2" xr3:uid="{689A202E-8670-4685-906B-914C259EC86D}" name="CD, min" dataDxfId="3" dataCellStyle="Normal 2"/>
    <tableColumn id="3" xr3:uid="{FEE83BFE-B2FA-4653-90D2-7B6B858838FA}" name="CL for CD, min" dataDxfId="2" dataCellStyle="Normal 2"/>
    <tableColumn id="4" xr3:uid="{0FB993F3-BBCB-42AD-BDBB-8417F02964E9}" name="( L/D )max" dataDxfId="1" dataCellStyle="Normal 2"/>
    <tableColumn id="5" xr3:uid="{402A0A78-C679-44F9-81C9-52B84ECD992D}" name="CL for ( L/D )max"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7E224-4EEA-485A-B4C5-A2DFC89E6CE0}">
  <dimension ref="B2:AL124"/>
  <sheetViews>
    <sheetView topLeftCell="A83" zoomScale="85" zoomScaleNormal="85" workbookViewId="0">
      <selection activeCell="M94" sqref="M94"/>
    </sheetView>
  </sheetViews>
  <sheetFormatPr defaultColWidth="8.85546875" defaultRowHeight="14.45"/>
  <cols>
    <col min="2" max="2" width="20.7109375" customWidth="1"/>
    <col min="3" max="3" width="23.140625" style="61" customWidth="1"/>
    <col min="4" max="4" width="20.42578125" style="61" customWidth="1"/>
    <col min="5" max="5" width="22.85546875" style="61" customWidth="1"/>
    <col min="6" max="6" width="19.28515625" style="61" customWidth="1"/>
    <col min="7" max="7" width="18.85546875" style="61" customWidth="1"/>
    <col min="8" max="8" width="19.7109375" style="61" customWidth="1"/>
    <col min="9" max="10" width="18.28515625" style="61" customWidth="1"/>
    <col min="11" max="11" width="23.140625" style="61" customWidth="1"/>
    <col min="12" max="12" width="28.140625" customWidth="1"/>
    <col min="13" max="13" width="24.140625" customWidth="1"/>
    <col min="14" max="14" width="23.140625" customWidth="1"/>
    <col min="15" max="15" width="27.7109375" customWidth="1"/>
    <col min="16" max="18" width="20.28515625" customWidth="1"/>
    <col min="19" max="19" width="25.28515625" customWidth="1"/>
    <col min="20" max="20" width="24.7109375" customWidth="1"/>
    <col min="22" max="22" width="14.42578125" customWidth="1"/>
    <col min="23" max="23" width="18.85546875" customWidth="1"/>
    <col min="24" max="24" width="18.7109375" customWidth="1"/>
    <col min="25" max="25" width="24" customWidth="1"/>
    <col min="26" max="26" width="23" customWidth="1"/>
    <col min="27" max="27" width="17.42578125" customWidth="1"/>
    <col min="28" max="29" width="17.85546875" customWidth="1"/>
    <col min="30" max="30" width="16.85546875" customWidth="1"/>
    <col min="31" max="31" width="17.42578125" customWidth="1"/>
    <col min="32" max="32" width="12.85546875" customWidth="1"/>
  </cols>
  <sheetData>
    <row r="2" spans="2:9">
      <c r="B2" s="225" t="s">
        <v>0</v>
      </c>
      <c r="C2" s="225"/>
      <c r="D2" s="62"/>
      <c r="E2" s="225" t="s">
        <v>1</v>
      </c>
      <c r="F2" s="225"/>
      <c r="H2" s="83" t="s">
        <v>2</v>
      </c>
      <c r="I2" s="83" t="s">
        <v>3</v>
      </c>
    </row>
    <row r="3" spans="2:9">
      <c r="B3" s="101" t="s">
        <v>4</v>
      </c>
      <c r="C3" s="101">
        <v>73.73</v>
      </c>
      <c r="D3"/>
      <c r="E3" s="101" t="s">
        <v>5</v>
      </c>
      <c r="F3" s="101">
        <v>18.43</v>
      </c>
      <c r="H3" s="83">
        <v>1</v>
      </c>
      <c r="I3" s="83">
        <v>0.45359237000000002</v>
      </c>
    </row>
    <row r="4" spans="2:9">
      <c r="B4" s="101" t="s">
        <v>6</v>
      </c>
      <c r="C4" s="101">
        <v>3.79</v>
      </c>
      <c r="D4"/>
      <c r="E4" s="101" t="s">
        <v>7</v>
      </c>
      <c r="F4" s="101">
        <v>1.97</v>
      </c>
    </row>
    <row r="5" spans="2:9">
      <c r="B5" s="101" t="s">
        <v>8</v>
      </c>
      <c r="C5" s="101">
        <v>5.93</v>
      </c>
      <c r="D5"/>
      <c r="E5" s="101" t="s">
        <v>9</v>
      </c>
      <c r="F5" s="101">
        <v>4.74</v>
      </c>
      <c r="H5" s="83" t="s">
        <v>10</v>
      </c>
      <c r="I5" s="83" t="s">
        <v>11</v>
      </c>
    </row>
    <row r="6" spans="2:9">
      <c r="C6"/>
      <c r="D6"/>
      <c r="E6" s="101" t="s">
        <v>12</v>
      </c>
      <c r="F6" s="101">
        <v>0.63049999999999995</v>
      </c>
      <c r="H6" s="83">
        <v>1</v>
      </c>
      <c r="I6" s="83">
        <v>0.51444444</v>
      </c>
    </row>
    <row r="7" spans="2:9">
      <c r="C7"/>
      <c r="D7"/>
      <c r="E7"/>
      <c r="F7"/>
    </row>
    <row r="8" spans="2:9">
      <c r="B8" s="225" t="s">
        <v>13</v>
      </c>
      <c r="C8" s="226"/>
      <c r="D8" s="61" t="s">
        <v>14</v>
      </c>
      <c r="E8"/>
      <c r="F8"/>
      <c r="H8" s="83" t="s">
        <v>15</v>
      </c>
      <c r="I8" s="83" t="s">
        <v>16</v>
      </c>
    </row>
    <row r="9" spans="2:9">
      <c r="B9" s="101" t="s">
        <v>17</v>
      </c>
      <c r="C9" s="101">
        <v>24398</v>
      </c>
      <c r="D9" s="102">
        <f>C9*0.45359237</f>
        <v>11066.746643260001</v>
      </c>
      <c r="E9"/>
      <c r="F9"/>
      <c r="H9" s="83">
        <v>1</v>
      </c>
      <c r="I9" s="83">
        <v>0.30480000000000002</v>
      </c>
    </row>
    <row r="10" spans="2:9">
      <c r="B10" s="103" t="s">
        <v>18</v>
      </c>
      <c r="C10" s="103">
        <v>13434</v>
      </c>
      <c r="D10" s="104">
        <f>C10*0.45359237</f>
        <v>6093.5598985800007</v>
      </c>
      <c r="E10"/>
      <c r="F10"/>
    </row>
    <row r="11" spans="2:9">
      <c r="B11" s="101" t="s">
        <v>19</v>
      </c>
      <c r="C11" s="101">
        <v>8800</v>
      </c>
      <c r="D11" s="102">
        <f>C11*0.45359237</f>
        <v>3991.6128560000002</v>
      </c>
      <c r="E11"/>
      <c r="F11"/>
    </row>
    <row r="12" spans="2:9">
      <c r="B12" s="101" t="s">
        <v>20</v>
      </c>
      <c r="C12" s="101">
        <v>10.14</v>
      </c>
      <c r="D12"/>
      <c r="E12"/>
      <c r="F12"/>
    </row>
    <row r="13" spans="2:9">
      <c r="B13" s="101" t="s">
        <v>21</v>
      </c>
      <c r="C13" s="101">
        <v>10.06</v>
      </c>
      <c r="D13"/>
      <c r="E13"/>
      <c r="F13"/>
    </row>
    <row r="14" spans="2:9">
      <c r="D14" s="61" t="s">
        <v>3</v>
      </c>
    </row>
    <row r="15" spans="2:9">
      <c r="B15" s="59" t="s">
        <v>22</v>
      </c>
      <c r="C15" s="60">
        <v>13434</v>
      </c>
      <c r="D15" s="61">
        <f>C15*0.45359237</f>
        <v>6093.5598985800007</v>
      </c>
    </row>
    <row r="16" spans="2:9">
      <c r="B16" s="59" t="s">
        <v>23</v>
      </c>
      <c r="C16" s="60">
        <v>1081.81</v>
      </c>
      <c r="D16" s="61">
        <f>C16*0.45359237</f>
        <v>490.70076178969998</v>
      </c>
    </row>
    <row r="17" spans="2:19">
      <c r="B17" s="59" t="s">
        <v>24</v>
      </c>
      <c r="C17" s="60">
        <v>5000</v>
      </c>
    </row>
    <row r="18" spans="2:19">
      <c r="B18" s="63"/>
    </row>
    <row r="19" spans="2:19">
      <c r="B19" s="108" t="s">
        <v>25</v>
      </c>
      <c r="C19" s="83">
        <v>1.2250000000000001</v>
      </c>
    </row>
    <row r="20" spans="2:19">
      <c r="B20" s="63"/>
    </row>
    <row r="21" spans="2:19">
      <c r="B21" s="108" t="s">
        <v>26</v>
      </c>
      <c r="C21" s="108" t="s">
        <v>27</v>
      </c>
    </row>
    <row r="22" spans="2:19">
      <c r="B22" s="101">
        <v>4921</v>
      </c>
      <c r="C22" s="83">
        <v>0.9294</v>
      </c>
    </row>
    <row r="23" spans="2:19" ht="15" thickBot="1">
      <c r="B23" s="121">
        <v>6562</v>
      </c>
      <c r="C23" s="120">
        <v>0.90649999999999997</v>
      </c>
    </row>
    <row r="24" spans="2:19" ht="15" thickBot="1">
      <c r="B24" s="122">
        <v>5000</v>
      </c>
      <c r="C24" s="123">
        <f>(B24-B22)*((C23-C22)/(B23-B22))+C22</f>
        <v>0.92829756246191342</v>
      </c>
    </row>
    <row r="26" spans="2:19" ht="15" thickBot="1">
      <c r="O26" s="63" t="s">
        <v>28</v>
      </c>
      <c r="R26" s="63" t="s">
        <v>29</v>
      </c>
    </row>
    <row r="27" spans="2:19">
      <c r="B27" s="84" t="s">
        <v>30</v>
      </c>
      <c r="C27" s="85"/>
      <c r="D27" s="85"/>
      <c r="E27" s="86" t="s">
        <v>31</v>
      </c>
      <c r="F27" s="86"/>
      <c r="G27" s="85"/>
      <c r="H27" s="85"/>
      <c r="I27" s="86"/>
      <c r="J27" s="87"/>
    </row>
    <row r="28" spans="2:19">
      <c r="B28" s="88" t="s">
        <v>32</v>
      </c>
      <c r="C28" s="97" t="s">
        <v>33</v>
      </c>
      <c r="D28" s="97" t="s">
        <v>34</v>
      </c>
      <c r="E28" s="113" t="s">
        <v>35</v>
      </c>
      <c r="F28" s="97" t="s">
        <v>36</v>
      </c>
      <c r="G28" s="97" t="s">
        <v>37</v>
      </c>
      <c r="H28" s="97" t="s">
        <v>38</v>
      </c>
      <c r="I28" s="83" t="s">
        <v>39</v>
      </c>
      <c r="J28" s="89"/>
      <c r="O28" s="63" t="s">
        <v>40</v>
      </c>
      <c r="P28" s="63" t="s">
        <v>41</v>
      </c>
      <c r="R28" s="63" t="s">
        <v>42</v>
      </c>
    </row>
    <row r="29" spans="2:19">
      <c r="B29" s="88" t="s">
        <v>43</v>
      </c>
      <c r="C29" s="83">
        <v>5000</v>
      </c>
      <c r="D29" s="83">
        <v>77</v>
      </c>
      <c r="E29" s="83">
        <v>56</v>
      </c>
      <c r="F29" s="83">
        <f>E29*0.51444444</f>
        <v>28.808888639999999</v>
      </c>
      <c r="G29" s="83" t="s">
        <v>44</v>
      </c>
      <c r="H29" s="83">
        <f>1100*2</f>
        <v>2200</v>
      </c>
      <c r="I29" s="83">
        <f>1/H29</f>
        <v>4.5454545454545455E-4</v>
      </c>
      <c r="J29" s="89"/>
      <c r="O29">
        <f t="shared" ref="O29:O36" si="0">$D$15+$D$16+H29</f>
        <v>8784.2606603697004</v>
      </c>
      <c r="P29">
        <f>((($D$15+$D$16)*$C$12)+H29*$C$13)/O29</f>
        <v>10.119964164679899</v>
      </c>
      <c r="R29">
        <f t="shared" ref="R29:R36" si="1">(2*O29*9.81)/($C$19*F29^2*$C$3)</f>
        <v>2.2991689468465255</v>
      </c>
    </row>
    <row r="30" spans="2:19">
      <c r="B30" s="90"/>
      <c r="C30" s="83">
        <v>5000</v>
      </c>
      <c r="D30" s="83">
        <v>87</v>
      </c>
      <c r="E30" s="83">
        <v>58</v>
      </c>
      <c r="F30" s="83">
        <f t="shared" ref="F30:F36" si="2">E30*0.51444444</f>
        <v>29.837777519999999</v>
      </c>
      <c r="G30" s="83" t="s">
        <v>44</v>
      </c>
      <c r="H30" s="83">
        <v>2480</v>
      </c>
      <c r="I30" s="83">
        <f t="shared" ref="I30:I46" si="3">1/H30</f>
        <v>4.032258064516129E-4</v>
      </c>
      <c r="J30" s="89"/>
      <c r="O30">
        <f t="shared" si="0"/>
        <v>9064.2606603697004</v>
      </c>
      <c r="P30">
        <f t="shared" ref="P30:P36" si="4">((($D$15+$D$16)*$C$12)+H30*$C$13)/O30</f>
        <v>10.118111838633741</v>
      </c>
      <c r="R30">
        <f t="shared" si="1"/>
        <v>2.2116587793086273</v>
      </c>
    </row>
    <row r="31" spans="2:19">
      <c r="B31" s="90"/>
      <c r="C31" s="83">
        <v>5000</v>
      </c>
      <c r="D31" s="83">
        <v>77</v>
      </c>
      <c r="E31" s="83">
        <v>59</v>
      </c>
      <c r="F31" s="83">
        <f t="shared" si="2"/>
        <v>30.352221960000001</v>
      </c>
      <c r="G31" s="83" t="s">
        <v>44</v>
      </c>
      <c r="H31" s="83">
        <f>1163*2</f>
        <v>2326</v>
      </c>
      <c r="I31" s="83">
        <f t="shared" si="3"/>
        <v>4.299226139294927E-4</v>
      </c>
      <c r="J31" s="89"/>
      <c r="O31">
        <f t="shared" si="0"/>
        <v>8910.2606603697004</v>
      </c>
      <c r="P31">
        <f t="shared" si="4"/>
        <v>10.119116211400231</v>
      </c>
      <c r="R31">
        <f t="shared" si="1"/>
        <v>2.1010099568050236</v>
      </c>
      <c r="S31" t="s">
        <v>45</v>
      </c>
    </row>
    <row r="32" spans="2:19">
      <c r="B32" s="90"/>
      <c r="C32" s="83">
        <v>5000</v>
      </c>
      <c r="D32" s="83">
        <v>81</v>
      </c>
      <c r="E32" s="83">
        <v>60</v>
      </c>
      <c r="F32" s="83">
        <f t="shared" si="2"/>
        <v>30.8666664</v>
      </c>
      <c r="G32" s="83" t="s">
        <v>44</v>
      </c>
      <c r="H32" s="83">
        <v>2466</v>
      </c>
      <c r="I32" s="83">
        <f t="shared" si="3"/>
        <v>4.0551500405515005E-4</v>
      </c>
      <c r="J32" s="89"/>
      <c r="O32">
        <f t="shared" si="0"/>
        <v>9050.2606603697004</v>
      </c>
      <c r="P32">
        <f t="shared" si="4"/>
        <v>10.118201732811535</v>
      </c>
      <c r="R32">
        <f t="shared" si="1"/>
        <v>2.0634802271611239</v>
      </c>
    </row>
    <row r="33" spans="2:18">
      <c r="B33" s="90"/>
      <c r="C33" s="83">
        <v>5000</v>
      </c>
      <c r="D33" s="83">
        <v>70</v>
      </c>
      <c r="E33" s="83">
        <v>61</v>
      </c>
      <c r="F33" s="83">
        <f t="shared" si="2"/>
        <v>31.381110840000002</v>
      </c>
      <c r="G33" s="83" t="s">
        <v>44</v>
      </c>
      <c r="H33" s="96">
        <v>2463</v>
      </c>
      <c r="I33" s="83">
        <f t="shared" si="3"/>
        <v>4.0600893219650832E-4</v>
      </c>
      <c r="J33" s="89"/>
      <c r="O33">
        <f t="shared" si="0"/>
        <v>9047.2606603697004</v>
      </c>
      <c r="P33">
        <f t="shared" si="4"/>
        <v>10.1182210320453</v>
      </c>
      <c r="R33">
        <f t="shared" si="1"/>
        <v>1.9957179233976678</v>
      </c>
    </row>
    <row r="34" spans="2:18">
      <c r="B34" s="90"/>
      <c r="C34" s="83">
        <v>5000</v>
      </c>
      <c r="D34" s="83">
        <v>85</v>
      </c>
      <c r="E34" s="83">
        <v>62</v>
      </c>
      <c r="F34" s="83">
        <f t="shared" si="2"/>
        <v>31.89555528</v>
      </c>
      <c r="G34" s="83" t="s">
        <v>44</v>
      </c>
      <c r="H34" s="83">
        <v>2460</v>
      </c>
      <c r="I34" s="83">
        <f t="shared" si="3"/>
        <v>4.0650406504065041E-4</v>
      </c>
      <c r="J34" s="89"/>
      <c r="O34">
        <f t="shared" si="0"/>
        <v>9044.2606603697004</v>
      </c>
      <c r="P34">
        <f t="shared" si="4"/>
        <v>10.11824034408226</v>
      </c>
      <c r="R34">
        <f t="shared" si="1"/>
        <v>1.9312185140856917</v>
      </c>
    </row>
    <row r="35" spans="2:18">
      <c r="B35" s="90"/>
      <c r="C35" s="83">
        <v>5000</v>
      </c>
      <c r="D35" s="83">
        <v>77</v>
      </c>
      <c r="E35" s="83">
        <v>63</v>
      </c>
      <c r="F35" s="83">
        <f t="shared" si="2"/>
        <v>32.409999720000002</v>
      </c>
      <c r="G35" s="83" t="s">
        <v>44</v>
      </c>
      <c r="H35" s="83">
        <f>1110*2</f>
        <v>2220</v>
      </c>
      <c r="I35" s="83">
        <f t="shared" si="3"/>
        <v>4.5045045045045046E-4</v>
      </c>
      <c r="J35" s="89"/>
      <c r="O35">
        <f t="shared" si="0"/>
        <v>8804.2606603697004</v>
      </c>
      <c r="P35">
        <f t="shared" si="4"/>
        <v>10.119827948438711</v>
      </c>
      <c r="R35">
        <f t="shared" si="1"/>
        <v>1.8207634121339193</v>
      </c>
    </row>
    <row r="36" spans="2:18">
      <c r="B36" s="90"/>
      <c r="C36" s="83">
        <v>5000</v>
      </c>
      <c r="D36" s="83">
        <v>76</v>
      </c>
      <c r="E36" s="83">
        <v>65</v>
      </c>
      <c r="F36" s="83">
        <f t="shared" si="2"/>
        <v>33.438888599999999</v>
      </c>
      <c r="G36" s="83" t="s">
        <v>46</v>
      </c>
      <c r="H36" s="96">
        <v>2460</v>
      </c>
      <c r="I36" s="83">
        <f t="shared" si="3"/>
        <v>4.0650406504065041E-4</v>
      </c>
      <c r="J36" s="89"/>
      <c r="O36">
        <f t="shared" si="0"/>
        <v>9044.2606603697004</v>
      </c>
      <c r="P36">
        <f t="shared" si="4"/>
        <v>10.11824034408226</v>
      </c>
      <c r="R36">
        <f t="shared" si="1"/>
        <v>1.7570660279634083</v>
      </c>
    </row>
    <row r="37" spans="2:18" ht="15" thickBot="1">
      <c r="B37" s="90"/>
      <c r="C37" s="83"/>
      <c r="D37" s="83"/>
      <c r="E37" s="83" t="s">
        <v>31</v>
      </c>
      <c r="F37" s="83"/>
      <c r="G37" s="83"/>
      <c r="H37" s="83"/>
      <c r="J37" s="89"/>
      <c r="Q37" s="109" t="s">
        <v>47</v>
      </c>
      <c r="R37" s="111">
        <f>AVERAGE(R29:R36)</f>
        <v>2.0225104734627486</v>
      </c>
    </row>
    <row r="38" spans="2:18">
      <c r="B38" s="91" t="s">
        <v>48</v>
      </c>
      <c r="C38" s="97" t="s">
        <v>33</v>
      </c>
      <c r="D38" s="97" t="s">
        <v>34</v>
      </c>
      <c r="E38" s="113" t="s">
        <v>35</v>
      </c>
      <c r="F38" s="97" t="s">
        <v>36</v>
      </c>
      <c r="G38" s="97" t="s">
        <v>37</v>
      </c>
      <c r="H38" s="97" t="s">
        <v>38</v>
      </c>
      <c r="I38" s="83" t="s">
        <v>39</v>
      </c>
      <c r="J38" s="89"/>
    </row>
    <row r="39" spans="2:18">
      <c r="B39" s="91" t="s">
        <v>49</v>
      </c>
      <c r="C39" s="83">
        <v>5000</v>
      </c>
      <c r="D39" s="83">
        <v>63</v>
      </c>
      <c r="E39" s="83">
        <v>52</v>
      </c>
      <c r="F39" s="83">
        <f>E39*0.51444444</f>
        <v>26.751110879999999</v>
      </c>
      <c r="G39" s="83" t="s">
        <v>44</v>
      </c>
      <c r="H39" s="83">
        <v>2244</v>
      </c>
      <c r="I39" s="83">
        <f t="shared" si="3"/>
        <v>4.4563279857397502E-4</v>
      </c>
      <c r="J39" s="89"/>
      <c r="O39">
        <f t="shared" ref="O39:O46" si="5">$D$15+$D$16+H39</f>
        <v>8828.2606603697004</v>
      </c>
      <c r="P39">
        <f t="shared" ref="P39:P46" si="6">((($D$15+$D$16)*$C$12)+H39*$C$13)/O39</f>
        <v>10.119665303630434</v>
      </c>
      <c r="R39">
        <f>(2*O39*9.81)/($C$19*F39^2*$C$3)</f>
        <v>2.6798481439711961</v>
      </c>
    </row>
    <row r="40" spans="2:18">
      <c r="B40" s="90"/>
      <c r="C40" s="83">
        <v>5000</v>
      </c>
      <c r="D40" s="83">
        <v>63</v>
      </c>
      <c r="E40" s="83">
        <v>52</v>
      </c>
      <c r="F40" s="83">
        <f t="shared" ref="F40:F46" si="7">E40*0.51444444</f>
        <v>26.751110879999999</v>
      </c>
      <c r="G40" s="83" t="s">
        <v>46</v>
      </c>
      <c r="H40" s="96">
        <v>2243</v>
      </c>
      <c r="I40" s="83">
        <f t="shared" si="3"/>
        <v>4.4583147570218456E-4</v>
      </c>
      <c r="J40" s="89"/>
      <c r="O40">
        <f t="shared" si="5"/>
        <v>8827.2606603697004</v>
      </c>
      <c r="P40">
        <f t="shared" si="6"/>
        <v>10.119672062839879</v>
      </c>
      <c r="R40">
        <f t="shared" ref="R40:R46" si="8">(2*O40*9.81)/($C$19*F40^2*$C$3)</f>
        <v>2.6795445906160036</v>
      </c>
    </row>
    <row r="41" spans="2:18">
      <c r="B41" s="90"/>
      <c r="C41" s="83">
        <v>5000</v>
      </c>
      <c r="D41" s="83">
        <v>60</v>
      </c>
      <c r="E41" s="83">
        <v>55</v>
      </c>
      <c r="F41" s="83">
        <f t="shared" si="7"/>
        <v>28.294444200000001</v>
      </c>
      <c r="G41" s="83" t="s">
        <v>46</v>
      </c>
      <c r="H41" s="96">
        <v>2260</v>
      </c>
      <c r="I41" s="83">
        <f t="shared" si="3"/>
        <v>4.4247787610619468E-4</v>
      </c>
      <c r="J41" s="89"/>
      <c r="O41">
        <f t="shared" si="5"/>
        <v>8844.2606603697004</v>
      </c>
      <c r="P41">
        <f t="shared" si="6"/>
        <v>10.119557364154796</v>
      </c>
      <c r="R41">
        <f t="shared" si="8"/>
        <v>2.3998156408784039</v>
      </c>
    </row>
    <row r="42" spans="2:18">
      <c r="B42" s="90"/>
      <c r="C42" s="83">
        <v>5000</v>
      </c>
      <c r="D42" s="83">
        <v>60</v>
      </c>
      <c r="E42" s="83">
        <v>56</v>
      </c>
      <c r="F42" s="83">
        <f t="shared" si="7"/>
        <v>28.808888639999999</v>
      </c>
      <c r="G42" s="83" t="s">
        <v>46</v>
      </c>
      <c r="H42" s="83">
        <v>2286</v>
      </c>
      <c r="I42" s="83">
        <f t="shared" si="3"/>
        <v>4.3744531933508313E-4</v>
      </c>
      <c r="J42" s="89"/>
      <c r="O42">
        <f t="shared" si="5"/>
        <v>8870.2606603697004</v>
      </c>
      <c r="P42">
        <f t="shared" si="6"/>
        <v>10.119382793020158</v>
      </c>
      <c r="R42">
        <f t="shared" si="8"/>
        <v>2.3216783573790316</v>
      </c>
    </row>
    <row r="43" spans="2:18">
      <c r="B43" s="90"/>
      <c r="C43" s="83">
        <v>5000</v>
      </c>
      <c r="D43" s="83">
        <v>70</v>
      </c>
      <c r="E43" s="83">
        <v>57</v>
      </c>
      <c r="F43" s="83">
        <f t="shared" si="7"/>
        <v>29.323333080000001</v>
      </c>
      <c r="G43" s="83" t="s">
        <v>44</v>
      </c>
      <c r="H43" s="83">
        <v>2268</v>
      </c>
      <c r="I43" s="83">
        <f t="shared" si="3"/>
        <v>4.4091710758377423E-4</v>
      </c>
      <c r="J43" s="89"/>
      <c r="O43">
        <f t="shared" si="5"/>
        <v>8852.2606603697004</v>
      </c>
      <c r="P43">
        <f t="shared" si="6"/>
        <v>10.119503540738211</v>
      </c>
      <c r="R43">
        <f t="shared" si="8"/>
        <v>2.2363831270657748</v>
      </c>
    </row>
    <row r="44" spans="2:18">
      <c r="B44" s="90"/>
      <c r="C44" s="83">
        <v>5000</v>
      </c>
      <c r="D44" s="83">
        <v>62</v>
      </c>
      <c r="E44" s="83">
        <v>58</v>
      </c>
      <c r="F44" s="83">
        <f t="shared" si="7"/>
        <v>29.837777519999999</v>
      </c>
      <c r="G44" s="83" t="s">
        <v>46</v>
      </c>
      <c r="H44" s="83">
        <v>2308</v>
      </c>
      <c r="I44" s="83">
        <f t="shared" si="3"/>
        <v>4.3327556325823221E-4</v>
      </c>
      <c r="J44" s="89"/>
      <c r="O44">
        <f t="shared" si="5"/>
        <v>8892.2606603697004</v>
      </c>
      <c r="P44">
        <f t="shared" si="6"/>
        <v>10.119235876336498</v>
      </c>
      <c r="R44">
        <f t="shared" si="8"/>
        <v>2.1696911744156795</v>
      </c>
    </row>
    <row r="45" spans="2:18">
      <c r="B45" s="90"/>
      <c r="C45" s="83">
        <v>5000</v>
      </c>
      <c r="D45" s="83">
        <v>65</v>
      </c>
      <c r="E45" s="83">
        <v>58</v>
      </c>
      <c r="F45" s="83">
        <f t="shared" si="7"/>
        <v>29.837777519999999</v>
      </c>
      <c r="G45" s="83" t="s">
        <v>46</v>
      </c>
      <c r="H45" s="96">
        <v>2304</v>
      </c>
      <c r="I45" s="83">
        <f t="shared" si="3"/>
        <v>4.3402777777777775E-4</v>
      </c>
      <c r="J45" s="89"/>
      <c r="O45">
        <f t="shared" si="5"/>
        <v>8888.2606603697004</v>
      </c>
      <c r="P45">
        <f t="shared" si="6"/>
        <v>10.119262534364927</v>
      </c>
      <c r="R45">
        <f t="shared" si="8"/>
        <v>2.1687151836042156</v>
      </c>
    </row>
    <row r="46" spans="2:18">
      <c r="B46" s="90"/>
      <c r="C46" s="83">
        <v>5000</v>
      </c>
      <c r="D46" s="83">
        <v>63</v>
      </c>
      <c r="E46" s="83">
        <v>59</v>
      </c>
      <c r="F46" s="83">
        <f t="shared" si="7"/>
        <v>30.352221960000001</v>
      </c>
      <c r="G46" s="83" t="s">
        <v>46</v>
      </c>
      <c r="H46" s="96">
        <v>2310</v>
      </c>
      <c r="I46" s="83">
        <f t="shared" si="3"/>
        <v>4.329004329004329E-4</v>
      </c>
      <c r="J46" s="89"/>
      <c r="O46">
        <f t="shared" si="5"/>
        <v>8894.2606603697004</v>
      </c>
      <c r="P46">
        <f t="shared" si="6"/>
        <v>10.119222556313938</v>
      </c>
      <c r="R46">
        <f t="shared" si="8"/>
        <v>2.0972372097900682</v>
      </c>
    </row>
    <row r="47" spans="2:18" ht="15" thickBot="1">
      <c r="B47" s="92"/>
      <c r="C47" s="95"/>
      <c r="D47" s="95"/>
      <c r="E47" s="95"/>
      <c r="F47" s="95"/>
      <c r="G47" s="95"/>
      <c r="H47" s="95"/>
      <c r="I47" s="95"/>
      <c r="J47" s="93"/>
      <c r="Q47" s="110" t="s">
        <v>47</v>
      </c>
      <c r="R47" s="112">
        <f>AVERAGE(R39:R46)</f>
        <v>2.344114178465047</v>
      </c>
    </row>
    <row r="49" spans="2:38" ht="15" thickBot="1">
      <c r="L49" s="61"/>
      <c r="M49" s="61"/>
      <c r="N49" s="61"/>
      <c r="S49" s="63" t="s">
        <v>28</v>
      </c>
      <c r="Y49" s="63" t="s">
        <v>50</v>
      </c>
      <c r="AC49" s="63"/>
    </row>
    <row r="50" spans="2:38" ht="15" thickBot="1">
      <c r="B50" s="84" t="s">
        <v>51</v>
      </c>
      <c r="C50" s="86"/>
      <c r="D50" s="86" t="s">
        <v>31</v>
      </c>
      <c r="E50" s="86"/>
      <c r="F50" s="86"/>
      <c r="G50" s="86"/>
      <c r="H50" s="86"/>
      <c r="I50" s="86"/>
      <c r="J50" s="86"/>
      <c r="K50" s="86"/>
      <c r="L50" s="86"/>
      <c r="M50" s="86"/>
      <c r="N50" s="86"/>
      <c r="O50" s="183"/>
      <c r="P50" s="86"/>
      <c r="Q50" s="98"/>
    </row>
    <row r="51" spans="2:38" ht="16.149999999999999">
      <c r="B51" s="90"/>
      <c r="C51" s="97" t="s">
        <v>33</v>
      </c>
      <c r="D51" s="113" t="s">
        <v>52</v>
      </c>
      <c r="E51" s="97" t="s">
        <v>53</v>
      </c>
      <c r="F51" s="83" t="s">
        <v>54</v>
      </c>
      <c r="G51" s="97" t="s">
        <v>55</v>
      </c>
      <c r="H51" s="83" t="s">
        <v>56</v>
      </c>
      <c r="I51" s="97" t="s">
        <v>57</v>
      </c>
      <c r="J51" s="97" t="s">
        <v>58</v>
      </c>
      <c r="K51" s="97" t="s">
        <v>59</v>
      </c>
      <c r="L51" s="83" t="s">
        <v>60</v>
      </c>
      <c r="M51" s="97" t="s">
        <v>61</v>
      </c>
      <c r="N51" s="97" t="s">
        <v>62</v>
      </c>
      <c r="O51" s="83" t="s">
        <v>63</v>
      </c>
      <c r="P51" s="97" t="s">
        <v>64</v>
      </c>
      <c r="Q51" s="99"/>
      <c r="S51" s="63" t="s">
        <v>65</v>
      </c>
      <c r="T51" s="63" t="s">
        <v>66</v>
      </c>
      <c r="V51" s="63" t="s">
        <v>67</v>
      </c>
      <c r="W51" s="63" t="s">
        <v>68</v>
      </c>
      <c r="Y51" s="182" t="s">
        <v>69</v>
      </c>
      <c r="Z51" s="98" t="s">
        <v>70</v>
      </c>
      <c r="AA51" s="182" t="s">
        <v>71</v>
      </c>
      <c r="AB51" s="98" t="s">
        <v>72</v>
      </c>
      <c r="AC51" s="182" t="s">
        <v>73</v>
      </c>
      <c r="AD51" s="98" t="s">
        <v>74</v>
      </c>
      <c r="AE51" s="185" t="s">
        <v>75</v>
      </c>
      <c r="AF51" s="98" t="s">
        <v>76</v>
      </c>
      <c r="AH51" s="182" t="s">
        <v>77</v>
      </c>
      <c r="AI51" s="98" t="s">
        <v>78</v>
      </c>
      <c r="AK51" s="201" t="s">
        <v>79</v>
      </c>
      <c r="AL51" s="202" t="s">
        <v>80</v>
      </c>
    </row>
    <row r="52" spans="2:38">
      <c r="B52" s="90"/>
      <c r="C52" s="83">
        <v>5000</v>
      </c>
      <c r="D52" s="83">
        <v>100</v>
      </c>
      <c r="E52" s="83">
        <f>D52*0.51444444</f>
        <v>51.444443999999997</v>
      </c>
      <c r="F52" s="83">
        <v>0.51444444</v>
      </c>
      <c r="G52" s="83">
        <v>105.21</v>
      </c>
      <c r="H52" s="83">
        <f>0.5</f>
        <v>0.5</v>
      </c>
      <c r="I52" s="83" t="s">
        <v>81</v>
      </c>
      <c r="J52" s="83">
        <v>4132.8</v>
      </c>
      <c r="K52" s="83">
        <v>4121</v>
      </c>
      <c r="L52" s="83">
        <v>0.1</v>
      </c>
      <c r="M52" s="83">
        <f t="shared" ref="M52:M64" si="9">J52*0.45359237</f>
        <v>1874.6065467360002</v>
      </c>
      <c r="N52" s="83">
        <f t="shared" ref="N52:N64" si="10">K52*0.45359237</f>
        <v>1869.25415677</v>
      </c>
      <c r="O52" s="101">
        <f>L52*$I$3</f>
        <v>4.5359237000000004E-2</v>
      </c>
      <c r="P52" s="83">
        <f t="shared" ref="P52:P64" si="11">M52-N52</f>
        <v>5.3523899660001462</v>
      </c>
      <c r="Q52" s="99"/>
      <c r="S52">
        <f t="shared" ref="S52:S64" si="12">$D$15+$D$16+M52</f>
        <v>8458.8672071057008</v>
      </c>
      <c r="T52">
        <f t="shared" ref="T52:T64" si="13">$D$15+$D$16+N52</f>
        <v>8453.5148171397013</v>
      </c>
      <c r="V52">
        <f t="shared" ref="V52:V64" si="14">((($D$15+$D$16)*$C$12)+M52*$C$13)/S52</f>
        <v>10.1222708502135</v>
      </c>
      <c r="W52">
        <f t="shared" ref="W52:W64" si="15">((($D$15+$D$16)*$C$12)+N52*$C$13)/T52</f>
        <v>10.122310277348966</v>
      </c>
      <c r="Y52" s="90">
        <f t="shared" ref="Y52:Y64" si="16">AVERAGE(S52:T52)</f>
        <v>8456.1910121227011</v>
      </c>
      <c r="Z52" s="99">
        <f t="shared" ref="Z52:Z64" si="17">2*O52/Y52</f>
        <v>1.0728054022188833E-5</v>
      </c>
      <c r="AA52" s="90">
        <f t="shared" ref="AA52:AA64" si="18">-1000*$I$9/G52</f>
        <v>-2.8970630168234961</v>
      </c>
      <c r="AB52" s="99">
        <f>ABS(H52/AA52)</f>
        <v>0.17258858267716534</v>
      </c>
      <c r="AC52" s="90">
        <f t="shared" ref="AC52:AC64" si="19">(2*Y52*9.81)/($C$19*E52^2*$C$3)</f>
        <v>0.69409115360927132</v>
      </c>
      <c r="AD52" s="99">
        <f>AC52*(Z52+2*F52/E52)</f>
        <v>1.3889269319577669E-2</v>
      </c>
      <c r="AE52">
        <f t="shared" ref="AE52:AE64" si="20">-1*$C$24*AA52*AC52/E52</f>
        <v>3.6284670493903041E-2</v>
      </c>
      <c r="AF52" s="99">
        <f>AE52*(AD52/AC52 + AB52+F52/E52)</f>
        <v>7.3512492321730141E-3</v>
      </c>
      <c r="AH52" s="90">
        <f>AC52/AE52</f>
        <v>19.129046623860077</v>
      </c>
      <c r="AI52" s="99">
        <f>AH52*(AD52/AC52+AF52/AE52)</f>
        <v>4.2583178108615769</v>
      </c>
      <c r="AK52" s="90">
        <f t="shared" ref="AK52:AK64" si="21">AC52^2</f>
        <v>0.48176252951864906</v>
      </c>
      <c r="AL52" s="99">
        <f t="shared" ref="AL52:AL64" si="22">2*AD52*AC52</f>
        <v>1.9280837929631048E-2</v>
      </c>
    </row>
    <row r="53" spans="2:38">
      <c r="B53" s="90"/>
      <c r="C53" s="83">
        <v>5000</v>
      </c>
      <c r="D53" s="83">
        <v>120</v>
      </c>
      <c r="E53" s="83">
        <f t="shared" ref="E53:E64" si="23">D53*0.51444444</f>
        <v>61.733332799999999</v>
      </c>
      <c r="F53" s="83">
        <v>0.51444444</v>
      </c>
      <c r="G53" s="83">
        <v>95.48</v>
      </c>
      <c r="H53" s="83">
        <f t="shared" ref="H53:H64" si="24">0.5</f>
        <v>0.5</v>
      </c>
      <c r="I53" s="83" t="s">
        <v>81</v>
      </c>
      <c r="J53" s="83">
        <v>4202.5</v>
      </c>
      <c r="K53" s="83">
        <v>4191.3999999999996</v>
      </c>
      <c r="L53" s="83">
        <v>0.1</v>
      </c>
      <c r="M53" s="83">
        <f t="shared" si="9"/>
        <v>1906.2219349250001</v>
      </c>
      <c r="N53" s="83">
        <f t="shared" si="10"/>
        <v>1901.1870596179999</v>
      </c>
      <c r="O53" s="101">
        <f t="shared" ref="O53:O64" si="25">L53*$I$3</f>
        <v>4.5359237000000004E-2</v>
      </c>
      <c r="P53" s="83">
        <f t="shared" si="11"/>
        <v>5.0348753070002203</v>
      </c>
      <c r="Q53" s="99"/>
      <c r="S53">
        <f t="shared" si="12"/>
        <v>8490.4825952947012</v>
      </c>
      <c r="T53">
        <f t="shared" si="13"/>
        <v>8485.4477199877001</v>
      </c>
      <c r="V53">
        <f t="shared" si="14"/>
        <v>10.122038976809337</v>
      </c>
      <c r="W53">
        <f t="shared" si="15"/>
        <v>10.122075787891406</v>
      </c>
      <c r="Y53" s="90">
        <f t="shared" si="16"/>
        <v>8487.9651576411998</v>
      </c>
      <c r="Z53" s="99">
        <f t="shared" si="17"/>
        <v>1.0687894249699136E-5</v>
      </c>
      <c r="AA53" s="90">
        <f t="shared" si="18"/>
        <v>-3.1922915793883537</v>
      </c>
      <c r="AB53" s="99">
        <f t="shared" ref="AB53:AB64" si="26">ABS(H53/AA53)</f>
        <v>0.15662729658792651</v>
      </c>
      <c r="AC53" s="90">
        <f t="shared" si="19"/>
        <v>0.48381889011000306</v>
      </c>
      <c r="AD53" s="99">
        <f t="shared" ref="AD53:AD64" si="27">AC53*(Z53+2*F53/E53)</f>
        <v>8.0688191736335534E-3</v>
      </c>
      <c r="AE53">
        <f t="shared" si="20"/>
        <v>2.3224846879241843E-2</v>
      </c>
      <c r="AF53" s="99">
        <f t="shared" ref="AF53:AF64" si="28">AE53*(AD53/AC53 + AB53+F53/E53)</f>
        <v>4.2185143770526482E-3</v>
      </c>
      <c r="AH53" s="90">
        <f t="shared" ref="AH53:AH64" si="29">AC53/AE53</f>
        <v>20.831951772411294</v>
      </c>
      <c r="AI53" s="99">
        <f t="shared" ref="AI53:AI64" si="30">AH53*(AD53/AC53+AF53/AE53)</f>
        <v>4.1312955786750987</v>
      </c>
      <c r="AK53" s="90">
        <f t="shared" si="21"/>
        <v>0.23408071842727521</v>
      </c>
      <c r="AL53" s="99">
        <f t="shared" si="22"/>
        <v>7.8076942741713961E-3</v>
      </c>
    </row>
    <row r="54" spans="2:38">
      <c r="B54" s="90"/>
      <c r="C54" s="83">
        <v>5000</v>
      </c>
      <c r="D54" s="83">
        <v>140</v>
      </c>
      <c r="E54" s="83">
        <f t="shared" si="23"/>
        <v>72.022221599999995</v>
      </c>
      <c r="F54" s="83">
        <v>0.51444444</v>
      </c>
      <c r="G54" s="83">
        <v>76.739999999999995</v>
      </c>
      <c r="H54" s="83">
        <f t="shared" si="24"/>
        <v>0.5</v>
      </c>
      <c r="I54" s="83">
        <v>1.7</v>
      </c>
      <c r="J54" s="83">
        <v>5337.1</v>
      </c>
      <c r="K54" s="83">
        <v>5333.6</v>
      </c>
      <c r="L54" s="83">
        <v>0.1</v>
      </c>
      <c r="M54" s="83">
        <f t="shared" si="9"/>
        <v>2420.8678379270004</v>
      </c>
      <c r="N54" s="83">
        <f t="shared" si="10"/>
        <v>2419.2802646320001</v>
      </c>
      <c r="O54" s="101">
        <f t="shared" si="25"/>
        <v>4.5359237000000004E-2</v>
      </c>
      <c r="P54" s="83">
        <f t="shared" si="11"/>
        <v>1.5875732950003112</v>
      </c>
      <c r="Q54" s="99"/>
      <c r="S54">
        <f t="shared" si="12"/>
        <v>9005.1284982967009</v>
      </c>
      <c r="T54">
        <f t="shared" si="13"/>
        <v>9003.5409250017001</v>
      </c>
      <c r="V54">
        <f t="shared" si="14"/>
        <v>10.118493429930423</v>
      </c>
      <c r="W54">
        <f t="shared" si="15"/>
        <v>10.118503743939996</v>
      </c>
      <c r="Y54" s="90">
        <f t="shared" si="16"/>
        <v>9004.3347116492005</v>
      </c>
      <c r="Z54" s="99">
        <f t="shared" si="17"/>
        <v>1.0074977986173101E-5</v>
      </c>
      <c r="AA54" s="90">
        <f t="shared" si="18"/>
        <v>-3.9718530101641911</v>
      </c>
      <c r="AB54" s="99">
        <f t="shared" si="26"/>
        <v>0.12588582677165353</v>
      </c>
      <c r="AC54" s="90">
        <f t="shared" si="19"/>
        <v>0.37708328669135482</v>
      </c>
      <c r="AD54" s="99">
        <f t="shared" si="27"/>
        <v>5.390703201403153E-3</v>
      </c>
      <c r="AE54">
        <f t="shared" si="20"/>
        <v>1.9304170652078595E-2</v>
      </c>
      <c r="AF54" s="99">
        <f t="shared" si="28"/>
        <v>2.8439767714597635E-3</v>
      </c>
      <c r="AH54" s="90">
        <f t="shared" si="29"/>
        <v>19.533772959614403</v>
      </c>
      <c r="AI54" s="99">
        <f t="shared" si="30"/>
        <v>3.1570535122135959</v>
      </c>
      <c r="AK54" s="90">
        <f t="shared" si="21"/>
        <v>0.1421918051019545</v>
      </c>
      <c r="AL54" s="99">
        <f t="shared" si="22"/>
        <v>4.0654881615254188E-3</v>
      </c>
    </row>
    <row r="55" spans="2:38">
      <c r="B55" s="90"/>
      <c r="C55" s="83">
        <v>5000</v>
      </c>
      <c r="D55" s="83">
        <v>160</v>
      </c>
      <c r="E55" s="83">
        <f t="shared" si="23"/>
        <v>82.311110400000004</v>
      </c>
      <c r="F55" s="83">
        <v>0.51444444</v>
      </c>
      <c r="G55" s="83">
        <v>67.27</v>
      </c>
      <c r="H55" s="83">
        <f t="shared" si="24"/>
        <v>0.5</v>
      </c>
      <c r="I55" s="83">
        <v>0.4</v>
      </c>
      <c r="J55" s="83">
        <v>5360.4</v>
      </c>
      <c r="K55" s="83">
        <v>5357.9</v>
      </c>
      <c r="L55" s="83">
        <v>0.1</v>
      </c>
      <c r="M55" s="83">
        <f t="shared" si="9"/>
        <v>2431.4365401479999</v>
      </c>
      <c r="N55" s="83">
        <f t="shared" si="10"/>
        <v>2430.3025592230001</v>
      </c>
      <c r="O55" s="101">
        <f t="shared" si="25"/>
        <v>4.5359237000000004E-2</v>
      </c>
      <c r="P55" s="83">
        <f t="shared" si="11"/>
        <v>1.1339809249998325</v>
      </c>
      <c r="Q55" s="99"/>
      <c r="S55">
        <f t="shared" si="12"/>
        <v>9015.6972005177013</v>
      </c>
      <c r="T55">
        <f t="shared" si="13"/>
        <v>9014.563219592701</v>
      </c>
      <c r="V55">
        <f t="shared" si="14"/>
        <v>10.118424860675148</v>
      </c>
      <c r="W55">
        <f t="shared" si="15"/>
        <v>10.118432210191251</v>
      </c>
      <c r="Y55" s="90">
        <f t="shared" si="16"/>
        <v>9015.130210055202</v>
      </c>
      <c r="Z55" s="99">
        <f t="shared" si="17"/>
        <v>1.00629133341652E-5</v>
      </c>
      <c r="AA55" s="90">
        <f t="shared" si="18"/>
        <v>-4.5309944997770186</v>
      </c>
      <c r="AB55" s="99">
        <f t="shared" si="26"/>
        <v>0.11035104986876638</v>
      </c>
      <c r="AC55" s="90">
        <f t="shared" si="19"/>
        <v>0.28905052552919225</v>
      </c>
      <c r="AD55" s="99">
        <f t="shared" si="27"/>
        <v>3.6160402595024981E-3</v>
      </c>
      <c r="AE55">
        <f t="shared" si="20"/>
        <v>1.4770528939999533E-2</v>
      </c>
      <c r="AF55" s="99">
        <f t="shared" si="28"/>
        <v>1.9070394278235597E-3</v>
      </c>
      <c r="AH55" s="90">
        <f t="shared" si="29"/>
        <v>19.569409240750005</v>
      </c>
      <c r="AI55" s="99">
        <f t="shared" si="30"/>
        <v>2.7714427443401202</v>
      </c>
      <c r="AK55" s="90">
        <f t="shared" si="21"/>
        <v>8.3550206308702218E-2</v>
      </c>
      <c r="AL55" s="99">
        <f t="shared" si="22"/>
        <v>2.0904366746878275E-3</v>
      </c>
    </row>
    <row r="56" spans="2:38">
      <c r="B56" s="90"/>
      <c r="C56" s="83">
        <v>5000</v>
      </c>
      <c r="D56" s="83">
        <v>170</v>
      </c>
      <c r="E56" s="83">
        <f t="shared" si="23"/>
        <v>87.455554800000002</v>
      </c>
      <c r="F56" s="83">
        <v>0.51444444</v>
      </c>
      <c r="G56" s="83">
        <v>52.62</v>
      </c>
      <c r="H56" s="83">
        <f t="shared" si="24"/>
        <v>0.5</v>
      </c>
      <c r="I56" s="83" t="s">
        <v>81</v>
      </c>
      <c r="J56" s="83">
        <v>5139</v>
      </c>
      <c r="K56" s="96">
        <v>5135</v>
      </c>
      <c r="L56" s="83">
        <v>0.1</v>
      </c>
      <c r="M56" s="83">
        <f t="shared" si="9"/>
        <v>2331.0111894300003</v>
      </c>
      <c r="N56" s="96">
        <f t="shared" si="10"/>
        <v>2329.1968199500002</v>
      </c>
      <c r="O56" s="101">
        <f t="shared" si="25"/>
        <v>4.5359237000000004E-2</v>
      </c>
      <c r="P56" s="96">
        <f t="shared" si="11"/>
        <v>1.8143694800000958</v>
      </c>
      <c r="Q56" s="99"/>
      <c r="S56">
        <f t="shared" si="12"/>
        <v>8915.2718497997012</v>
      </c>
      <c r="T56">
        <f t="shared" si="13"/>
        <v>8913.4574803197011</v>
      </c>
      <c r="V56">
        <f t="shared" si="14"/>
        <v>10.119082982740609</v>
      </c>
      <c r="W56">
        <f t="shared" si="15"/>
        <v>10.119095009315137</v>
      </c>
      <c r="Y56" s="90">
        <f t="shared" si="16"/>
        <v>8914.3646650597002</v>
      </c>
      <c r="Z56" s="99">
        <f t="shared" si="17"/>
        <v>1.0176661759819589E-5</v>
      </c>
      <c r="AA56" s="90">
        <f t="shared" si="18"/>
        <v>-5.7924743443557585</v>
      </c>
      <c r="AB56" s="99">
        <f t="shared" si="26"/>
        <v>8.6318897637795267E-2</v>
      </c>
      <c r="AC56" s="90">
        <f t="shared" si="19"/>
        <v>0.25318284638885724</v>
      </c>
      <c r="AD56" s="99">
        <f t="shared" si="27"/>
        <v>2.9811982784129377E-3</v>
      </c>
      <c r="AE56">
        <f t="shared" si="20"/>
        <v>1.5566759215883231E-2</v>
      </c>
      <c r="AF56" s="99">
        <f t="shared" si="28"/>
        <v>1.618571428525677E-3</v>
      </c>
      <c r="AH56" s="90">
        <f t="shared" si="29"/>
        <v>16.264325983183912</v>
      </c>
      <c r="AI56" s="99">
        <f t="shared" si="30"/>
        <v>1.8826122516959243</v>
      </c>
      <c r="AK56" s="90">
        <f t="shared" si="21"/>
        <v>6.4101553705563682E-2</v>
      </c>
      <c r="AL56" s="99">
        <f t="shared" si="22"/>
        <v>1.5095765315562969E-3</v>
      </c>
    </row>
    <row r="57" spans="2:38">
      <c r="B57" s="90"/>
      <c r="C57" s="83">
        <v>5000</v>
      </c>
      <c r="D57" s="83">
        <v>180</v>
      </c>
      <c r="E57" s="83">
        <f t="shared" si="23"/>
        <v>92.599999199999999</v>
      </c>
      <c r="F57" s="83">
        <v>0.51444444</v>
      </c>
      <c r="G57" s="83">
        <v>53.5</v>
      </c>
      <c r="H57" s="83">
        <f t="shared" si="24"/>
        <v>0.5</v>
      </c>
      <c r="I57" s="83">
        <v>0.2</v>
      </c>
      <c r="J57" s="83">
        <v>5383.3</v>
      </c>
      <c r="K57" s="83">
        <v>5380.6</v>
      </c>
      <c r="L57" s="83">
        <v>0.1</v>
      </c>
      <c r="M57" s="83">
        <f t="shared" si="9"/>
        <v>2441.8238054210001</v>
      </c>
      <c r="N57" s="83">
        <f t="shared" si="10"/>
        <v>2440.5991060220003</v>
      </c>
      <c r="O57" s="101">
        <f t="shared" si="25"/>
        <v>4.5359237000000004E-2</v>
      </c>
      <c r="P57" s="83">
        <f t="shared" si="11"/>
        <v>1.2246993989997463</v>
      </c>
      <c r="Q57" s="99"/>
      <c r="S57">
        <f t="shared" si="12"/>
        <v>9026.0844657907001</v>
      </c>
      <c r="T57">
        <f t="shared" si="13"/>
        <v>9024.8597663917008</v>
      </c>
      <c r="V57">
        <f t="shared" si="14"/>
        <v>10.118357625039513</v>
      </c>
      <c r="W57">
        <f t="shared" si="15"/>
        <v>10.118365544336893</v>
      </c>
      <c r="Y57" s="90">
        <f t="shared" si="16"/>
        <v>9025.4721160912013</v>
      </c>
      <c r="Z57" s="99">
        <f t="shared" si="17"/>
        <v>1.0051382668199837E-5</v>
      </c>
      <c r="AA57" s="90">
        <f t="shared" si="18"/>
        <v>-5.6971962616822429</v>
      </c>
      <c r="AB57" s="99">
        <f t="shared" si="26"/>
        <v>8.7762467191601051E-2</v>
      </c>
      <c r="AC57" s="90">
        <f t="shared" si="19"/>
        <v>0.22864759801155807</v>
      </c>
      <c r="AD57" s="99">
        <f t="shared" si="27"/>
        <v>2.5428270912988687E-3</v>
      </c>
      <c r="AE57">
        <f t="shared" si="20"/>
        <v>1.3058823472657599E-2</v>
      </c>
      <c r="AF57" s="99">
        <f t="shared" si="28"/>
        <v>1.363852883689569E-3</v>
      </c>
      <c r="AH57" s="90">
        <f t="shared" si="29"/>
        <v>17.509050374277404</v>
      </c>
      <c r="AI57" s="99">
        <f t="shared" si="30"/>
        <v>2.0233519497561425</v>
      </c>
      <c r="AK57" s="90">
        <f t="shared" si="21"/>
        <v>5.227972407645505E-2</v>
      </c>
      <c r="AL57" s="99">
        <f t="shared" si="22"/>
        <v>1.1628226131684064E-3</v>
      </c>
    </row>
    <row r="58" spans="2:38">
      <c r="B58" s="90"/>
      <c r="C58" s="83">
        <v>5000</v>
      </c>
      <c r="D58" s="83">
        <v>195</v>
      </c>
      <c r="E58" s="83">
        <f t="shared" si="23"/>
        <v>100.3166658</v>
      </c>
      <c r="F58" s="83">
        <v>0.51444444</v>
      </c>
      <c r="G58" s="83">
        <v>38.94</v>
      </c>
      <c r="H58" s="83">
        <f t="shared" si="24"/>
        <v>0.5</v>
      </c>
      <c r="I58" s="83" t="s">
        <v>81</v>
      </c>
      <c r="J58" s="114">
        <v>5218</v>
      </c>
      <c r="K58" s="96">
        <v>5214</v>
      </c>
      <c r="L58" s="83">
        <v>0.1</v>
      </c>
      <c r="M58" s="96">
        <f t="shared" si="9"/>
        <v>2366.8449866599999</v>
      </c>
      <c r="N58" s="96">
        <f t="shared" si="10"/>
        <v>2365.0306171800003</v>
      </c>
      <c r="O58" s="101">
        <f t="shared" si="25"/>
        <v>4.5359237000000004E-2</v>
      </c>
      <c r="P58" s="96">
        <f t="shared" si="11"/>
        <v>1.814369479999641</v>
      </c>
      <c r="Q58" s="99"/>
      <c r="S58">
        <f t="shared" si="12"/>
        <v>8951.1056470297008</v>
      </c>
      <c r="T58">
        <f t="shared" si="13"/>
        <v>8949.2912775497007</v>
      </c>
      <c r="V58">
        <f t="shared" si="14"/>
        <v>10.118846456918353</v>
      </c>
      <c r="W58">
        <f t="shared" si="15"/>
        <v>10.118858387384368</v>
      </c>
      <c r="Y58" s="90">
        <f t="shared" si="16"/>
        <v>8950.1984622896998</v>
      </c>
      <c r="Z58" s="99">
        <f t="shared" si="17"/>
        <v>1.0135917586881286E-5</v>
      </c>
      <c r="AA58" s="90">
        <f t="shared" si="18"/>
        <v>-7.8274268104776583</v>
      </c>
      <c r="AB58" s="99">
        <f t="shared" si="26"/>
        <v>6.3877952755905507E-2</v>
      </c>
      <c r="AC58" s="90">
        <f t="shared" si="19"/>
        <v>0.19319913051511739</v>
      </c>
      <c r="AD58" s="99">
        <f t="shared" si="27"/>
        <v>1.9834877942095522E-3</v>
      </c>
      <c r="AE58">
        <f t="shared" si="20"/>
        <v>1.3993885106919597E-2</v>
      </c>
      <c r="AF58" s="99">
        <f t="shared" si="28"/>
        <v>1.109333112703999E-3</v>
      </c>
      <c r="AH58" s="90">
        <f t="shared" si="29"/>
        <v>13.805968038110136</v>
      </c>
      <c r="AI58" s="99">
        <f t="shared" si="30"/>
        <v>1.2361760268607858</v>
      </c>
      <c r="AK58" s="90">
        <f t="shared" si="21"/>
        <v>3.7325904031797363E-2</v>
      </c>
      <c r="AL58" s="99">
        <f t="shared" si="22"/>
        <v>7.664162344572672E-4</v>
      </c>
    </row>
    <row r="59" spans="2:38">
      <c r="B59" s="90"/>
      <c r="C59" s="83">
        <v>5000</v>
      </c>
      <c r="D59" s="83">
        <v>195</v>
      </c>
      <c r="E59" s="83">
        <f t="shared" si="23"/>
        <v>100.3166658</v>
      </c>
      <c r="F59" s="83">
        <v>0.51444444</v>
      </c>
      <c r="G59" s="83">
        <v>27.8</v>
      </c>
      <c r="H59" s="83">
        <f t="shared" si="24"/>
        <v>0.5</v>
      </c>
      <c r="I59" s="83" t="s">
        <v>81</v>
      </c>
      <c r="J59" s="114">
        <v>5218</v>
      </c>
      <c r="K59" s="96">
        <v>5215</v>
      </c>
      <c r="L59" s="83">
        <v>0.1</v>
      </c>
      <c r="M59" s="96">
        <f t="shared" si="9"/>
        <v>2366.8449866599999</v>
      </c>
      <c r="N59" s="96">
        <f t="shared" si="10"/>
        <v>2365.4842095500003</v>
      </c>
      <c r="O59" s="101">
        <f t="shared" si="25"/>
        <v>4.5359237000000004E-2</v>
      </c>
      <c r="P59" s="96">
        <f t="shared" si="11"/>
        <v>1.3607771099996171</v>
      </c>
      <c r="Q59" s="99"/>
      <c r="S59">
        <f t="shared" si="12"/>
        <v>8951.1056470297008</v>
      </c>
      <c r="T59">
        <f t="shared" si="13"/>
        <v>8949.7448699197012</v>
      </c>
      <c r="V59">
        <f t="shared" si="14"/>
        <v>10.118846456918353</v>
      </c>
      <c r="W59">
        <f t="shared" si="15"/>
        <v>10.118855404314369</v>
      </c>
      <c r="Y59" s="90">
        <f t="shared" si="16"/>
        <v>8950.425258474701</v>
      </c>
      <c r="Z59" s="99">
        <f t="shared" si="17"/>
        <v>1.0135660751326124E-5</v>
      </c>
      <c r="AA59" s="90">
        <f t="shared" si="18"/>
        <v>-10.964028776978417</v>
      </c>
      <c r="AB59" s="99">
        <f t="shared" si="26"/>
        <v>4.5603674540682419E-2</v>
      </c>
      <c r="AC59" s="90">
        <f t="shared" si="19"/>
        <v>0.19320402614127932</v>
      </c>
      <c r="AD59" s="99">
        <f t="shared" si="27"/>
        <v>1.9835380057599311E-3</v>
      </c>
      <c r="AE59">
        <f t="shared" si="20"/>
        <v>1.960200339107087E-2</v>
      </c>
      <c r="AF59" s="99">
        <f t="shared" si="28"/>
        <v>1.1956913451877191E-3</v>
      </c>
      <c r="AH59" s="90">
        <f t="shared" si="29"/>
        <v>9.8563408181679968</v>
      </c>
      <c r="AI59" s="99">
        <f t="shared" si="30"/>
        <v>0.70241184753267483</v>
      </c>
      <c r="AK59" s="90">
        <f t="shared" si="21"/>
        <v>3.7327795717200143E-2</v>
      </c>
      <c r="AL59" s="99">
        <f t="shared" si="22"/>
        <v>7.6645505743412558E-4</v>
      </c>
    </row>
    <row r="60" spans="2:38">
      <c r="B60" s="90"/>
      <c r="C60" s="83">
        <v>5000</v>
      </c>
      <c r="D60" s="83">
        <v>200</v>
      </c>
      <c r="E60" s="83">
        <f t="shared" si="23"/>
        <v>102.88888799999999</v>
      </c>
      <c r="F60" s="83">
        <v>0.51444444</v>
      </c>
      <c r="G60" s="83">
        <v>36.200000000000003</v>
      </c>
      <c r="H60" s="83">
        <f t="shared" si="24"/>
        <v>0.5</v>
      </c>
      <c r="I60" s="83">
        <v>-0.4</v>
      </c>
      <c r="J60" s="83">
        <v>5424.6</v>
      </c>
      <c r="K60" s="83">
        <v>5422.8</v>
      </c>
      <c r="L60" s="83">
        <v>0.1</v>
      </c>
      <c r="M60" s="83">
        <f t="shared" si="9"/>
        <v>2460.5571703020005</v>
      </c>
      <c r="N60" s="83">
        <f t="shared" si="10"/>
        <v>2459.7407040360004</v>
      </c>
      <c r="O60" s="101">
        <f t="shared" si="25"/>
        <v>4.5359237000000004E-2</v>
      </c>
      <c r="P60" s="83">
        <f t="shared" si="11"/>
        <v>0.81646626600013406</v>
      </c>
      <c r="Q60" s="99"/>
      <c r="S60">
        <f t="shared" si="12"/>
        <v>9044.8178306717018</v>
      </c>
      <c r="T60">
        <f t="shared" si="13"/>
        <v>9044.0013644056999</v>
      </c>
      <c r="V60">
        <f t="shared" si="14"/>
        <v>10.118236756415738</v>
      </c>
      <c r="W60">
        <f t="shared" si="15"/>
        <v>10.118242013861547</v>
      </c>
      <c r="Y60" s="90">
        <f t="shared" si="16"/>
        <v>9044.4095975387008</v>
      </c>
      <c r="Z60" s="99">
        <f t="shared" si="17"/>
        <v>1.0030336753510994E-5</v>
      </c>
      <c r="AA60" s="90">
        <f t="shared" si="18"/>
        <v>-8.4198895027624303</v>
      </c>
      <c r="AB60" s="99">
        <f t="shared" si="26"/>
        <v>5.9383202099737541E-2</v>
      </c>
      <c r="AC60" s="90">
        <f t="shared" si="19"/>
        <v>0.18559315542514473</v>
      </c>
      <c r="AD60" s="99">
        <f t="shared" si="27"/>
        <v>1.8577931160995084E-3</v>
      </c>
      <c r="AE60">
        <f t="shared" si="20"/>
        <v>1.4098960193129067E-2</v>
      </c>
      <c r="AF60" s="99">
        <f t="shared" si="28"/>
        <v>1.0488672227602855E-3</v>
      </c>
      <c r="AH60" s="90">
        <f t="shared" si="29"/>
        <v>13.163605888864838</v>
      </c>
      <c r="AI60" s="99">
        <f t="shared" si="30"/>
        <v>1.1110512868812885</v>
      </c>
      <c r="AK60" s="90">
        <f t="shared" si="21"/>
        <v>3.4444819340661931E-2</v>
      </c>
      <c r="AL60" s="99">
        <f t="shared" si="22"/>
        <v>6.8958737308804003E-4</v>
      </c>
    </row>
    <row r="61" spans="2:38">
      <c r="B61" s="90"/>
      <c r="C61" s="83">
        <v>5000</v>
      </c>
      <c r="D61" s="83">
        <v>215</v>
      </c>
      <c r="E61" s="83">
        <f t="shared" si="23"/>
        <v>110.6055546</v>
      </c>
      <c r="F61" s="83">
        <v>0.51444444</v>
      </c>
      <c r="G61" s="83">
        <v>27.88</v>
      </c>
      <c r="H61" s="83">
        <f t="shared" si="24"/>
        <v>0.5</v>
      </c>
      <c r="I61" s="83" t="s">
        <v>81</v>
      </c>
      <c r="J61" s="83">
        <v>5196</v>
      </c>
      <c r="K61" s="96">
        <v>5194</v>
      </c>
      <c r="L61" s="83">
        <v>0.1</v>
      </c>
      <c r="M61" s="83">
        <f t="shared" si="9"/>
        <v>2356.8659545200003</v>
      </c>
      <c r="N61" s="96">
        <f t="shared" si="10"/>
        <v>2355.9587697800002</v>
      </c>
      <c r="O61" s="101">
        <f t="shared" si="25"/>
        <v>4.5359237000000004E-2</v>
      </c>
      <c r="P61" s="96">
        <f t="shared" si="11"/>
        <v>0.9071847400000479</v>
      </c>
      <c r="Q61" s="99"/>
      <c r="S61">
        <f t="shared" si="12"/>
        <v>8941.1266148897012</v>
      </c>
      <c r="T61">
        <f t="shared" si="13"/>
        <v>8940.2194301497002</v>
      </c>
      <c r="V61">
        <f t="shared" si="14"/>
        <v>10.118912134400647</v>
      </c>
      <c r="W61">
        <f t="shared" si="15"/>
        <v>10.118918112351158</v>
      </c>
      <c r="Y61" s="90">
        <f t="shared" si="16"/>
        <v>8940.6730225197007</v>
      </c>
      <c r="Z61" s="99">
        <f t="shared" si="17"/>
        <v>1.0146716446457552E-5</v>
      </c>
      <c r="AA61" s="90">
        <f t="shared" si="18"/>
        <v>-10.932568149210905</v>
      </c>
      <c r="AB61" s="99">
        <f t="shared" si="26"/>
        <v>4.5734908136482934E-2</v>
      </c>
      <c r="AC61" s="90">
        <f t="shared" si="19"/>
        <v>0.15875777994754964</v>
      </c>
      <c r="AD61" s="99">
        <f t="shared" si="27"/>
        <v>1.4784274278284214E-3</v>
      </c>
      <c r="AE61">
        <f t="shared" si="20"/>
        <v>1.4566911533863951E-2</v>
      </c>
      <c r="AF61" s="99">
        <f t="shared" si="28"/>
        <v>8.6962339785945462E-4</v>
      </c>
      <c r="AH61" s="90">
        <f t="shared" si="29"/>
        <v>10.898520223623427</v>
      </c>
      <c r="AI61" s="99">
        <f t="shared" si="30"/>
        <v>0.75211794832872592</v>
      </c>
      <c r="AK61" s="90">
        <f t="shared" si="21"/>
        <v>2.5204032693874594E-2</v>
      </c>
      <c r="AL61" s="99">
        <f t="shared" si="22"/>
        <v>4.6942371251121269E-4</v>
      </c>
    </row>
    <row r="62" spans="2:38">
      <c r="B62" s="90"/>
      <c r="C62" s="83">
        <v>5000</v>
      </c>
      <c r="D62" s="83">
        <v>220</v>
      </c>
      <c r="E62" s="83">
        <f t="shared" si="23"/>
        <v>113.1777768</v>
      </c>
      <c r="F62" s="83">
        <v>0.51444444</v>
      </c>
      <c r="G62" s="83">
        <v>26.1</v>
      </c>
      <c r="H62" s="83">
        <f t="shared" si="24"/>
        <v>0.5</v>
      </c>
      <c r="I62" s="83" t="s">
        <v>81</v>
      </c>
      <c r="J62" s="83">
        <v>4001.8</v>
      </c>
      <c r="K62" s="83">
        <v>3999.9</v>
      </c>
      <c r="L62" s="83">
        <v>0.1</v>
      </c>
      <c r="M62" s="83">
        <f t="shared" si="9"/>
        <v>1815.1859462660002</v>
      </c>
      <c r="N62" s="83">
        <f t="shared" si="10"/>
        <v>1814.3241207630001</v>
      </c>
      <c r="O62" s="101">
        <f t="shared" si="25"/>
        <v>4.5359237000000004E-2</v>
      </c>
      <c r="P62" s="83">
        <f t="shared" si="11"/>
        <v>0.86182550300009098</v>
      </c>
      <c r="Q62" s="99"/>
      <c r="S62">
        <f t="shared" si="12"/>
        <v>8399.4466066356999</v>
      </c>
      <c r="T62">
        <f t="shared" si="13"/>
        <v>8398.5847811327003</v>
      </c>
      <c r="V62">
        <f t="shared" si="14"/>
        <v>10.122711375820098</v>
      </c>
      <c r="W62">
        <f t="shared" si="15"/>
        <v>10.122717810983215</v>
      </c>
      <c r="Y62" s="90">
        <f t="shared" si="16"/>
        <v>8399.015693884201</v>
      </c>
      <c r="Z62" s="99">
        <f t="shared" si="17"/>
        <v>1.0801083996789918E-5</v>
      </c>
      <c r="AA62" s="90">
        <f t="shared" si="18"/>
        <v>-11.678160919540229</v>
      </c>
      <c r="AB62" s="99">
        <f t="shared" si="26"/>
        <v>4.281496062992126E-2</v>
      </c>
      <c r="AC62" s="90">
        <f t="shared" si="19"/>
        <v>0.14243763557651026</v>
      </c>
      <c r="AD62" s="99">
        <f t="shared" si="27"/>
        <v>1.2964260770162593E-3</v>
      </c>
      <c r="AE62">
        <f t="shared" si="20"/>
        <v>1.364348326922564E-2</v>
      </c>
      <c r="AF62" s="99">
        <f t="shared" si="28"/>
        <v>7.7034006256148908E-4</v>
      </c>
      <c r="AH62" s="90">
        <f t="shared" si="29"/>
        <v>10.439975830643911</v>
      </c>
      <c r="AI62" s="99">
        <f t="shared" si="30"/>
        <v>0.6844848582472709</v>
      </c>
      <c r="AK62" s="90">
        <f t="shared" si="21"/>
        <v>2.0288480028626741E-2</v>
      </c>
      <c r="AL62" s="99">
        <f t="shared" si="22"/>
        <v>3.6931973021985356E-4</v>
      </c>
    </row>
    <row r="63" spans="2:38">
      <c r="B63" s="90"/>
      <c r="C63" s="83">
        <v>5000</v>
      </c>
      <c r="D63" s="83">
        <v>235</v>
      </c>
      <c r="E63" s="83">
        <f t="shared" si="23"/>
        <v>120.8944434</v>
      </c>
      <c r="F63" s="83">
        <v>0.51444444</v>
      </c>
      <c r="G63" s="83">
        <v>18.420000000000002</v>
      </c>
      <c r="H63" s="83">
        <f t="shared" si="24"/>
        <v>0.5</v>
      </c>
      <c r="I63" s="83" t="s">
        <v>81</v>
      </c>
      <c r="J63" s="83">
        <v>5081</v>
      </c>
      <c r="K63" s="96">
        <v>5079.5</v>
      </c>
      <c r="L63" s="83">
        <v>0.1</v>
      </c>
      <c r="M63" s="83">
        <f t="shared" si="9"/>
        <v>2304.7028319700003</v>
      </c>
      <c r="N63" s="96">
        <f t="shared" si="10"/>
        <v>2304.022443415</v>
      </c>
      <c r="O63" s="101">
        <f t="shared" si="25"/>
        <v>4.5359237000000004E-2</v>
      </c>
      <c r="P63" s="96">
        <f t="shared" si="11"/>
        <v>0.6803885550002633</v>
      </c>
      <c r="Q63" s="99"/>
      <c r="S63">
        <f t="shared" si="12"/>
        <v>8888.9634923397007</v>
      </c>
      <c r="T63">
        <f t="shared" si="13"/>
        <v>8888.2831037847009</v>
      </c>
      <c r="V63">
        <f t="shared" si="14"/>
        <v>10.119257848598828</v>
      </c>
      <c r="W63">
        <f t="shared" si="15"/>
        <v>10.119262384723692</v>
      </c>
      <c r="Y63" s="90">
        <f t="shared" si="16"/>
        <v>8888.6232980622008</v>
      </c>
      <c r="Z63" s="99">
        <f t="shared" si="17"/>
        <v>1.0206133273729514E-5</v>
      </c>
      <c r="AA63" s="90">
        <f t="shared" si="18"/>
        <v>-16.547231270358306</v>
      </c>
      <c r="AB63" s="99">
        <f t="shared" si="26"/>
        <v>3.0216535433070867E-2</v>
      </c>
      <c r="AC63" s="90">
        <f t="shared" si="19"/>
        <v>0.13211146280964212</v>
      </c>
      <c r="AD63" s="99">
        <f t="shared" si="27"/>
        <v>1.1257012221721002E-3</v>
      </c>
      <c r="AE63">
        <f t="shared" si="20"/>
        <v>1.6785980262405555E-2</v>
      </c>
      <c r="AF63" s="99">
        <f t="shared" si="28"/>
        <v>7.2167459706233084E-4</v>
      </c>
      <c r="AH63" s="90">
        <f t="shared" si="29"/>
        <v>7.870345415901828</v>
      </c>
      <c r="AI63" s="99">
        <f t="shared" si="30"/>
        <v>0.4054293805036997</v>
      </c>
      <c r="AK63" s="90">
        <f t="shared" si="21"/>
        <v>1.7453438605703451E-2</v>
      </c>
      <c r="AL63" s="99">
        <f t="shared" si="22"/>
        <v>2.974360702955162E-4</v>
      </c>
    </row>
    <row r="64" spans="2:38" ht="15" thickBot="1">
      <c r="B64" s="90"/>
      <c r="C64" s="83">
        <v>5000</v>
      </c>
      <c r="D64" s="83">
        <v>250</v>
      </c>
      <c r="E64" s="83">
        <f t="shared" si="23"/>
        <v>128.61111</v>
      </c>
      <c r="F64" s="83">
        <v>0.51444444</v>
      </c>
      <c r="G64" s="83">
        <v>12.19</v>
      </c>
      <c r="H64" s="83">
        <f t="shared" si="24"/>
        <v>0.5</v>
      </c>
      <c r="I64" s="83" t="s">
        <v>81</v>
      </c>
      <c r="J64" s="83">
        <v>5171</v>
      </c>
      <c r="K64" s="96">
        <v>5170</v>
      </c>
      <c r="L64" s="83">
        <v>0.1</v>
      </c>
      <c r="M64" s="83">
        <f t="shared" si="9"/>
        <v>2345.5261452700001</v>
      </c>
      <c r="N64" s="96">
        <f t="shared" si="10"/>
        <v>2345.0725529000001</v>
      </c>
      <c r="O64" s="101">
        <f t="shared" si="25"/>
        <v>4.5359237000000004E-2</v>
      </c>
      <c r="P64" s="96">
        <f t="shared" si="11"/>
        <v>0.45359237000002395</v>
      </c>
      <c r="Q64" s="99"/>
      <c r="S64">
        <f t="shared" si="12"/>
        <v>8929.7868056397001</v>
      </c>
      <c r="T64">
        <f t="shared" si="13"/>
        <v>8929.3332132696996</v>
      </c>
      <c r="V64">
        <f t="shared" si="14"/>
        <v>10.118986946082174</v>
      </c>
      <c r="W64">
        <f t="shared" si="15"/>
        <v>10.118989942501731</v>
      </c>
      <c r="Y64" s="92">
        <f t="shared" si="16"/>
        <v>8929.5600094547008</v>
      </c>
      <c r="Z64" s="100">
        <f t="shared" si="17"/>
        <v>1.0159344234648341E-5</v>
      </c>
      <c r="AA64" s="92">
        <f t="shared" si="18"/>
        <v>-25.004101722723547</v>
      </c>
      <c r="AB64" s="100">
        <f t="shared" si="26"/>
        <v>1.9996719160104984E-2</v>
      </c>
      <c r="AC64" s="92">
        <f t="shared" si="19"/>
        <v>0.11727130760031977</v>
      </c>
      <c r="AD64" s="100">
        <f t="shared" si="27"/>
        <v>9.3936186038531724E-4</v>
      </c>
      <c r="AE64" s="184">
        <f t="shared" si="20"/>
        <v>2.1164682034744926E-2</v>
      </c>
      <c r="AF64" s="100">
        <f t="shared" si="28"/>
        <v>6.7741540646906045E-4</v>
      </c>
      <c r="AH64" s="92">
        <f t="shared" si="29"/>
        <v>5.5408962633032584</v>
      </c>
      <c r="AI64" s="100">
        <f t="shared" si="30"/>
        <v>0.22173025548363029</v>
      </c>
      <c r="AK64" s="92">
        <f t="shared" si="21"/>
        <v>1.3752559586288817E-2</v>
      </c>
      <c r="AL64" s="100">
        <f t="shared" si="22"/>
        <v>2.2032038735451034E-4</v>
      </c>
    </row>
    <row r="65" spans="2:26" ht="15" thickBot="1">
      <c r="B65" s="92"/>
      <c r="C65" s="95"/>
      <c r="D65" s="95"/>
      <c r="E65" s="95"/>
      <c r="F65" s="95"/>
      <c r="G65" s="95"/>
      <c r="H65" s="95"/>
      <c r="I65" s="95"/>
      <c r="J65" s="95"/>
      <c r="K65" s="95"/>
      <c r="L65" s="95"/>
      <c r="M65" s="95"/>
      <c r="N65" s="95"/>
      <c r="O65" s="184"/>
      <c r="P65" s="95"/>
      <c r="Q65" s="100"/>
      <c r="Y65" s="109"/>
    </row>
    <row r="67" spans="2:26" ht="15" thickBot="1">
      <c r="O67" s="63" t="s">
        <v>28</v>
      </c>
      <c r="T67" s="63" t="s">
        <v>82</v>
      </c>
    </row>
    <row r="68" spans="2:26">
      <c r="B68" s="119" t="s">
        <v>83</v>
      </c>
      <c r="C68" s="86"/>
      <c r="D68" s="86"/>
      <c r="E68" s="86"/>
      <c r="F68" s="86" t="s">
        <v>84</v>
      </c>
      <c r="G68" s="86"/>
      <c r="H68" s="86"/>
      <c r="I68" s="86"/>
      <c r="J68" s="86"/>
      <c r="K68" s="86"/>
      <c r="L68" s="94"/>
      <c r="T68" s="63" t="s">
        <v>85</v>
      </c>
    </row>
    <row r="69" spans="2:26">
      <c r="B69" s="90"/>
      <c r="C69" s="97" t="s">
        <v>86</v>
      </c>
      <c r="D69" s="97" t="s">
        <v>87</v>
      </c>
      <c r="E69" s="97" t="s">
        <v>88</v>
      </c>
      <c r="F69" s="113" t="s">
        <v>89</v>
      </c>
      <c r="G69" s="97" t="s">
        <v>53</v>
      </c>
      <c r="H69" s="97" t="s">
        <v>90</v>
      </c>
      <c r="I69" s="97" t="s">
        <v>57</v>
      </c>
      <c r="J69" s="97" t="s">
        <v>91</v>
      </c>
      <c r="K69" s="97" t="s">
        <v>92</v>
      </c>
      <c r="L69" s="89"/>
      <c r="O69" s="63" t="s">
        <v>40</v>
      </c>
      <c r="P69" s="63" t="s">
        <v>93</v>
      </c>
      <c r="Q69" s="63" t="s">
        <v>94</v>
      </c>
      <c r="S69" s="63" t="s">
        <v>95</v>
      </c>
      <c r="T69" s="63" t="s">
        <v>74</v>
      </c>
      <c r="U69" s="63" t="s">
        <v>96</v>
      </c>
    </row>
    <row r="70" spans="2:26">
      <c r="B70" s="90"/>
      <c r="C70" s="227">
        <v>4</v>
      </c>
      <c r="D70" s="115">
        <v>5000</v>
      </c>
      <c r="E70" s="115">
        <v>5120</v>
      </c>
      <c r="F70" s="115">
        <v>345</v>
      </c>
      <c r="G70" s="115">
        <f>F70*0.51444444</f>
        <v>177.4833318</v>
      </c>
      <c r="H70" s="115">
        <v>1.2</v>
      </c>
      <c r="I70" s="115">
        <v>-1.7</v>
      </c>
      <c r="J70" s="115">
        <v>5436</v>
      </c>
      <c r="K70" s="115">
        <f>J70*0.45359237</f>
        <v>2465.7281233200001</v>
      </c>
      <c r="L70" s="89"/>
      <c r="O70" s="105">
        <f t="shared" ref="O70:O87" si="31">$D$15+$D$16+K70</f>
        <v>9049.9887836896996</v>
      </c>
      <c r="P70" s="105">
        <f t="shared" ref="P70:P87" si="32">((($D$15+$D$16)*$C$12)+K70*$C$13)/O70</f>
        <v>10.118203481288164</v>
      </c>
      <c r="Q70" s="229">
        <f>AVERAGE(P70:P75)</f>
        <v>10.118337485224503</v>
      </c>
      <c r="S70" s="105">
        <f>(2*O70*9.81)/($C$19*G70^2*$C$3)</f>
        <v>6.2409625365696435E-2</v>
      </c>
      <c r="T70">
        <f t="shared" ref="T70:T86" si="33">S70*(2*(0.01/$C$16)+2*(0.1/J70)+2*(0.5/F70))</f>
        <v>1.8434742482128635E-4</v>
      </c>
      <c r="U70" s="229">
        <v>-6.5107999999999997</v>
      </c>
      <c r="Z70" s="186" t="s">
        <v>97</v>
      </c>
    </row>
    <row r="71" spans="2:26">
      <c r="B71" s="90"/>
      <c r="C71" s="227"/>
      <c r="D71" s="115">
        <v>5000</v>
      </c>
      <c r="E71" s="115">
        <v>7740</v>
      </c>
      <c r="F71" s="115">
        <v>300</v>
      </c>
      <c r="G71" s="115">
        <f t="shared" ref="G71:G87" si="34">F71*0.51444444</f>
        <v>154.33333200000001</v>
      </c>
      <c r="H71" s="115">
        <v>1.1499999999999999</v>
      </c>
      <c r="I71" s="115">
        <v>-1.5</v>
      </c>
      <c r="J71" s="115">
        <v>5358.7</v>
      </c>
      <c r="K71" s="115">
        <f t="shared" ref="K71:K87" si="35">J71*0.45359237</f>
        <v>2430.6654331190002</v>
      </c>
      <c r="L71" s="89"/>
      <c r="O71" s="105">
        <f t="shared" si="31"/>
        <v>9014.9260934887006</v>
      </c>
      <c r="P71" s="105">
        <f t="shared" si="32"/>
        <v>10.11842985814493</v>
      </c>
      <c r="Q71" s="229"/>
      <c r="S71" s="105">
        <f t="shared" ref="S71:S87" si="36">(2*O71*9.81)/($C$19*G71^2*$C$3)</f>
        <v>8.221695458867774E-2</v>
      </c>
      <c r="T71">
        <f t="shared" si="33"/>
        <v>2.786450451517421E-4</v>
      </c>
      <c r="U71" s="229"/>
    </row>
    <row r="72" spans="2:26">
      <c r="B72" s="90"/>
      <c r="C72" s="227"/>
      <c r="D72" s="115">
        <v>5000</v>
      </c>
      <c r="E72" s="118">
        <v>12160</v>
      </c>
      <c r="F72" s="115">
        <v>262</v>
      </c>
      <c r="G72" s="115">
        <f t="shared" si="34"/>
        <v>134.78444328</v>
      </c>
      <c r="H72" s="115">
        <v>0.99</v>
      </c>
      <c r="I72" s="115">
        <v>-1.3</v>
      </c>
      <c r="J72" s="115">
        <v>5291.8</v>
      </c>
      <c r="K72" s="115">
        <f t="shared" si="35"/>
        <v>2400.3201035660004</v>
      </c>
      <c r="L72" s="89"/>
      <c r="O72" s="105">
        <f t="shared" si="31"/>
        <v>8984.5807639357008</v>
      </c>
      <c r="P72" s="105">
        <f t="shared" si="32"/>
        <v>10.118627204392654</v>
      </c>
      <c r="Q72" s="229"/>
      <c r="S72" s="105">
        <f t="shared" si="36"/>
        <v>0.10743281591186328</v>
      </c>
      <c r="T72">
        <f t="shared" si="33"/>
        <v>4.1609543419159544E-4</v>
      </c>
      <c r="U72" s="229"/>
    </row>
    <row r="73" spans="2:26">
      <c r="B73" s="90"/>
      <c r="C73" s="227"/>
      <c r="D73" s="115">
        <v>5000</v>
      </c>
      <c r="E73" s="118">
        <v>12060</v>
      </c>
      <c r="F73" s="115">
        <v>228</v>
      </c>
      <c r="G73" s="115">
        <f t="shared" si="34"/>
        <v>117.29333232</v>
      </c>
      <c r="H73" s="115">
        <v>0.8</v>
      </c>
      <c r="I73" s="115">
        <v>-0.9</v>
      </c>
      <c r="J73" s="115">
        <v>5248</v>
      </c>
      <c r="K73" s="115">
        <f t="shared" si="35"/>
        <v>2380.4527577600002</v>
      </c>
      <c r="L73" s="89"/>
      <c r="O73" s="105">
        <f t="shared" si="31"/>
        <v>8964.7134181297006</v>
      </c>
      <c r="P73" s="105">
        <f t="shared" si="32"/>
        <v>10.11875713235454</v>
      </c>
      <c r="Q73" s="229"/>
      <c r="S73" s="105">
        <f t="shared" si="36"/>
        <v>0.14154953319607821</v>
      </c>
      <c r="T73">
        <f t="shared" si="33"/>
        <v>6.2884260605154685E-4</v>
      </c>
      <c r="U73" s="229"/>
    </row>
    <row r="74" spans="2:26">
      <c r="B74" s="90"/>
      <c r="C74" s="227"/>
      <c r="D74" s="115">
        <v>5000</v>
      </c>
      <c r="E74" s="115" t="s">
        <v>81</v>
      </c>
      <c r="F74" s="115">
        <v>205</v>
      </c>
      <c r="G74" s="115">
        <f t="shared" si="34"/>
        <v>105.46111020000001</v>
      </c>
      <c r="H74" s="115">
        <v>0.53</v>
      </c>
      <c r="I74" s="115">
        <v>-0.5</v>
      </c>
      <c r="J74" s="115">
        <v>5510.8</v>
      </c>
      <c r="K74" s="115">
        <f t="shared" si="35"/>
        <v>2499.6568325960002</v>
      </c>
      <c r="L74" s="89"/>
      <c r="O74" s="105">
        <f t="shared" si="31"/>
        <v>9083.9174929657001</v>
      </c>
      <c r="P74" s="105">
        <f t="shared" si="32"/>
        <v>10.117986089507911</v>
      </c>
      <c r="Q74" s="229"/>
      <c r="S74" s="105">
        <f t="shared" si="36"/>
        <v>0.17742188279355167</v>
      </c>
      <c r="T74">
        <f t="shared" si="33"/>
        <v>8.7519175307657039E-4</v>
      </c>
      <c r="U74" s="229"/>
    </row>
    <row r="75" spans="2:26">
      <c r="B75" s="90"/>
      <c r="C75" s="227"/>
      <c r="D75" s="115">
        <v>5000</v>
      </c>
      <c r="E75" s="115" t="s">
        <v>81</v>
      </c>
      <c r="F75" s="115">
        <v>177</v>
      </c>
      <c r="G75" s="115">
        <f t="shared" si="34"/>
        <v>91.056665879999997</v>
      </c>
      <c r="H75" s="115">
        <v>0.08</v>
      </c>
      <c r="I75" s="115">
        <v>0.1</v>
      </c>
      <c r="J75" s="115">
        <v>5498.7</v>
      </c>
      <c r="K75" s="115">
        <f t="shared" si="35"/>
        <v>2494.1683649189999</v>
      </c>
      <c r="L75" s="89"/>
      <c r="O75" s="105">
        <f t="shared" si="31"/>
        <v>9078.4290252887004</v>
      </c>
      <c r="P75" s="105">
        <f t="shared" si="32"/>
        <v>10.118021145658824</v>
      </c>
      <c r="Q75" s="229"/>
      <c r="S75" s="105">
        <f t="shared" si="36"/>
        <v>0.23785150003915551</v>
      </c>
      <c r="T75">
        <f t="shared" si="33"/>
        <v>1.3568422636940872E-3</v>
      </c>
      <c r="U75" s="229"/>
    </row>
    <row r="76" spans="2:26">
      <c r="B76" s="90"/>
      <c r="C76" s="228">
        <v>0</v>
      </c>
      <c r="D76" s="116">
        <v>5000</v>
      </c>
      <c r="E76" s="116" t="s">
        <v>81</v>
      </c>
      <c r="F76" s="116">
        <v>345</v>
      </c>
      <c r="G76" s="116">
        <f t="shared" si="34"/>
        <v>177.4833318</v>
      </c>
      <c r="H76" s="116">
        <v>1.1299999999999999</v>
      </c>
      <c r="I76" s="116">
        <v>-1.7</v>
      </c>
      <c r="J76" s="116">
        <v>5308</v>
      </c>
      <c r="K76" s="116">
        <f t="shared" si="35"/>
        <v>2407.6682999600002</v>
      </c>
      <c r="L76" s="89"/>
      <c r="O76" s="106">
        <f t="shared" si="31"/>
        <v>8991.9289603297002</v>
      </c>
      <c r="P76" s="106">
        <f t="shared" si="32"/>
        <v>10.118579294293074</v>
      </c>
      <c r="Q76" s="230">
        <f>AVERAGE(P76:P81)</f>
        <v>10.118529301239633</v>
      </c>
      <c r="S76" s="106">
        <f t="shared" si="36"/>
        <v>6.2009239032486112E-2</v>
      </c>
      <c r="T76">
        <f t="shared" si="33"/>
        <v>1.8321976727056968E-4</v>
      </c>
      <c r="U76" s="230">
        <v>-6.0275999999999996</v>
      </c>
    </row>
    <row r="77" spans="2:26">
      <c r="B77" s="90"/>
      <c r="C77" s="228"/>
      <c r="D77" s="116">
        <v>5000</v>
      </c>
      <c r="E77" s="116" t="s">
        <v>81</v>
      </c>
      <c r="F77" s="116">
        <v>299</v>
      </c>
      <c r="G77" s="116">
        <f t="shared" si="34"/>
        <v>153.81888756000001</v>
      </c>
      <c r="H77" s="116">
        <v>0.94</v>
      </c>
      <c r="I77" s="116">
        <v>-1.5</v>
      </c>
      <c r="J77" s="116">
        <v>5246.5</v>
      </c>
      <c r="K77" s="116">
        <f t="shared" si="35"/>
        <v>2379.7723692049999</v>
      </c>
      <c r="L77" s="89"/>
      <c r="O77" s="106">
        <f t="shared" si="31"/>
        <v>8964.0330295747008</v>
      </c>
      <c r="P77" s="106">
        <f t="shared" si="32"/>
        <v>10.118761592141807</v>
      </c>
      <c r="Q77" s="230"/>
      <c r="S77" s="106">
        <f t="shared" si="36"/>
        <v>8.230056112471347E-2</v>
      </c>
      <c r="T77">
        <f t="shared" si="33"/>
        <v>2.7991159831664057E-4</v>
      </c>
      <c r="U77" s="230"/>
    </row>
    <row r="78" spans="2:26">
      <c r="B78" s="90"/>
      <c r="C78" s="228"/>
      <c r="D78" s="116">
        <v>5000</v>
      </c>
      <c r="E78" s="116" t="s">
        <v>81</v>
      </c>
      <c r="F78" s="116">
        <v>261</v>
      </c>
      <c r="G78" s="116">
        <f t="shared" si="34"/>
        <v>134.26999884</v>
      </c>
      <c r="H78" s="116">
        <v>0.79</v>
      </c>
      <c r="I78" s="116">
        <v>-1.1000000000000001</v>
      </c>
      <c r="J78" s="116">
        <v>5225</v>
      </c>
      <c r="K78" s="116">
        <f t="shared" si="35"/>
        <v>2370.0201332500001</v>
      </c>
      <c r="L78" s="89"/>
      <c r="O78" s="106">
        <f t="shared" si="31"/>
        <v>8954.2807936197005</v>
      </c>
      <c r="P78" s="106">
        <f t="shared" si="32"/>
        <v>10.118825590236671</v>
      </c>
      <c r="Q78" s="230"/>
      <c r="S78" s="106">
        <f t="shared" si="36"/>
        <v>0.1078925404671665</v>
      </c>
      <c r="T78">
        <f t="shared" si="33"/>
        <v>4.195059062029216E-4</v>
      </c>
      <c r="U78" s="230"/>
    </row>
    <row r="79" spans="2:26">
      <c r="B79" s="90"/>
      <c r="C79" s="228"/>
      <c r="D79" s="116">
        <v>5000</v>
      </c>
      <c r="E79" s="116" t="s">
        <v>81</v>
      </c>
      <c r="F79" s="116">
        <v>228</v>
      </c>
      <c r="G79" s="116">
        <f t="shared" si="34"/>
        <v>117.29333232</v>
      </c>
      <c r="H79" s="126">
        <v>0.21</v>
      </c>
      <c r="I79" s="116">
        <v>-0.8</v>
      </c>
      <c r="J79" s="116">
        <v>5202</v>
      </c>
      <c r="K79" s="116">
        <f t="shared" si="35"/>
        <v>2359.58750874</v>
      </c>
      <c r="L79" s="89"/>
      <c r="O79" s="106">
        <f t="shared" si="31"/>
        <v>8943.8481691097004</v>
      </c>
      <c r="P79" s="106">
        <f t="shared" si="32"/>
        <v>10.11889420782531</v>
      </c>
      <c r="Q79" s="230"/>
      <c r="S79" s="124">
        <f t="shared" si="36"/>
        <v>0.14122007857538413</v>
      </c>
      <c r="T79">
        <f t="shared" si="33"/>
        <v>6.2742657388783465E-4</v>
      </c>
      <c r="U79" s="230"/>
    </row>
    <row r="80" spans="2:26">
      <c r="B80" s="90"/>
      <c r="C80" s="228"/>
      <c r="D80" s="116">
        <v>5000</v>
      </c>
      <c r="E80" s="116" t="s">
        <v>81</v>
      </c>
      <c r="F80" s="116">
        <v>200</v>
      </c>
      <c r="G80" s="116">
        <f t="shared" si="34"/>
        <v>102.88888799999999</v>
      </c>
      <c r="H80" s="126">
        <v>0.17</v>
      </c>
      <c r="I80" s="116">
        <v>-0.2</v>
      </c>
      <c r="J80" s="116">
        <v>5494.9</v>
      </c>
      <c r="K80" s="116">
        <f t="shared" si="35"/>
        <v>2492.4447139129998</v>
      </c>
      <c r="L80" s="89"/>
      <c r="O80" s="106">
        <f t="shared" si="31"/>
        <v>9076.7053742827011</v>
      </c>
      <c r="P80" s="106">
        <f t="shared" si="32"/>
        <v>10.118032163776295</v>
      </c>
      <c r="Q80" s="230"/>
      <c r="S80" s="124">
        <f t="shared" si="36"/>
        <v>0.18625587144305442</v>
      </c>
      <c r="T80">
        <f t="shared" si="33"/>
        <v>9.4150199608852489E-4</v>
      </c>
      <c r="U80" s="230"/>
    </row>
    <row r="81" spans="2:21">
      <c r="B81" s="90"/>
      <c r="C81" s="228"/>
      <c r="D81" s="116">
        <v>5000</v>
      </c>
      <c r="E81" s="116" t="s">
        <v>81</v>
      </c>
      <c r="F81" s="116">
        <v>177</v>
      </c>
      <c r="G81" s="116">
        <f t="shared" si="34"/>
        <v>91.056665879999997</v>
      </c>
      <c r="H81" s="116">
        <v>0.04</v>
      </c>
      <c r="I81" s="116">
        <v>0.2</v>
      </c>
      <c r="J81" s="116">
        <v>5477.4</v>
      </c>
      <c r="K81" s="116">
        <f t="shared" si="35"/>
        <v>2484.506847438</v>
      </c>
      <c r="L81" s="89"/>
      <c r="O81" s="106">
        <f t="shared" si="31"/>
        <v>9068.7675078077009</v>
      </c>
      <c r="P81" s="106">
        <f t="shared" si="32"/>
        <v>10.118082959164637</v>
      </c>
      <c r="Q81" s="230"/>
      <c r="S81" s="106">
        <f t="shared" si="36"/>
        <v>0.23759837183612512</v>
      </c>
      <c r="T81">
        <f t="shared" si="33"/>
        <v>1.3554318804332034E-3</v>
      </c>
      <c r="U81" s="230"/>
    </row>
    <row r="82" spans="2:21">
      <c r="B82" s="90"/>
      <c r="C82" s="224">
        <v>-4</v>
      </c>
      <c r="D82" s="117">
        <v>5000</v>
      </c>
      <c r="E82" s="117">
        <v>5189</v>
      </c>
      <c r="F82" s="117">
        <v>346</v>
      </c>
      <c r="G82" s="117">
        <f t="shared" si="34"/>
        <v>177.99777624000001</v>
      </c>
      <c r="H82" s="117">
        <v>1.36</v>
      </c>
      <c r="I82" s="117">
        <v>-1.4</v>
      </c>
      <c r="J82" s="117">
        <v>5510.8</v>
      </c>
      <c r="K82" s="117">
        <f t="shared" si="35"/>
        <v>2499.6568325960002</v>
      </c>
      <c r="L82" s="89"/>
      <c r="O82" s="107">
        <f t="shared" si="31"/>
        <v>9083.9174929657001</v>
      </c>
      <c r="P82" s="107">
        <f t="shared" si="32"/>
        <v>10.117986089507911</v>
      </c>
      <c r="Q82" s="231">
        <f>AVERAGE(P82:P87)</f>
        <v>10.117986089507911</v>
      </c>
      <c r="S82" s="107">
        <f t="shared" si="36"/>
        <v>6.228202265694651E-2</v>
      </c>
      <c r="T82">
        <f t="shared" si="33"/>
        <v>1.8341764918363687E-4</v>
      </c>
      <c r="U82" s="231">
        <v>-8.0366999999999997</v>
      </c>
    </row>
    <row r="83" spans="2:21">
      <c r="B83" s="90"/>
      <c r="C83" s="224"/>
      <c r="D83" s="117">
        <v>5000</v>
      </c>
      <c r="E83" s="117">
        <v>4840</v>
      </c>
      <c r="F83" s="117">
        <v>300</v>
      </c>
      <c r="G83" s="117">
        <f t="shared" si="34"/>
        <v>154.33333200000001</v>
      </c>
      <c r="H83" s="117">
        <v>1.0900000000000001</v>
      </c>
      <c r="I83" s="117">
        <v>-1.6</v>
      </c>
      <c r="J83" s="117">
        <v>5510.8</v>
      </c>
      <c r="K83" s="117">
        <f t="shared" si="35"/>
        <v>2499.6568325960002</v>
      </c>
      <c r="L83" s="89"/>
      <c r="O83" s="107">
        <f t="shared" si="31"/>
        <v>9083.9174929657001</v>
      </c>
      <c r="P83" s="107">
        <f t="shared" si="32"/>
        <v>10.117986089507911</v>
      </c>
      <c r="Q83" s="231"/>
      <c r="S83" s="107">
        <f t="shared" si="36"/>
        <v>8.2846162493322315E-2</v>
      </c>
      <c r="T83">
        <f t="shared" si="33"/>
        <v>2.806921799817942E-4</v>
      </c>
      <c r="U83" s="231"/>
    </row>
    <row r="84" spans="2:21">
      <c r="B84" s="90"/>
      <c r="C84" s="224"/>
      <c r="D84" s="117">
        <v>5000</v>
      </c>
      <c r="E84" s="117">
        <v>4807</v>
      </c>
      <c r="F84" s="117">
        <v>261</v>
      </c>
      <c r="G84" s="117">
        <f t="shared" si="34"/>
        <v>134.26999884</v>
      </c>
      <c r="H84" s="127">
        <v>0.14000000000000001</v>
      </c>
      <c r="I84" s="117">
        <v>-1</v>
      </c>
      <c r="J84" s="117">
        <v>5510.8</v>
      </c>
      <c r="K84" s="117">
        <f t="shared" si="35"/>
        <v>2499.6568325960002</v>
      </c>
      <c r="L84" s="89"/>
      <c r="O84" s="107">
        <f t="shared" si="31"/>
        <v>9083.9174929657001</v>
      </c>
      <c r="P84" s="107">
        <f t="shared" si="32"/>
        <v>10.117986089507911</v>
      </c>
      <c r="Q84" s="231"/>
      <c r="S84" s="125">
        <f t="shared" si="36"/>
        <v>0.10945456796581098</v>
      </c>
      <c r="T84">
        <f t="shared" si="33"/>
        <v>4.2536207174647235E-4</v>
      </c>
      <c r="U84" s="231"/>
    </row>
    <row r="85" spans="2:21">
      <c r="B85" s="90"/>
      <c r="C85" s="224"/>
      <c r="D85" s="117">
        <v>5000</v>
      </c>
      <c r="E85" s="117">
        <v>4935</v>
      </c>
      <c r="F85" s="117">
        <v>228</v>
      </c>
      <c r="G85" s="117">
        <f t="shared" si="34"/>
        <v>117.29333232</v>
      </c>
      <c r="H85" s="127">
        <v>0.37</v>
      </c>
      <c r="I85" s="117">
        <v>-0.4</v>
      </c>
      <c r="J85" s="117">
        <v>5510.8</v>
      </c>
      <c r="K85" s="117">
        <f t="shared" si="35"/>
        <v>2499.6568325960002</v>
      </c>
      <c r="L85" s="89"/>
      <c r="O85" s="107">
        <f t="shared" si="31"/>
        <v>9083.9174929657001</v>
      </c>
      <c r="P85" s="107">
        <f t="shared" si="32"/>
        <v>10.117986089507911</v>
      </c>
      <c r="Q85" s="231"/>
      <c r="S85" s="125">
        <f t="shared" si="36"/>
        <v>0.14343172176821734</v>
      </c>
      <c r="T85">
        <f t="shared" si="33"/>
        <v>6.3694367523696384E-4</v>
      </c>
      <c r="U85" s="231"/>
    </row>
    <row r="86" spans="2:21">
      <c r="B86" s="90"/>
      <c r="C86" s="224"/>
      <c r="D86" s="117">
        <v>5000</v>
      </c>
      <c r="E86" s="117" t="s">
        <v>81</v>
      </c>
      <c r="F86" s="117">
        <v>202</v>
      </c>
      <c r="G86" s="117">
        <f t="shared" si="34"/>
        <v>103.91777688000001</v>
      </c>
      <c r="H86" s="117">
        <v>0.36</v>
      </c>
      <c r="I86" s="117">
        <v>-0.5</v>
      </c>
      <c r="J86" s="117">
        <v>5510.8</v>
      </c>
      <c r="K86" s="117">
        <f t="shared" si="35"/>
        <v>2499.6568325960002</v>
      </c>
      <c r="L86" s="89"/>
      <c r="O86" s="107">
        <f t="shared" si="31"/>
        <v>9083.9174929657001</v>
      </c>
      <c r="P86" s="107">
        <f t="shared" si="32"/>
        <v>10.117986089507911</v>
      </c>
      <c r="Q86" s="231"/>
      <c r="S86" s="107">
        <f t="shared" si="36"/>
        <v>0.1827309730516373</v>
      </c>
      <c r="T86">
        <f t="shared" si="33"/>
        <v>9.1461876303292609E-4</v>
      </c>
      <c r="U86" s="231"/>
    </row>
    <row r="87" spans="2:21">
      <c r="B87" s="90"/>
      <c r="C87" s="224"/>
      <c r="D87" s="117">
        <v>5000</v>
      </c>
      <c r="E87" s="117" t="s">
        <v>81</v>
      </c>
      <c r="F87" s="117">
        <v>184</v>
      </c>
      <c r="G87" s="117">
        <f t="shared" si="34"/>
        <v>94.657776960000007</v>
      </c>
      <c r="H87" s="117">
        <v>0.04</v>
      </c>
      <c r="I87" s="117">
        <v>0</v>
      </c>
      <c r="J87" s="117">
        <v>5510.8</v>
      </c>
      <c r="K87" s="117">
        <f t="shared" si="35"/>
        <v>2499.6568325960002</v>
      </c>
      <c r="L87" s="89"/>
      <c r="O87" s="107">
        <f t="shared" si="31"/>
        <v>9083.9174929657001</v>
      </c>
      <c r="P87" s="107">
        <f t="shared" si="32"/>
        <v>10.117986089507911</v>
      </c>
      <c r="Q87" s="231"/>
      <c r="S87" s="107">
        <f t="shared" si="36"/>
        <v>0.22023141021972498</v>
      </c>
      <c r="T87">
        <f>S87*(2*(0.01/$C$16)+2*(0.1/J87)+2*(0.5/F87))</f>
        <v>1.2089740941278997E-3</v>
      </c>
      <c r="U87" s="231"/>
    </row>
    <row r="88" spans="2:21" ht="15" thickBot="1">
      <c r="B88" s="92"/>
      <c r="C88" s="95"/>
      <c r="D88" s="95"/>
      <c r="E88" s="95"/>
      <c r="F88" s="95"/>
      <c r="G88" s="95"/>
      <c r="H88" s="95"/>
      <c r="I88" s="95"/>
      <c r="J88" s="95"/>
      <c r="K88" s="95"/>
      <c r="L88" s="93"/>
    </row>
    <row r="89" spans="2:21">
      <c r="U89" t="s">
        <v>98</v>
      </c>
    </row>
    <row r="90" spans="2:21">
      <c r="U90">
        <v>1E-3</v>
      </c>
    </row>
    <row r="91" spans="2:21">
      <c r="U91">
        <v>6.9999999999999999E-4</v>
      </c>
    </row>
    <row r="92" spans="2:21">
      <c r="U92">
        <v>5.9999999999999995E-4</v>
      </c>
    </row>
    <row r="100" spans="22:25">
      <c r="V100" s="101" t="s">
        <v>99</v>
      </c>
      <c r="W100" s="101">
        <v>3777.8</v>
      </c>
    </row>
    <row r="101" spans="22:25">
      <c r="V101" s="101" t="s">
        <v>100</v>
      </c>
      <c r="W101" s="101">
        <v>-38232</v>
      </c>
    </row>
    <row r="103" spans="22:25" ht="15.6">
      <c r="V103" s="128" t="s">
        <v>101</v>
      </c>
      <c r="W103" s="101">
        <f>1/(W100*F6)</f>
        <v>4.1983239535079282E-4</v>
      </c>
    </row>
    <row r="104" spans="22:25" ht="15.6">
      <c r="V104" s="129" t="s">
        <v>102</v>
      </c>
      <c r="W104" s="130">
        <f>-W101*W103*F6</f>
        <v>10.120175763671977</v>
      </c>
      <c r="Y104" s="186" t="s">
        <v>103</v>
      </c>
    </row>
    <row r="105" spans="22:25">
      <c r="Y105" s="186" t="s">
        <v>104</v>
      </c>
    </row>
    <row r="106" spans="22:25">
      <c r="V106" s="101" t="s">
        <v>105</v>
      </c>
      <c r="W106" s="101">
        <f t="shared" ref="W106:W122" si="37">$W$103*$F$6*((($W$104-P70)/($W$103*$C$4*$F$6))*S70+(H70))</f>
        <v>3.5012260580766301E-4</v>
      </c>
    </row>
    <row r="107" spans="22:25">
      <c r="W107" s="101">
        <f t="shared" si="37"/>
        <v>3.4228412588834992E-4</v>
      </c>
    </row>
    <row r="108" spans="22:25">
      <c r="W108" s="101">
        <f t="shared" si="37"/>
        <v>3.0595334639174296E-4</v>
      </c>
    </row>
    <row r="109" spans="22:25">
      <c r="W109" s="101">
        <f t="shared" si="37"/>
        <v>2.6474673218340982E-4</v>
      </c>
    </row>
    <row r="110" spans="22:25">
      <c r="W110" s="101">
        <f t="shared" si="37"/>
        <v>2.4279886307657908E-4</v>
      </c>
    </row>
    <row r="111" spans="22:25">
      <c r="W111" s="101">
        <f t="shared" si="37"/>
        <v>1.5639511289213798E-4</v>
      </c>
    </row>
    <row r="112" spans="22:25">
      <c r="W112" s="101">
        <f t="shared" si="37"/>
        <v>3.2523616494791423E-4</v>
      </c>
    </row>
    <row r="113" spans="22:23">
      <c r="W113" s="101">
        <f t="shared" si="37"/>
        <v>2.7953106587381906E-4</v>
      </c>
    </row>
    <row r="114" spans="22:23">
      <c r="W114" s="101">
        <f t="shared" si="37"/>
        <v>2.4755273411433926E-4</v>
      </c>
    </row>
    <row r="115" spans="22:23">
      <c r="W115" s="101">
        <f t="shared" si="37"/>
        <v>1.0334026117319141E-4</v>
      </c>
    </row>
    <row r="116" spans="22:23">
      <c r="W116" s="101">
        <f t="shared" si="37"/>
        <v>1.5034487160054403E-4</v>
      </c>
    </row>
    <row r="117" spans="22:23">
      <c r="W117" s="101">
        <f t="shared" si="37"/>
        <v>1.4178789425489021E-4</v>
      </c>
    </row>
    <row r="118" spans="22:23">
      <c r="W118" s="101">
        <f t="shared" si="37"/>
        <v>3.9598134830146921E-4</v>
      </c>
    </row>
    <row r="119" spans="22:23">
      <c r="W119" s="101">
        <f t="shared" si="37"/>
        <v>3.3639212129844143E-4</v>
      </c>
    </row>
    <row r="120" spans="22:23">
      <c r="W120" s="101">
        <f t="shared" si="37"/>
        <v>1.0029603023782033E-4</v>
      </c>
    </row>
    <row r="121" spans="22:23">
      <c r="W121" s="101">
        <f t="shared" si="37"/>
        <v>1.8080834057722448E-4</v>
      </c>
    </row>
    <row r="122" spans="22:23">
      <c r="W122" s="101">
        <f t="shared" si="37"/>
        <v>2.0086645700856303E-4</v>
      </c>
    </row>
    <row r="124" spans="22:23">
      <c r="V124" s="101" t="s">
        <v>106</v>
      </c>
      <c r="W124" s="101">
        <f>AVERAGE(W106:W122)</f>
        <v>2.4261400444871174E-4</v>
      </c>
    </row>
  </sheetData>
  <mergeCells count="12">
    <mergeCell ref="Q70:Q75"/>
    <mergeCell ref="Q76:Q81"/>
    <mergeCell ref="Q82:Q87"/>
    <mergeCell ref="U70:U75"/>
    <mergeCell ref="U76:U81"/>
    <mergeCell ref="U82:U87"/>
    <mergeCell ref="C82:C87"/>
    <mergeCell ref="B2:C2"/>
    <mergeCell ref="E2:F2"/>
    <mergeCell ref="B8:C8"/>
    <mergeCell ref="C70:C75"/>
    <mergeCell ref="C76:C81"/>
  </mergeCells>
  <phoneticPr fontId="1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BD645-55AA-4C1B-936C-2CB7BCDC3106}">
  <dimension ref="A2:ED141"/>
  <sheetViews>
    <sheetView tabSelected="1" topLeftCell="K37" zoomScale="85" zoomScaleNormal="85" workbookViewId="0">
      <selection activeCell="Y59" sqref="Y59"/>
    </sheetView>
  </sheetViews>
  <sheetFormatPr defaultColWidth="8.7109375" defaultRowHeight="14.25" customHeight="1"/>
  <cols>
    <col min="1" max="1" width="14.28515625" style="1" customWidth="1"/>
    <col min="2" max="2" width="21.42578125" style="1" customWidth="1"/>
    <col min="3" max="3" width="12" style="1" customWidth="1"/>
    <col min="4" max="4" width="12.42578125" style="1" customWidth="1"/>
    <col min="5" max="5" width="12.28515625" style="1" customWidth="1"/>
    <col min="6" max="6" width="9" style="1" customWidth="1"/>
    <col min="7" max="7" width="8.7109375" style="1" customWidth="1"/>
    <col min="8" max="8" width="23.85546875" style="1" customWidth="1"/>
    <col min="9" max="10" width="10.42578125" style="1" customWidth="1"/>
    <col min="11" max="11" width="12" style="1" customWidth="1"/>
    <col min="12" max="12" width="13.42578125" style="1" customWidth="1"/>
    <col min="13" max="15" width="7.42578125" style="1" customWidth="1"/>
    <col min="16" max="16" width="7" style="1" customWidth="1"/>
    <col min="17" max="17" width="11" style="1" customWidth="1"/>
    <col min="18" max="18" width="7" style="1" customWidth="1"/>
    <col min="19" max="19" width="8.7109375" style="1"/>
    <col min="20" max="20" width="9.42578125" style="1" customWidth="1"/>
    <col min="21" max="25" width="8.85546875" style="1" customWidth="1"/>
    <col min="26" max="26" width="8.7109375" style="1"/>
    <col min="27" max="27" width="14.28515625" style="1" customWidth="1"/>
    <col min="28" max="28" width="13.42578125" style="1" customWidth="1"/>
    <col min="29" max="30" width="14.85546875" style="1" customWidth="1"/>
    <col min="31" max="31" width="8.7109375" style="1"/>
    <col min="32" max="32" width="13.28515625" style="1" customWidth="1"/>
    <col min="33" max="33" width="14" style="1" customWidth="1"/>
    <col min="34" max="34" width="13.28515625" style="1" customWidth="1"/>
    <col min="35" max="35" width="14.85546875" style="1" customWidth="1"/>
    <col min="36" max="36" width="8.7109375" style="1"/>
    <col min="37" max="37" width="13.7109375" style="1" customWidth="1"/>
    <col min="38" max="38" width="13.28515625" style="1" customWidth="1"/>
    <col min="39" max="41" width="13.7109375" style="1" customWidth="1"/>
    <col min="42" max="42" width="13.42578125" style="1" customWidth="1"/>
    <col min="43" max="43" width="8.7109375" style="1"/>
    <col min="44" max="44" width="14.28515625" style="1" customWidth="1"/>
    <col min="45" max="49" width="13.85546875" style="1" customWidth="1"/>
    <col min="50" max="50" width="8.7109375" style="1"/>
    <col min="51" max="51" width="12.28515625" style="1" customWidth="1"/>
    <col min="52" max="52" width="11.85546875" style="1" customWidth="1"/>
    <col min="53" max="56" width="11" style="1" customWidth="1"/>
    <col min="57" max="57" width="8.7109375" style="1"/>
    <col min="58" max="58" width="11.85546875" style="1" customWidth="1"/>
    <col min="59" max="59" width="11.42578125" style="1" customWidth="1"/>
    <col min="60" max="63" width="10.85546875" style="1" customWidth="1"/>
    <col min="64" max="64" width="8.7109375" style="1"/>
    <col min="65" max="66" width="23.42578125" style="1" customWidth="1"/>
    <col min="67" max="67" width="8.7109375" style="1"/>
    <col min="68" max="68" width="14" style="1" customWidth="1"/>
    <col min="69" max="69" width="13.42578125" style="1" customWidth="1"/>
    <col min="70" max="76" width="13" style="1" customWidth="1"/>
    <col min="77" max="77" width="8.7109375" style="1" customWidth="1"/>
    <col min="78" max="78" width="43.42578125" style="1" customWidth="1"/>
    <col min="79" max="79" width="20.85546875" style="1" customWidth="1"/>
    <col min="80" max="80" width="8.7109375" style="1"/>
    <col min="81" max="81" width="18.42578125" style="1" customWidth="1"/>
    <col min="82" max="82" width="14.42578125" style="1" customWidth="1"/>
    <col min="83" max="83" width="11.85546875" style="1" customWidth="1"/>
    <col min="84" max="84" width="14.42578125" style="1" customWidth="1"/>
    <col min="85" max="87" width="16" style="1" customWidth="1"/>
    <col min="88" max="88" width="59.42578125" style="1" customWidth="1"/>
    <col min="89" max="97" width="8.7109375" style="1"/>
    <col min="98" max="98" width="12.140625" style="1" customWidth="1"/>
    <col min="99" max="99" width="13.85546875" style="1" customWidth="1"/>
    <col min="100" max="100" width="13.42578125" style="1" customWidth="1"/>
    <col min="101" max="101" width="34.42578125" style="1" customWidth="1"/>
    <col min="102" max="104" width="8.7109375" style="1"/>
    <col min="105" max="105" width="18.42578125" style="1" customWidth="1"/>
    <col min="106" max="108" width="8.7109375" style="1"/>
    <col min="109" max="109" width="18.85546875" style="1" customWidth="1"/>
    <col min="110" max="110" width="13.42578125" style="1" customWidth="1"/>
    <col min="111" max="113" width="8.7109375" style="1"/>
    <col min="114" max="114" width="14.42578125" style="1" customWidth="1"/>
    <col min="115" max="116" width="8.7109375" style="1"/>
    <col min="117" max="117" width="15.42578125" style="1" customWidth="1"/>
    <col min="118" max="118" width="8.42578125" style="1" customWidth="1"/>
    <col min="119" max="119" width="8.7109375" style="1"/>
    <col min="120" max="120" width="15.140625" style="1" customWidth="1"/>
    <col min="121" max="130" width="8.7109375" style="1"/>
    <col min="131" max="131" width="18.85546875" style="1" customWidth="1"/>
    <col min="132" max="16384" width="8.7109375" style="1"/>
  </cols>
  <sheetData>
    <row r="2" spans="1:121" ht="14.25" customHeight="1">
      <c r="C2" s="2" t="s">
        <v>107</v>
      </c>
      <c r="D2" s="2" t="s">
        <v>108</v>
      </c>
    </row>
    <row r="3" spans="1:121" ht="14.25" customHeight="1">
      <c r="B3" s="2" t="s">
        <v>109</v>
      </c>
      <c r="C3" s="3">
        <v>70.260000000000005</v>
      </c>
      <c r="D3" s="3">
        <v>74.650000000000006</v>
      </c>
    </row>
    <row r="4" spans="1:121" ht="14.25" customHeight="1">
      <c r="B4" s="2" t="s">
        <v>110</v>
      </c>
      <c r="C4" s="3">
        <v>-6.6699999999999995E-2</v>
      </c>
      <c r="D4" s="3">
        <v>-5.2900000000000003E-2</v>
      </c>
    </row>
    <row r="5" spans="1:121" ht="14.25" customHeight="1">
      <c r="B5" s="2" t="s">
        <v>111</v>
      </c>
      <c r="C5" s="3">
        <v>6.9000000000000006E-2</v>
      </c>
      <c r="D5" s="3">
        <v>7.6300000000000007E-2</v>
      </c>
    </row>
    <row r="6" spans="1:121" ht="14.25" customHeight="1">
      <c r="B6" s="4"/>
    </row>
    <row r="7" spans="1:121" ht="14.25" customHeight="1">
      <c r="B7" s="5" t="s">
        <v>112</v>
      </c>
      <c r="C7" s="6">
        <v>0.873</v>
      </c>
    </row>
    <row r="8" spans="1:121" ht="14.25" customHeight="1">
      <c r="B8" s="7" t="s">
        <v>113</v>
      </c>
      <c r="C8" s="8">
        <v>0.14699999999999999</v>
      </c>
    </row>
    <row r="9" spans="1:121" ht="14.25" customHeight="1">
      <c r="B9" s="9" t="s">
        <v>114</v>
      </c>
      <c r="C9" s="10">
        <v>0.158</v>
      </c>
      <c r="D9" s="1" t="s">
        <v>115</v>
      </c>
      <c r="DA9" s="11"/>
      <c r="DB9" s="11" t="s">
        <v>116</v>
      </c>
      <c r="DC9" s="11" t="s">
        <v>117</v>
      </c>
    </row>
    <row r="10" spans="1:121" ht="14.25" customHeight="1">
      <c r="B10" s="9" t="s">
        <v>118</v>
      </c>
      <c r="C10" s="10">
        <f>C7*C8</f>
        <v>0.128331</v>
      </c>
      <c r="DA10" s="11" t="s">
        <v>119</v>
      </c>
      <c r="DB10" s="11">
        <f>0.09</f>
        <v>0.09</v>
      </c>
      <c r="DC10" s="11">
        <v>0.82499999999999996</v>
      </c>
    </row>
    <row r="11" spans="1:121" ht="14.25" customHeight="1">
      <c r="B11" s="4"/>
      <c r="CU11" s="11" t="s">
        <v>120</v>
      </c>
      <c r="CV11" s="11">
        <v>0.42599999999999999</v>
      </c>
      <c r="DA11" s="11" t="s">
        <v>121</v>
      </c>
      <c r="DB11" s="11">
        <v>3.4000000000000002E-2</v>
      </c>
      <c r="DC11" s="11">
        <v>0.77400000000000002</v>
      </c>
      <c r="DH11" s="11"/>
      <c r="DI11" s="11" t="s">
        <v>122</v>
      </c>
      <c r="DJ11" s="11" t="s">
        <v>123</v>
      </c>
      <c r="DM11" s="11" t="s">
        <v>124</v>
      </c>
    </row>
    <row r="12" spans="1:121" ht="14.25" customHeight="1">
      <c r="B12" s="11" t="s">
        <v>125</v>
      </c>
      <c r="C12" s="11">
        <v>50</v>
      </c>
      <c r="DA12" s="11" t="s">
        <v>126</v>
      </c>
      <c r="DB12" s="11">
        <f>DB10-DB11</f>
        <v>5.5999999999999994E-2</v>
      </c>
      <c r="DC12" s="11">
        <f>DC10-DC11</f>
        <v>5.0999999999999934E-2</v>
      </c>
      <c r="DH12" s="11" t="s">
        <v>127</v>
      </c>
      <c r="DI12" s="11">
        <f>0.81-CW15</f>
        <v>0.41133400000000009</v>
      </c>
      <c r="DJ12" s="11">
        <f>0.032*DI12/(0.128*0.158)</f>
        <v>0.6508449367088609</v>
      </c>
      <c r="DM12" s="11">
        <v>0.96499999999999997</v>
      </c>
      <c r="DP12" s="223"/>
      <c r="DQ12" s="223" t="s">
        <v>128</v>
      </c>
    </row>
    <row r="13" spans="1:121" ht="14.25" customHeight="1" thickBot="1">
      <c r="AA13" s="232"/>
      <c r="AB13" s="232"/>
      <c r="AC13" s="232"/>
      <c r="AD13" s="67"/>
      <c r="AF13" s="237" t="s">
        <v>129</v>
      </c>
      <c r="AG13" s="237"/>
      <c r="AH13" s="237"/>
      <c r="AI13" s="67"/>
      <c r="AK13" s="232" t="s">
        <v>130</v>
      </c>
      <c r="AL13" s="232"/>
      <c r="AM13" s="232"/>
      <c r="AO13" s="67"/>
      <c r="AP13" s="67"/>
      <c r="AR13" s="237" t="s">
        <v>131</v>
      </c>
      <c r="AS13" s="237"/>
      <c r="AT13" s="237"/>
      <c r="AU13" s="68"/>
      <c r="AV13" s="68"/>
      <c r="AW13" s="68"/>
      <c r="AY13" s="232" t="s">
        <v>132</v>
      </c>
      <c r="AZ13" s="232"/>
      <c r="BA13" s="232"/>
      <c r="BB13" s="67"/>
      <c r="BC13" s="67"/>
      <c r="BD13" s="67"/>
      <c r="BF13" s="237" t="s">
        <v>133</v>
      </c>
      <c r="BG13" s="237"/>
      <c r="BH13" s="237"/>
      <c r="BI13" s="68"/>
      <c r="BJ13" s="68"/>
      <c r="BK13" s="68"/>
      <c r="BM13" s="68" t="s">
        <v>134</v>
      </c>
      <c r="BN13" s="68"/>
      <c r="BP13" s="237" t="s">
        <v>135</v>
      </c>
      <c r="BQ13" s="237"/>
      <c r="BR13" s="237"/>
      <c r="BS13" s="68"/>
      <c r="BT13" s="68"/>
      <c r="BU13" s="68"/>
      <c r="BV13" s="68"/>
      <c r="BW13" s="68"/>
      <c r="BX13" s="68"/>
      <c r="BZ13" s="68" t="s">
        <v>136</v>
      </c>
      <c r="CA13" s="68"/>
      <c r="CE13" s="237" t="s">
        <v>137</v>
      </c>
      <c r="CF13" s="237"/>
      <c r="CG13" s="237"/>
      <c r="CH13" s="68"/>
      <c r="CI13" s="68"/>
      <c r="CJ13" s="68"/>
      <c r="DE13" s="11"/>
      <c r="DF13" s="11" t="s">
        <v>138</v>
      </c>
      <c r="DH13" s="11" t="s">
        <v>139</v>
      </c>
      <c r="DI13" s="11">
        <f>0.81-CW16</f>
        <v>0.43219000000000007</v>
      </c>
      <c r="DJ13" s="11">
        <f>0.032*DI13/(0.128*0.158)</f>
        <v>0.68384493670886093</v>
      </c>
      <c r="DP13" s="223" t="s">
        <v>140</v>
      </c>
      <c r="DQ13" s="223">
        <f>1-(CT28-CW15)/(DF14*DJ12*0.158/CX15)</f>
        <v>0.47323348150049938</v>
      </c>
    </row>
    <row r="14" spans="1:121" ht="15" thickBot="1">
      <c r="B14" s="246" t="s">
        <v>141</v>
      </c>
      <c r="C14" s="247"/>
      <c r="D14" s="247"/>
      <c r="E14" s="247"/>
      <c r="F14" s="247"/>
      <c r="G14" s="247"/>
      <c r="H14" s="247"/>
      <c r="I14" s="247"/>
      <c r="J14" s="247"/>
      <c r="K14" s="247"/>
      <c r="L14" s="247"/>
      <c r="M14" s="247"/>
      <c r="N14" s="247"/>
      <c r="O14" s="247"/>
      <c r="P14" s="247"/>
      <c r="Q14" s="247"/>
      <c r="R14" s="247"/>
      <c r="S14" s="247"/>
      <c r="T14" s="247"/>
      <c r="U14" s="248"/>
      <c r="V14" s="131"/>
      <c r="W14" s="240" t="s">
        <v>142</v>
      </c>
      <c r="X14" s="240"/>
      <c r="Y14" s="240"/>
      <c r="AA14" s="234" t="s">
        <v>143</v>
      </c>
      <c r="AB14" s="234"/>
      <c r="AC14" s="234"/>
      <c r="AD14" s="67"/>
      <c r="AF14" s="234" t="s">
        <v>144</v>
      </c>
      <c r="AG14" s="234"/>
      <c r="AH14" s="234"/>
      <c r="AI14" s="67"/>
      <c r="AK14" s="234" t="s">
        <v>145</v>
      </c>
      <c r="AL14" s="234"/>
      <c r="AM14" s="234"/>
      <c r="AN14" s="232" t="s">
        <v>146</v>
      </c>
      <c r="AO14" s="232"/>
      <c r="AP14" s="232"/>
      <c r="AR14" s="238" t="s">
        <v>147</v>
      </c>
      <c r="AS14" s="238"/>
      <c r="AT14" s="238"/>
      <c r="AU14" s="232" t="s">
        <v>148</v>
      </c>
      <c r="AV14" s="232"/>
      <c r="AW14" s="232"/>
      <c r="AY14" s="234" t="s">
        <v>149</v>
      </c>
      <c r="AZ14" s="234"/>
      <c r="BA14" s="234"/>
      <c r="BB14" s="232" t="s">
        <v>132</v>
      </c>
      <c r="BC14" s="232"/>
      <c r="BD14" s="232"/>
      <c r="BF14" s="234" t="s">
        <v>150</v>
      </c>
      <c r="BG14" s="234"/>
      <c r="BH14" s="234"/>
      <c r="BI14" s="232" t="s">
        <v>151</v>
      </c>
      <c r="BJ14" s="232"/>
      <c r="BK14" s="232"/>
      <c r="BM14" s="65" t="s">
        <v>152</v>
      </c>
      <c r="BN14" s="1" t="s">
        <v>153</v>
      </c>
      <c r="BP14" s="234" t="s">
        <v>154</v>
      </c>
      <c r="BQ14" s="234"/>
      <c r="BR14" s="234"/>
      <c r="BS14" s="1" t="s">
        <v>155</v>
      </c>
      <c r="BT14" s="1" t="s">
        <v>156</v>
      </c>
      <c r="BU14" s="1" t="s">
        <v>155</v>
      </c>
      <c r="BZ14" s="65" t="s">
        <v>157</v>
      </c>
      <c r="CC14" s="1" t="s">
        <v>158</v>
      </c>
      <c r="CE14" s="233" t="s">
        <v>159</v>
      </c>
      <c r="CF14" s="233"/>
      <c r="CG14" s="233"/>
      <c r="CH14" s="236" t="s">
        <v>155</v>
      </c>
      <c r="CI14" s="236"/>
      <c r="CJ14" s="236"/>
      <c r="CT14" s="11"/>
      <c r="CU14" s="11" t="s">
        <v>160</v>
      </c>
      <c r="CV14" s="11" t="s">
        <v>161</v>
      </c>
      <c r="CW14" s="11" t="s">
        <v>162</v>
      </c>
      <c r="CX14" s="11" t="s">
        <v>163</v>
      </c>
      <c r="DE14" s="11" t="s">
        <v>164</v>
      </c>
      <c r="DF14" s="11">
        <f>DB12/(0.032*3/0.128)</f>
        <v>7.4666666666666659E-2</v>
      </c>
      <c r="DM14" s="232" t="s">
        <v>165</v>
      </c>
      <c r="DN14" s="232"/>
      <c r="DP14" s="223" t="s">
        <v>166</v>
      </c>
      <c r="DQ14" s="223">
        <f>1-(CT40-CW16)/(DF15*DJ13*0.158/CX16)</f>
        <v>0.35549399686311145</v>
      </c>
    </row>
    <row r="15" spans="1:121" ht="16.899999999999999" thickBot="1">
      <c r="A15" s="245" t="s">
        <v>167</v>
      </c>
      <c r="B15" s="12"/>
      <c r="C15" s="13" t="s">
        <v>168</v>
      </c>
      <c r="D15" s="13" t="s">
        <v>169</v>
      </c>
      <c r="E15" s="13" t="s">
        <v>170</v>
      </c>
      <c r="F15" s="13" t="s">
        <v>171</v>
      </c>
      <c r="G15" s="13" t="s">
        <v>172</v>
      </c>
      <c r="H15" s="14" t="s">
        <v>173</v>
      </c>
      <c r="I15" s="157" t="s">
        <v>174</v>
      </c>
      <c r="J15" s="158" t="s">
        <v>175</v>
      </c>
      <c r="K15" s="170" t="s">
        <v>176</v>
      </c>
      <c r="L15" s="15" t="s">
        <v>177</v>
      </c>
      <c r="M15" s="16" t="s">
        <v>178</v>
      </c>
      <c r="N15" s="13" t="s">
        <v>179</v>
      </c>
      <c r="O15" s="13" t="s">
        <v>180</v>
      </c>
      <c r="P15" s="13" t="s">
        <v>181</v>
      </c>
      <c r="Q15" s="13" t="s">
        <v>182</v>
      </c>
      <c r="R15" s="14" t="s">
        <v>183</v>
      </c>
      <c r="S15" s="17" t="s">
        <v>184</v>
      </c>
      <c r="T15" s="18" t="s">
        <v>185</v>
      </c>
      <c r="U15" s="19" t="s">
        <v>186</v>
      </c>
      <c r="W15" s="13" t="s">
        <v>184</v>
      </c>
      <c r="X15" s="13" t="s">
        <v>185</v>
      </c>
      <c r="Y15" s="13" t="s">
        <v>186</v>
      </c>
      <c r="AA15" s="157" t="s">
        <v>187</v>
      </c>
      <c r="AB15" s="72" t="s">
        <v>188</v>
      </c>
      <c r="AC15" s="158" t="s">
        <v>189</v>
      </c>
      <c r="AF15" s="157" t="s">
        <v>190</v>
      </c>
      <c r="AG15" s="72" t="s">
        <v>191</v>
      </c>
      <c r="AH15" s="158" t="s">
        <v>192</v>
      </c>
      <c r="AK15" s="157" t="s">
        <v>193</v>
      </c>
      <c r="AL15" s="72" t="s">
        <v>194</v>
      </c>
      <c r="AM15" s="158" t="s">
        <v>195</v>
      </c>
      <c r="AN15" s="157" t="s">
        <v>196</v>
      </c>
      <c r="AO15" s="72" t="s">
        <v>197</v>
      </c>
      <c r="AP15" s="158" t="s">
        <v>198</v>
      </c>
      <c r="AR15" s="13" t="s">
        <v>199</v>
      </c>
      <c r="AS15" s="13" t="s">
        <v>200</v>
      </c>
      <c r="AT15" s="14" t="s">
        <v>201</v>
      </c>
      <c r="AU15" s="157" t="s">
        <v>202</v>
      </c>
      <c r="AV15" s="72" t="s">
        <v>203</v>
      </c>
      <c r="AW15" s="158" t="s">
        <v>204</v>
      </c>
      <c r="AY15" s="13" t="s">
        <v>95</v>
      </c>
      <c r="AZ15" s="13" t="s">
        <v>205</v>
      </c>
      <c r="BA15" s="14" t="s">
        <v>206</v>
      </c>
      <c r="BB15" s="157" t="s">
        <v>207</v>
      </c>
      <c r="BC15" s="72" t="s">
        <v>208</v>
      </c>
      <c r="BD15" s="158" t="s">
        <v>209</v>
      </c>
      <c r="BF15" s="13" t="s">
        <v>95</v>
      </c>
      <c r="BG15" s="13" t="s">
        <v>205</v>
      </c>
      <c r="BH15" s="14" t="s">
        <v>206</v>
      </c>
      <c r="BI15" s="157" t="s">
        <v>207</v>
      </c>
      <c r="BJ15" s="72" t="s">
        <v>208</v>
      </c>
      <c r="BK15" s="158" t="s">
        <v>209</v>
      </c>
      <c r="BM15" s="14" t="s">
        <v>210</v>
      </c>
      <c r="BN15" s="168" t="s">
        <v>211</v>
      </c>
      <c r="BP15" s="13" t="s">
        <v>95</v>
      </c>
      <c r="BQ15" s="13" t="s">
        <v>205</v>
      </c>
      <c r="BR15" s="14" t="s">
        <v>206</v>
      </c>
      <c r="BS15" s="157" t="s">
        <v>207</v>
      </c>
      <c r="BT15" s="72" t="s">
        <v>208</v>
      </c>
      <c r="BU15" s="158" t="s">
        <v>209</v>
      </c>
      <c r="BZ15" s="13" t="s">
        <v>212</v>
      </c>
      <c r="CC15" s="79">
        <v>-3.5000000000000003E-2</v>
      </c>
      <c r="CE15" s="13" t="s">
        <v>95</v>
      </c>
      <c r="CF15" s="13" t="s">
        <v>205</v>
      </c>
      <c r="CG15" s="14" t="s">
        <v>206</v>
      </c>
      <c r="CH15" s="179" t="s">
        <v>207</v>
      </c>
      <c r="CI15" s="180" t="s">
        <v>208</v>
      </c>
      <c r="CJ15" s="181" t="s">
        <v>209</v>
      </c>
      <c r="CL15" s="157" t="s">
        <v>77</v>
      </c>
      <c r="CM15" s="158" t="s">
        <v>78</v>
      </c>
      <c r="CO15" s="157" t="s">
        <v>213</v>
      </c>
      <c r="CP15" s="158" t="s">
        <v>80</v>
      </c>
      <c r="CT15" s="11" t="s">
        <v>214</v>
      </c>
      <c r="CU15" s="11">
        <v>0.1</v>
      </c>
      <c r="CV15" s="11">
        <v>0.17299999999999999</v>
      </c>
      <c r="CW15" s="11">
        <f>0.426-0.158*CV15</f>
        <v>0.39866599999999996</v>
      </c>
      <c r="CX15" s="11">
        <f>SLOPE(CE28:CE30,BM28:BM30)</f>
        <v>7.6873777769836366E-2</v>
      </c>
      <c r="DE15" s="11" t="s">
        <v>215</v>
      </c>
      <c r="DF15" s="11">
        <f>DC12/(0.032*3/0.128)</f>
        <v>6.7999999999999908E-2</v>
      </c>
      <c r="DM15" s="1" t="s">
        <v>216</v>
      </c>
      <c r="DN15" s="1">
        <v>0</v>
      </c>
    </row>
    <row r="16" spans="1:121" ht="14.45">
      <c r="A16" s="245"/>
      <c r="B16" s="20" t="s">
        <v>217</v>
      </c>
      <c r="C16" s="21">
        <v>-2</v>
      </c>
      <c r="D16" s="21">
        <f>C16-0.8</f>
        <v>-2.8</v>
      </c>
      <c r="E16" s="22" t="s">
        <v>218</v>
      </c>
      <c r="F16" s="11">
        <v>100100</v>
      </c>
      <c r="G16" s="11">
        <v>23.8</v>
      </c>
      <c r="H16" s="23">
        <v>372.2</v>
      </c>
      <c r="I16" s="46">
        <v>0.3</v>
      </c>
      <c r="J16" s="159">
        <f t="shared" ref="J16:J23" si="0">I16/H16</f>
        <v>8.0601826974744761E-4</v>
      </c>
      <c r="K16" s="154">
        <v>25.01</v>
      </c>
      <c r="L16" s="3">
        <v>0.02</v>
      </c>
      <c r="M16" s="24">
        <v>0.33479999999999999</v>
      </c>
      <c r="N16" s="11">
        <v>5.0000000000000002E-5</v>
      </c>
      <c r="O16" s="25">
        <v>-1.1740999999999999</v>
      </c>
      <c r="P16" s="11">
        <v>5.0000000000000002E-5</v>
      </c>
      <c r="Q16" s="25">
        <v>0.35070000000000001</v>
      </c>
      <c r="R16" s="23">
        <v>5.0000000000000002E-5</v>
      </c>
      <c r="S16" s="26">
        <v>0.7742</v>
      </c>
      <c r="T16" s="3">
        <v>0.38379999999999997</v>
      </c>
      <c r="U16" s="27">
        <v>0.1333</v>
      </c>
      <c r="W16" s="11">
        <f t="shared" ref="W16:W23" si="1">S16/M16</f>
        <v>2.3124253285543608</v>
      </c>
      <c r="X16" s="11">
        <f t="shared" ref="X16:X23" si="2">T16/O16</f>
        <v>-0.32688868069159355</v>
      </c>
      <c r="Y16" s="11">
        <f t="shared" ref="Y16:Y23" si="3">U16/Q16</f>
        <v>0.38009694895922441</v>
      </c>
      <c r="AA16" s="46">
        <f t="shared" ref="AA16:AA23" si="4">-1*M16</f>
        <v>-0.33479999999999999</v>
      </c>
      <c r="AB16" s="11">
        <f t="shared" ref="AB16:AB23" si="5">O16</f>
        <v>-1.1740999999999999</v>
      </c>
      <c r="AC16" s="159">
        <f t="shared" ref="AC16:AC23" si="6">-1*Q16</f>
        <v>-0.35070000000000001</v>
      </c>
      <c r="AD16" s="241" t="s">
        <v>219</v>
      </c>
      <c r="AF16" s="46">
        <f t="shared" ref="AF16:AF23" si="7">AA16+$C$3*(COS(RADIANS(D16))-1)</f>
        <v>-0.41868079039084111</v>
      </c>
      <c r="AG16" s="11">
        <f t="shared" ref="AG16:AG23" si="8">AB16-$C$3*SIN(RADIANS(D16))</f>
        <v>2.2580848258397879</v>
      </c>
      <c r="AH16" s="159">
        <f t="shared" ref="AH16:AH23" si="9">AC16-$C$3*($C$5*SIN(RADIANS(D16)+$C$4*(COS(RADIANS(D16))-1)))</f>
        <v>-0.114264831444921</v>
      </c>
      <c r="AI16" s="241" t="s">
        <v>219</v>
      </c>
      <c r="AK16" s="46">
        <f t="shared" ref="AK16:AK23" si="10">AF16*COS(RADIANS(D16))-AG16*SIN(RADIANS(D16))</f>
        <v>-0.30787401910809353</v>
      </c>
      <c r="AL16" s="11">
        <f t="shared" ref="AL16:AL23" si="11">AG16*COS(RADIANS(D16))+AF16*SIN(RADIANS(D16))</f>
        <v>2.2758414429147815</v>
      </c>
      <c r="AM16" s="159">
        <f>AH16-0.115*AF16-0.11*AG16</f>
        <v>-0.31450587139235092</v>
      </c>
      <c r="AN16" s="46">
        <f t="shared" ref="AN16:AN23" si="12">S16*COS(RADIANS(D16)) + T16*SIN(RADIANS(D16))</f>
        <v>0.75452716988218194</v>
      </c>
      <c r="AO16" s="11">
        <f t="shared" ref="AO16:AO23" si="13">T16*COS(RADIANS(D16))+S16*SIN(RADIANS(D16))</f>
        <v>0.34552230373587861</v>
      </c>
      <c r="AP16" s="159">
        <f>U16-0.115*S16-0.11*T16</f>
        <v>2.0490000000000022E-3</v>
      </c>
      <c r="AR16" s="11">
        <f t="shared" ref="AR16:AR23" si="14">AK16/(H16*$C$10)</f>
        <v>-6.4456258732418035E-3</v>
      </c>
      <c r="AS16" s="11">
        <f t="shared" ref="AS16:AS23" si="15">AL16/(H16*$C$10)</f>
        <v>4.7646834670700682E-2</v>
      </c>
      <c r="AT16" s="23">
        <f t="shared" ref="AT16:AT23" si="16">AM16/(H16*$C$10*$C$9)</f>
        <v>-4.1673859512401455E-2</v>
      </c>
      <c r="AU16" s="46">
        <f>AR16*(AN16/AK16+J16)</f>
        <v>1.5791525270130842E-2</v>
      </c>
      <c r="AV16" s="11">
        <f>AS16*(AO16/AL16+J16)</f>
        <v>7.2722315723698855E-3</v>
      </c>
      <c r="AW16" s="159">
        <f>AT16*(AP16/AM16+J16)</f>
        <v>2.379145403958592E-4</v>
      </c>
      <c r="AY16" s="11">
        <f>0.94*AR16</f>
        <v>-6.058888320847295E-3</v>
      </c>
      <c r="AZ16" s="11">
        <f>0.94*AS16</f>
        <v>4.4788024590458636E-2</v>
      </c>
      <c r="BA16" s="23">
        <f>0.94*AT16</f>
        <v>-3.9173427941657367E-2</v>
      </c>
      <c r="BB16" s="46">
        <f>AU16*0.94</f>
        <v>1.4844033753922991E-2</v>
      </c>
      <c r="BC16" s="11">
        <f>AV16*0.94</f>
        <v>6.8358976780276918E-3</v>
      </c>
      <c r="BD16" s="159">
        <f>AW16*0.94</f>
        <v>2.2363966797210764E-4</v>
      </c>
      <c r="BF16" s="11">
        <f t="shared" ref="BF16:BF23" si="17">AY16</f>
        <v>-6.058888320847295E-3</v>
      </c>
      <c r="BG16" s="11">
        <f t="shared" ref="BG16:BG23" si="18">AZ16-0.022</f>
        <v>2.2788024590458637E-2</v>
      </c>
      <c r="BH16" s="23">
        <f>AT16</f>
        <v>-4.1673859512401455E-2</v>
      </c>
      <c r="BI16" s="46">
        <f>BB16</f>
        <v>1.4844033753922991E-2</v>
      </c>
      <c r="BJ16" s="11">
        <f>BC16</f>
        <v>6.8358976780276918E-3</v>
      </c>
      <c r="BK16" s="159">
        <f>BD16</f>
        <v>2.2363966797210764E-4</v>
      </c>
      <c r="BM16" s="204">
        <f t="shared" ref="BM16:BM23" si="19">C16+0.83*BF16</f>
        <v>-2.0050288773063034</v>
      </c>
      <c r="BN16" s="219">
        <f>BI16</f>
        <v>1.4844033753922991E-2</v>
      </c>
      <c r="BP16" s="11">
        <f>BF16</f>
        <v>-6.058888320847295E-3</v>
      </c>
      <c r="BQ16" s="11">
        <f>BG16+0.015*BF16^2</f>
        <v>2.2788575242373904E-2</v>
      </c>
      <c r="BR16" s="23">
        <f>BH16</f>
        <v>-4.1673859512401455E-2</v>
      </c>
      <c r="BS16" s="46">
        <f>BI16</f>
        <v>1.4844033753922991E-2</v>
      </c>
      <c r="BT16" s="11">
        <f>BJ16 + 0.015*BF16*(2*BI16/BF16)</f>
        <v>7.2812186906453819E-3</v>
      </c>
      <c r="BU16" s="159">
        <f>BK16</f>
        <v>2.2363966797210764E-4</v>
      </c>
      <c r="BZ16" s="244" t="s">
        <v>220</v>
      </c>
      <c r="CE16" s="203">
        <f t="shared" ref="CE16:CF23" si="20">BP16</f>
        <v>-6.058888320847295E-3</v>
      </c>
      <c r="CF16" s="203">
        <f t="shared" si="20"/>
        <v>2.2788575242373904E-2</v>
      </c>
      <c r="CG16" s="204">
        <f>BR16</f>
        <v>-4.1673859512401455E-2</v>
      </c>
      <c r="CH16" s="205">
        <f>BS16</f>
        <v>1.4844033753922991E-2</v>
      </c>
      <c r="CI16" s="203">
        <f t="shared" ref="CI16:CJ16" si="21">BT16</f>
        <v>7.2812186906453819E-3</v>
      </c>
      <c r="CJ16" s="206">
        <f t="shared" si="21"/>
        <v>2.2363966797210764E-4</v>
      </c>
      <c r="CL16" s="46">
        <f>CE16/CF16</f>
        <v>-0.26587394149947463</v>
      </c>
      <c r="CM16" s="159">
        <f>CL16*(CH16/CE16+CI16/CF16)</f>
        <v>0.56643064800819953</v>
      </c>
      <c r="CO16" s="46">
        <f t="shared" ref="CO16:CO23" si="22">CE16^2</f>
        <v>3.6710127684499752E-5</v>
      </c>
      <c r="CP16" s="159">
        <f t="shared" ref="CP16:CP23" si="23">2*CH16*CE16</f>
        <v>-1.7987668549181409E-4</v>
      </c>
      <c r="CT16" s="11" t="s">
        <v>221</v>
      </c>
      <c r="CU16" s="11">
        <v>0.82</v>
      </c>
      <c r="CV16" s="11">
        <v>0.30499999999999999</v>
      </c>
      <c r="CW16" s="11">
        <f>0.426-0.158*CV16</f>
        <v>0.37780999999999998</v>
      </c>
      <c r="CX16" s="11">
        <f>SLOPE(CE45:CE46,BM45:BM46)</f>
        <v>5.4991683212489088E-2</v>
      </c>
      <c r="DM16" s="1" t="s">
        <v>222</v>
      </c>
      <c r="DN16" s="1">
        <v>20</v>
      </c>
    </row>
    <row r="17" spans="1:120" ht="14.45">
      <c r="A17" s="245"/>
      <c r="B17" s="20" t="s">
        <v>223</v>
      </c>
      <c r="C17" s="21">
        <f>C16+2</f>
        <v>0</v>
      </c>
      <c r="D17" s="21">
        <f t="shared" ref="D17:D23" si="24">C17-0.8</f>
        <v>-0.8</v>
      </c>
      <c r="E17" s="22" t="s">
        <v>218</v>
      </c>
      <c r="F17" s="11">
        <v>100100</v>
      </c>
      <c r="G17" s="11">
        <v>24.3</v>
      </c>
      <c r="H17" s="1">
        <v>371.7</v>
      </c>
      <c r="I17" s="46">
        <v>1</v>
      </c>
      <c r="J17" s="159">
        <f t="shared" si="0"/>
        <v>2.6903416733925207E-3</v>
      </c>
      <c r="K17" s="154">
        <v>25.02</v>
      </c>
      <c r="L17" s="3">
        <v>0.02</v>
      </c>
      <c r="M17" s="24">
        <v>-6.7270000000000003</v>
      </c>
      <c r="N17" s="11">
        <v>5.0000000000000002E-5</v>
      </c>
      <c r="O17" s="25">
        <v>1.3069999999999999</v>
      </c>
      <c r="P17" s="11">
        <v>5.0000000000000002E-5</v>
      </c>
      <c r="Q17" s="25">
        <v>-0.79190000000000005</v>
      </c>
      <c r="R17" s="23">
        <v>5.0000000000000002E-5</v>
      </c>
      <c r="S17" s="26">
        <v>0.78039999999999998</v>
      </c>
      <c r="T17" s="11">
        <v>0.33979999999999999</v>
      </c>
      <c r="U17" s="28">
        <v>0.13450000000000001</v>
      </c>
      <c r="W17" s="11">
        <f t="shared" si="1"/>
        <v>-0.11601010851791288</v>
      </c>
      <c r="X17" s="11">
        <f t="shared" si="2"/>
        <v>0.25998469778117828</v>
      </c>
      <c r="Y17" s="11">
        <f t="shared" si="3"/>
        <v>-0.16984467735825232</v>
      </c>
      <c r="AA17" s="46">
        <f t="shared" si="4"/>
        <v>6.7270000000000003</v>
      </c>
      <c r="AB17" s="11">
        <f t="shared" si="5"/>
        <v>1.3069999999999999</v>
      </c>
      <c r="AC17" s="159">
        <f t="shared" si="6"/>
        <v>0.79190000000000005</v>
      </c>
      <c r="AD17" s="242"/>
      <c r="AF17" s="46">
        <f t="shared" si="7"/>
        <v>6.720151336893716</v>
      </c>
      <c r="AG17" s="11">
        <f t="shared" si="8"/>
        <v>2.2879827906283468</v>
      </c>
      <c r="AH17" s="159">
        <f t="shared" si="9"/>
        <v>0.85955629602211592</v>
      </c>
      <c r="AI17" s="242"/>
      <c r="AK17" s="46">
        <f t="shared" si="10"/>
        <v>6.7514415118201407</v>
      </c>
      <c r="AL17" s="11">
        <f t="shared" si="11"/>
        <v>2.1939318023670769</v>
      </c>
      <c r="AM17" s="159">
        <f t="shared" ref="AM17:AM23" si="25">AH17-0.115*AF17-0.11*AG17</f>
        <v>-0.16493921468977962</v>
      </c>
      <c r="AN17" s="46">
        <f t="shared" si="12"/>
        <v>0.77557958085761947</v>
      </c>
      <c r="AO17" s="11">
        <f t="shared" si="13"/>
        <v>0.32887079212169257</v>
      </c>
      <c r="AP17" s="159">
        <f t="shared" ref="AP17:AP55" si="26">U17-0.115*S17-0.11*T17</f>
        <v>7.3760000000000006E-3</v>
      </c>
      <c r="AR17" s="11">
        <f t="shared" si="14"/>
        <v>0.14153777695741426</v>
      </c>
      <c r="AS17" s="11">
        <f t="shared" si="15"/>
        <v>4.5993767339842367E-2</v>
      </c>
      <c r="AT17" s="23">
        <f t="shared" si="16"/>
        <v>-2.1884805740009838E-2</v>
      </c>
      <c r="AU17" s="46">
        <f t="shared" ref="AU17:AU55" si="27">AR17*(AN17/AK17+J17)</f>
        <v>1.6640099310723428E-2</v>
      </c>
      <c r="AV17" s="11">
        <f t="shared" ref="AV17:AV55" si="28">AS17*(AO17/AL17+J17)</f>
        <v>7.0182133722134438E-3</v>
      </c>
      <c r="AW17" s="159">
        <f t="shared" ref="AW17:AW55" si="29">AT17*(AP17/AM17+J17)</f>
        <v>9.1980007003924439E-4</v>
      </c>
      <c r="AY17" s="11">
        <f t="shared" ref="AY17:AY53" si="30">0.94*AR17</f>
        <v>0.13304551033996939</v>
      </c>
      <c r="AZ17" s="11">
        <f t="shared" ref="AZ17:BA23" si="31">0.94*AS17</f>
        <v>4.3234141299451821E-2</v>
      </c>
      <c r="BA17" s="23">
        <f t="shared" si="31"/>
        <v>-2.0571717395609247E-2</v>
      </c>
      <c r="BB17" s="46">
        <f t="shared" ref="BB17:BB55" si="32">AU17*0.94</f>
        <v>1.5641693352080023E-2</v>
      </c>
      <c r="BC17" s="11">
        <f t="shared" ref="BC17:BC55" si="33">AV17*0.94</f>
        <v>6.5971205698806372E-3</v>
      </c>
      <c r="BD17" s="159">
        <f t="shared" ref="BD17:BD55" si="34">AW17*0.94</f>
        <v>8.6461206583688971E-4</v>
      </c>
      <c r="BF17" s="11">
        <f t="shared" si="17"/>
        <v>0.13304551033996939</v>
      </c>
      <c r="BG17" s="11">
        <f t="shared" si="18"/>
        <v>2.1234141299451822E-2</v>
      </c>
      <c r="BH17" s="23">
        <f t="shared" ref="BH17:BH23" si="35">AT17</f>
        <v>-2.1884805740009838E-2</v>
      </c>
      <c r="BI17" s="46">
        <f t="shared" ref="BI17:BI55" si="36">BB17</f>
        <v>1.5641693352080023E-2</v>
      </c>
      <c r="BJ17" s="11">
        <f t="shared" ref="BJ17:BJ55" si="37">BC17</f>
        <v>6.5971205698806372E-3</v>
      </c>
      <c r="BK17" s="159">
        <f t="shared" ref="BK17:BK55" si="38">BD17</f>
        <v>8.6461206583688971E-4</v>
      </c>
      <c r="BM17" s="204">
        <f t="shared" si="19"/>
        <v>0.11042777358217459</v>
      </c>
      <c r="BN17" s="219">
        <f t="shared" ref="BN17:BN55" si="39">BI17</f>
        <v>1.5641693352080023E-2</v>
      </c>
      <c r="BP17" s="11">
        <f t="shared" ref="BP17:BP53" si="40">BF17</f>
        <v>0.13304551033996939</v>
      </c>
      <c r="BQ17" s="11">
        <f t="shared" ref="BQ17:BQ23" si="41">BG17+0.015*BF17^2</f>
        <v>2.1499657916776167E-2</v>
      </c>
      <c r="BR17" s="23">
        <f t="shared" ref="BR17:BR53" si="42">BH17</f>
        <v>-2.1884805740009838E-2</v>
      </c>
      <c r="BS17" s="46">
        <f t="shared" ref="BS17:BS55" si="43">BI17</f>
        <v>1.5641693352080023E-2</v>
      </c>
      <c r="BT17" s="11">
        <f t="shared" ref="BT17:BT23" si="44">BJ17 + 0.015*BF17*(2*BI17/BF17)</f>
        <v>7.0663713704430375E-3</v>
      </c>
      <c r="BU17" s="159">
        <f t="shared" ref="BU17:BU55" si="45">BK17</f>
        <v>8.6461206583688971E-4</v>
      </c>
      <c r="BZ17" s="244"/>
      <c r="CC17" s="1" t="s">
        <v>224</v>
      </c>
      <c r="CE17" s="203">
        <f t="shared" si="20"/>
        <v>0.13304551033996939</v>
      </c>
      <c r="CF17" s="203">
        <f t="shared" si="20"/>
        <v>2.1499657916776167E-2</v>
      </c>
      <c r="CG17" s="204">
        <f t="shared" ref="CG17:CG23" si="46">BR17</f>
        <v>-2.1884805740009838E-2</v>
      </c>
      <c r="CH17" s="205">
        <f t="shared" ref="CH17:CH23" si="47">BS17</f>
        <v>1.5641693352080023E-2</v>
      </c>
      <c r="CI17" s="203">
        <f t="shared" ref="CI17:CI23" si="48">BT17</f>
        <v>7.0663713704430375E-3</v>
      </c>
      <c r="CJ17" s="206">
        <f t="shared" ref="CJ17:CJ23" si="49">BU17</f>
        <v>8.6461206583688971E-4</v>
      </c>
      <c r="CL17" s="46">
        <f t="shared" ref="CL17:CL55" si="50">CE17/CF17</f>
        <v>6.1882617321159366</v>
      </c>
      <c r="CM17" s="159">
        <f t="shared" ref="CM17:CM55" si="51">CL17*(CH17/CE17+CI17/CF17)</f>
        <v>2.7614508620802636</v>
      </c>
      <c r="CO17" s="46">
        <f t="shared" si="22"/>
        <v>1.7701107821622902E-2</v>
      </c>
      <c r="CP17" s="159">
        <f t="shared" si="23"/>
        <v>4.1621141492175868E-3</v>
      </c>
      <c r="CT17" s="11"/>
      <c r="CU17" s="11" t="s">
        <v>225</v>
      </c>
      <c r="DM17" s="1" t="s">
        <v>226</v>
      </c>
      <c r="DN17" s="1">
        <v>0.96499999999999997</v>
      </c>
    </row>
    <row r="18" spans="1:120" ht="14.45">
      <c r="A18" s="245"/>
      <c r="B18" s="20" t="s">
        <v>227</v>
      </c>
      <c r="C18" s="21">
        <f t="shared" ref="C18:C22" si="52">C17+2</f>
        <v>2</v>
      </c>
      <c r="D18" s="21">
        <f t="shared" si="24"/>
        <v>1.2</v>
      </c>
      <c r="E18" s="22" t="s">
        <v>218</v>
      </c>
      <c r="F18" s="11">
        <v>100100</v>
      </c>
      <c r="G18" s="11">
        <v>24.5</v>
      </c>
      <c r="H18" s="23">
        <v>371.4</v>
      </c>
      <c r="I18" s="46">
        <v>0.3</v>
      </c>
      <c r="J18" s="159">
        <f t="shared" si="0"/>
        <v>8.0775444264943462E-4</v>
      </c>
      <c r="K18" s="154">
        <v>25.02</v>
      </c>
      <c r="L18" s="3">
        <v>0.02</v>
      </c>
      <c r="M18" s="24">
        <v>-14.034700000000001</v>
      </c>
      <c r="N18" s="11">
        <v>5.0000000000000002E-5</v>
      </c>
      <c r="O18" s="29">
        <v>3.4689000000000001</v>
      </c>
      <c r="P18" s="11">
        <v>5.0000000000000002E-5</v>
      </c>
      <c r="Q18" s="25">
        <v>-1.9741</v>
      </c>
      <c r="R18" s="23">
        <v>5.0000000000000002E-5</v>
      </c>
      <c r="S18" s="26">
        <v>0.56279999999999997</v>
      </c>
      <c r="T18" s="3">
        <v>0.27129999999999999</v>
      </c>
      <c r="U18" s="27">
        <v>9.5000000000000001E-2</v>
      </c>
      <c r="W18" s="11">
        <f t="shared" si="1"/>
        <v>-4.01006077792899E-2</v>
      </c>
      <c r="X18" s="11">
        <f t="shared" si="2"/>
        <v>7.8209230591830256E-2</v>
      </c>
      <c r="Y18" s="11">
        <f t="shared" si="3"/>
        <v>-4.8123195380173248E-2</v>
      </c>
      <c r="AA18" s="46">
        <f t="shared" si="4"/>
        <v>14.034700000000001</v>
      </c>
      <c r="AB18" s="11">
        <f t="shared" si="5"/>
        <v>3.4689000000000001</v>
      </c>
      <c r="AC18" s="159">
        <f t="shared" si="6"/>
        <v>1.9741</v>
      </c>
      <c r="AD18" s="242"/>
      <c r="AF18" s="46">
        <f t="shared" si="7"/>
        <v>14.019290820942645</v>
      </c>
      <c r="AG18" s="11">
        <f t="shared" si="8"/>
        <v>1.9974855789953401</v>
      </c>
      <c r="AH18" s="159">
        <f t="shared" si="9"/>
        <v>1.8725015028501841</v>
      </c>
      <c r="AI18" s="242"/>
      <c r="AK18" s="46">
        <f t="shared" si="10"/>
        <v>13.974383977088396</v>
      </c>
      <c r="AL18" s="11">
        <f t="shared" si="11"/>
        <v>2.2906453722381817</v>
      </c>
      <c r="AM18" s="159">
        <f t="shared" si="25"/>
        <v>4.0559644752292484E-2</v>
      </c>
      <c r="AN18" s="46">
        <f t="shared" si="12"/>
        <v>0.56835824717399774</v>
      </c>
      <c r="AO18" s="11">
        <f t="shared" si="13"/>
        <v>0.28302689333707887</v>
      </c>
      <c r="AP18" s="159">
        <f t="shared" si="26"/>
        <v>4.3500000000000136E-4</v>
      </c>
      <c r="AR18" s="11">
        <f t="shared" si="14"/>
        <v>0.2931967786630465</v>
      </c>
      <c r="AS18" s="11">
        <f t="shared" si="15"/>
        <v>4.806006800019115E-2</v>
      </c>
      <c r="AT18" s="23">
        <f t="shared" si="16"/>
        <v>5.3859656302393203E-3</v>
      </c>
      <c r="AU18" s="46">
        <f t="shared" si="27"/>
        <v>1.2161564675465825E-2</v>
      </c>
      <c r="AV18" s="11">
        <f t="shared" si="28"/>
        <v>5.977012609197193E-3</v>
      </c>
      <c r="AW18" s="159">
        <f t="shared" si="29"/>
        <v>6.2114728241482927E-5</v>
      </c>
      <c r="AY18" s="11">
        <f t="shared" si="30"/>
        <v>0.27560497194326367</v>
      </c>
      <c r="AZ18" s="11">
        <f t="shared" si="31"/>
        <v>4.5176463920179676E-2</v>
      </c>
      <c r="BA18" s="23">
        <f t="shared" si="31"/>
        <v>5.062807692424961E-3</v>
      </c>
      <c r="BB18" s="46">
        <f t="shared" si="32"/>
        <v>1.1431870794937874E-2</v>
      </c>
      <c r="BC18" s="11">
        <f t="shared" si="33"/>
        <v>5.6183918526453609E-3</v>
      </c>
      <c r="BD18" s="159">
        <f t="shared" si="34"/>
        <v>5.8387844546993946E-5</v>
      </c>
      <c r="BF18" s="11">
        <f t="shared" si="17"/>
        <v>0.27560497194326367</v>
      </c>
      <c r="BG18" s="11">
        <f t="shared" si="18"/>
        <v>2.3176463920179677E-2</v>
      </c>
      <c r="BH18" s="23">
        <f t="shared" si="35"/>
        <v>5.3859656302393203E-3</v>
      </c>
      <c r="BI18" s="46">
        <f t="shared" si="36"/>
        <v>1.1431870794937874E-2</v>
      </c>
      <c r="BJ18" s="11">
        <f t="shared" si="37"/>
        <v>5.6183918526453609E-3</v>
      </c>
      <c r="BK18" s="159">
        <f t="shared" si="38"/>
        <v>5.8387844546993946E-5</v>
      </c>
      <c r="BM18" s="204">
        <f t="shared" si="19"/>
        <v>2.2287521267129087</v>
      </c>
      <c r="BN18" s="219">
        <f t="shared" si="39"/>
        <v>1.1431870794937874E-2</v>
      </c>
      <c r="BP18" s="11">
        <f t="shared" si="40"/>
        <v>0.27560497194326367</v>
      </c>
      <c r="BQ18" s="11">
        <f t="shared" si="41"/>
        <v>2.4315835428577383E-2</v>
      </c>
      <c r="BR18" s="23">
        <f t="shared" si="42"/>
        <v>5.3859656302393203E-3</v>
      </c>
      <c r="BS18" s="46">
        <f t="shared" si="43"/>
        <v>1.1431870794937874E-2</v>
      </c>
      <c r="BT18" s="11">
        <f t="shared" si="44"/>
        <v>5.9613479764934968E-3</v>
      </c>
      <c r="BU18" s="159">
        <f t="shared" si="45"/>
        <v>5.8387844546993946E-5</v>
      </c>
      <c r="BZ18" s="244"/>
      <c r="CC18" s="1">
        <f>ABS(BW84-BQ84)</f>
        <v>4.1666666666666727E-3</v>
      </c>
      <c r="CE18" s="203">
        <f t="shared" si="20"/>
        <v>0.27560497194326367</v>
      </c>
      <c r="CF18" s="203">
        <f t="shared" si="20"/>
        <v>2.4315835428577383E-2</v>
      </c>
      <c r="CG18" s="204">
        <f t="shared" si="46"/>
        <v>5.3859656302393203E-3</v>
      </c>
      <c r="CH18" s="205">
        <f t="shared" si="47"/>
        <v>1.1431870794937874E-2</v>
      </c>
      <c r="CI18" s="203">
        <f t="shared" si="48"/>
        <v>5.9613479764934968E-3</v>
      </c>
      <c r="CJ18" s="206">
        <f t="shared" si="49"/>
        <v>5.8387844546993946E-5</v>
      </c>
      <c r="CL18" s="46">
        <f t="shared" si="50"/>
        <v>11.334382186982426</v>
      </c>
      <c r="CM18" s="159">
        <f t="shared" si="51"/>
        <v>3.2489143686695638</v>
      </c>
      <c r="CO18" s="46">
        <f t="shared" si="22"/>
        <v>7.5958100559847155E-2</v>
      </c>
      <c r="CP18" s="159">
        <f t="shared" si="23"/>
        <v>6.3013608593957366E-3</v>
      </c>
      <c r="CT18" s="11" t="s">
        <v>214</v>
      </c>
      <c r="CU18" s="11">
        <v>-0.5</v>
      </c>
      <c r="CX18" s="11"/>
      <c r="CY18" s="11" t="s">
        <v>228</v>
      </c>
      <c r="DM18" s="1" t="s">
        <v>229</v>
      </c>
      <c r="DN18" s="1">
        <v>0.96499999999999997</v>
      </c>
    </row>
    <row r="19" spans="1:120" ht="14.45">
      <c r="A19" s="245"/>
      <c r="B19" s="20" t="s">
        <v>230</v>
      </c>
      <c r="C19" s="21">
        <f t="shared" si="52"/>
        <v>4</v>
      </c>
      <c r="D19" s="21">
        <f t="shared" si="24"/>
        <v>3.2</v>
      </c>
      <c r="E19" s="22" t="s">
        <v>218</v>
      </c>
      <c r="F19" s="11">
        <v>100100</v>
      </c>
      <c r="G19" s="11">
        <v>24.6</v>
      </c>
      <c r="H19" s="23">
        <v>370.4</v>
      </c>
      <c r="I19" s="46">
        <v>0.3</v>
      </c>
      <c r="J19" s="159">
        <f t="shared" si="0"/>
        <v>8.0993520518358531E-4</v>
      </c>
      <c r="K19" s="154">
        <v>25</v>
      </c>
      <c r="L19" s="3">
        <v>0.01</v>
      </c>
      <c r="M19" s="24">
        <v>-21.326499999999999</v>
      </c>
      <c r="N19" s="11">
        <v>5.0000000000000002E-5</v>
      </c>
      <c r="O19" s="25">
        <v>5.3399000000000001</v>
      </c>
      <c r="P19" s="11">
        <v>5.0000000000000002E-5</v>
      </c>
      <c r="Q19" s="25">
        <v>-3.1092</v>
      </c>
      <c r="R19" s="23">
        <v>5.0000000000000002E-5</v>
      </c>
      <c r="S19" s="26">
        <v>0.70699999999999996</v>
      </c>
      <c r="T19" s="3">
        <v>0.36080000000000001</v>
      </c>
      <c r="U19" s="27">
        <v>0.1361</v>
      </c>
      <c r="W19" s="11">
        <f t="shared" si="1"/>
        <v>-3.3151243757766159E-2</v>
      </c>
      <c r="X19" s="11">
        <f t="shared" si="2"/>
        <v>6.7566808367197889E-2</v>
      </c>
      <c r="Y19" s="11">
        <f t="shared" si="3"/>
        <v>-4.3773317895278531E-2</v>
      </c>
      <c r="AA19" s="46">
        <f t="shared" si="4"/>
        <v>21.326499999999999</v>
      </c>
      <c r="AB19" s="11">
        <f t="shared" si="5"/>
        <v>5.3399000000000001</v>
      </c>
      <c r="AC19" s="159">
        <f t="shared" si="6"/>
        <v>3.1092</v>
      </c>
      <c r="AD19" s="242"/>
      <c r="AF19" s="46">
        <f t="shared" si="7"/>
        <v>21.216948091425987</v>
      </c>
      <c r="AG19" s="11">
        <f t="shared" si="8"/>
        <v>1.4178810591803113</v>
      </c>
      <c r="AH19" s="159">
        <f t="shared" si="9"/>
        <v>2.8380772899513316</v>
      </c>
      <c r="AI19" s="242"/>
      <c r="AK19" s="46">
        <f t="shared" si="10"/>
        <v>21.104717611388043</v>
      </c>
      <c r="AL19" s="11">
        <f t="shared" si="11"/>
        <v>2.6000322220723797</v>
      </c>
      <c r="AM19" s="159">
        <f t="shared" si="25"/>
        <v>0.24216134292750874</v>
      </c>
      <c r="AN19" s="46">
        <f t="shared" si="12"/>
        <v>0.72603801927819411</v>
      </c>
      <c r="AO19" s="11">
        <f t="shared" si="13"/>
        <v>0.39970323174702554</v>
      </c>
      <c r="AP19" s="159">
        <f t="shared" si="26"/>
        <v>1.5106999999999995E-2</v>
      </c>
      <c r="AR19" s="11">
        <f t="shared" si="14"/>
        <v>0.44399388531534861</v>
      </c>
      <c r="AS19" s="11">
        <f t="shared" si="15"/>
        <v>5.4698595332074253E-2</v>
      </c>
      <c r="AT19" s="23">
        <f t="shared" si="16"/>
        <v>3.2243722361863812E-2</v>
      </c>
      <c r="AU19" s="46">
        <f t="shared" si="27"/>
        <v>1.563374768156808E-2</v>
      </c>
      <c r="AV19" s="11">
        <f t="shared" si="28"/>
        <v>8.4531232321168916E-3</v>
      </c>
      <c r="AW19" s="159">
        <f t="shared" si="29"/>
        <v>2.037608604839048E-3</v>
      </c>
      <c r="AY19" s="11">
        <f t="shared" si="30"/>
        <v>0.41735425219642769</v>
      </c>
      <c r="AZ19" s="11">
        <f t="shared" si="31"/>
        <v>5.1416679612149796E-2</v>
      </c>
      <c r="BA19" s="23">
        <f t="shared" si="31"/>
        <v>3.0309099020151983E-2</v>
      </c>
      <c r="BB19" s="46">
        <f t="shared" si="32"/>
        <v>1.4695722820673994E-2</v>
      </c>
      <c r="BC19" s="11">
        <f t="shared" si="33"/>
        <v>7.9459358381898781E-3</v>
      </c>
      <c r="BD19" s="159">
        <f t="shared" si="34"/>
        <v>1.915352088548705E-3</v>
      </c>
      <c r="BF19" s="11">
        <f t="shared" si="17"/>
        <v>0.41735425219642769</v>
      </c>
      <c r="BG19" s="11">
        <f t="shared" si="18"/>
        <v>2.9416679612149797E-2</v>
      </c>
      <c r="BH19" s="23">
        <f t="shared" si="35"/>
        <v>3.2243722361863812E-2</v>
      </c>
      <c r="BI19" s="46">
        <f t="shared" si="36"/>
        <v>1.4695722820673994E-2</v>
      </c>
      <c r="BJ19" s="11">
        <f t="shared" si="37"/>
        <v>7.9459358381898781E-3</v>
      </c>
      <c r="BK19" s="159">
        <f t="shared" si="38"/>
        <v>1.915352088548705E-3</v>
      </c>
      <c r="BM19" s="204">
        <f t="shared" si="19"/>
        <v>4.3464040293230353</v>
      </c>
      <c r="BN19" s="219">
        <f t="shared" si="39"/>
        <v>1.4695722820673994E-2</v>
      </c>
      <c r="BP19" s="11">
        <f t="shared" si="40"/>
        <v>0.41735425219642769</v>
      </c>
      <c r="BQ19" s="11">
        <f t="shared" si="41"/>
        <v>3.2029448189546388E-2</v>
      </c>
      <c r="BR19" s="23">
        <f t="shared" si="42"/>
        <v>3.2243722361863812E-2</v>
      </c>
      <c r="BS19" s="46">
        <f t="shared" si="43"/>
        <v>1.4695722820673994E-2</v>
      </c>
      <c r="BT19" s="11">
        <f t="shared" si="44"/>
        <v>8.3868075228100986E-3</v>
      </c>
      <c r="BU19" s="159">
        <f t="shared" si="45"/>
        <v>1.915352088548705E-3</v>
      </c>
      <c r="BZ19" s="244"/>
      <c r="CE19" s="203">
        <f t="shared" si="20"/>
        <v>0.41735425219642769</v>
      </c>
      <c r="CF19" s="203">
        <f t="shared" si="20"/>
        <v>3.2029448189546388E-2</v>
      </c>
      <c r="CG19" s="204">
        <f t="shared" si="46"/>
        <v>3.2243722361863812E-2</v>
      </c>
      <c r="CH19" s="205">
        <f t="shared" si="47"/>
        <v>1.4695722820673994E-2</v>
      </c>
      <c r="CI19" s="203">
        <f t="shared" si="48"/>
        <v>8.3868075228100986E-3</v>
      </c>
      <c r="CJ19" s="206">
        <f t="shared" si="49"/>
        <v>1.915352088548705E-3</v>
      </c>
      <c r="CL19" s="46">
        <f>CE19/CF19</f>
        <v>13.030329143561135</v>
      </c>
      <c r="CM19" s="159">
        <f t="shared" si="51"/>
        <v>3.8707686930131913</v>
      </c>
      <c r="CO19" s="46">
        <f t="shared" si="22"/>
        <v>0.17418457182643937</v>
      </c>
      <c r="CP19" s="159">
        <f t="shared" si="23"/>
        <v>1.2266644816616743E-2</v>
      </c>
      <c r="CT19" s="11" t="s">
        <v>221</v>
      </c>
      <c r="CU19" s="11">
        <v>10.199999999999999</v>
      </c>
      <c r="CX19" s="11" t="s">
        <v>231</v>
      </c>
      <c r="CY19" s="11">
        <f>SLOPE(CE16:CE18,BM16:BM18)</f>
        <v>6.6527908978812292E-2</v>
      </c>
    </row>
    <row r="20" spans="1:120" ht="14.45">
      <c r="A20" s="245"/>
      <c r="B20" s="20" t="s">
        <v>232</v>
      </c>
      <c r="C20" s="21">
        <f t="shared" si="52"/>
        <v>6</v>
      </c>
      <c r="D20" s="21">
        <f t="shared" si="24"/>
        <v>5.2</v>
      </c>
      <c r="E20" s="22" t="s">
        <v>218</v>
      </c>
      <c r="F20" s="11">
        <v>100100</v>
      </c>
      <c r="G20" s="11">
        <v>24.7</v>
      </c>
      <c r="H20" s="23">
        <v>370</v>
      </c>
      <c r="I20" s="46">
        <v>0.3</v>
      </c>
      <c r="J20" s="159">
        <f t="shared" si="0"/>
        <v>8.1081081081081077E-4</v>
      </c>
      <c r="K20" s="154">
        <v>24.99</v>
      </c>
      <c r="L20" s="3">
        <v>0.03</v>
      </c>
      <c r="M20" s="24">
        <v>-28.311199999999999</v>
      </c>
      <c r="N20" s="11">
        <v>5.0000000000000002E-5</v>
      </c>
      <c r="O20" s="25">
        <v>6.7984</v>
      </c>
      <c r="P20" s="11">
        <v>5.0000000000000002E-5</v>
      </c>
      <c r="Q20" s="25">
        <v>-4.1943999999999999</v>
      </c>
      <c r="R20" s="23">
        <v>5.0000000000000002E-5</v>
      </c>
      <c r="S20" s="26">
        <v>0.72840000000000005</v>
      </c>
      <c r="T20" s="3">
        <v>0.33040000000000003</v>
      </c>
      <c r="U20" s="27">
        <v>0.1203</v>
      </c>
      <c r="W20" s="11">
        <f t="shared" si="1"/>
        <v>-2.5728333663002631E-2</v>
      </c>
      <c r="X20" s="11">
        <f t="shared" si="2"/>
        <v>4.8599670510708404E-2</v>
      </c>
      <c r="Y20" s="11">
        <f t="shared" si="3"/>
        <v>-2.8681098607667366E-2</v>
      </c>
      <c r="AA20" s="46">
        <f t="shared" si="4"/>
        <v>28.311199999999999</v>
      </c>
      <c r="AB20" s="11">
        <f t="shared" si="5"/>
        <v>6.7984</v>
      </c>
      <c r="AC20" s="159">
        <f t="shared" si="6"/>
        <v>4.1943999999999999</v>
      </c>
      <c r="AD20" s="242"/>
      <c r="AF20" s="46">
        <f t="shared" si="7"/>
        <v>28.022037846758074</v>
      </c>
      <c r="AG20" s="11">
        <f t="shared" si="8"/>
        <v>0.43055491530396583</v>
      </c>
      <c r="AH20" s="159">
        <f t="shared" si="9"/>
        <v>3.7536933718372816</v>
      </c>
      <c r="AI20" s="242"/>
      <c r="AK20" s="46">
        <f t="shared" si="10"/>
        <v>27.867688006121789</v>
      </c>
      <c r="AL20" s="11">
        <f t="shared" si="11"/>
        <v>2.9684925153501722</v>
      </c>
      <c r="AM20" s="159">
        <f t="shared" si="25"/>
        <v>0.48379797877666675</v>
      </c>
      <c r="AN20" s="46">
        <f t="shared" si="12"/>
        <v>0.75534720044921944</v>
      </c>
      <c r="AO20" s="11">
        <f t="shared" si="13"/>
        <v>0.39505697671877971</v>
      </c>
      <c r="AP20" s="159">
        <f t="shared" si="26"/>
        <v>1.8999999999999573E-4</v>
      </c>
      <c r="AR20" s="11">
        <f t="shared" si="14"/>
        <v>0.58690476729879026</v>
      </c>
      <c r="AS20" s="11">
        <f t="shared" si="15"/>
        <v>6.2517651574363592E-2</v>
      </c>
      <c r="AT20" s="23">
        <f t="shared" si="16"/>
        <v>6.4487220734366899E-2</v>
      </c>
      <c r="AU20" s="46">
        <f t="shared" si="27"/>
        <v>1.6383785914188664E-2</v>
      </c>
      <c r="AV20" s="11">
        <f t="shared" si="28"/>
        <v>8.3707495111782649E-3</v>
      </c>
      <c r="AW20" s="159">
        <f t="shared" si="29"/>
        <v>7.7612737980736987E-5</v>
      </c>
      <c r="AY20" s="11">
        <f t="shared" si="30"/>
        <v>0.55169048126086284</v>
      </c>
      <c r="AZ20" s="11">
        <f t="shared" si="31"/>
        <v>5.8766592479901771E-2</v>
      </c>
      <c r="BA20" s="23">
        <f t="shared" si="31"/>
        <v>6.0617987490304878E-2</v>
      </c>
      <c r="BB20" s="46">
        <f t="shared" si="32"/>
        <v>1.5400758759337344E-2</v>
      </c>
      <c r="BC20" s="11">
        <f t="shared" si="33"/>
        <v>7.8685045405075694E-3</v>
      </c>
      <c r="BD20" s="159">
        <f t="shared" si="34"/>
        <v>7.2955973701892764E-5</v>
      </c>
      <c r="BF20" s="11">
        <f t="shared" si="17"/>
        <v>0.55169048126086284</v>
      </c>
      <c r="BG20" s="11">
        <f t="shared" si="18"/>
        <v>3.6766592479901772E-2</v>
      </c>
      <c r="BH20" s="23">
        <f t="shared" si="35"/>
        <v>6.4487220734366899E-2</v>
      </c>
      <c r="BI20" s="46">
        <f t="shared" si="36"/>
        <v>1.5400758759337344E-2</v>
      </c>
      <c r="BJ20" s="11">
        <f t="shared" si="37"/>
        <v>7.8685045405075694E-3</v>
      </c>
      <c r="BK20" s="159">
        <f t="shared" si="38"/>
        <v>7.2955973701892764E-5</v>
      </c>
      <c r="BM20" s="204">
        <f t="shared" si="19"/>
        <v>6.4579030994465159</v>
      </c>
      <c r="BN20" s="219">
        <f t="shared" si="39"/>
        <v>1.5400758759337344E-2</v>
      </c>
      <c r="BP20" s="11">
        <f t="shared" si="40"/>
        <v>0.55169048126086284</v>
      </c>
      <c r="BQ20" s="11">
        <f t="shared" si="41"/>
        <v>4.133202828660941E-2</v>
      </c>
      <c r="BR20" s="23">
        <f t="shared" si="42"/>
        <v>6.4487220734366899E-2</v>
      </c>
      <c r="BS20" s="46">
        <f t="shared" si="43"/>
        <v>1.5400758759337344E-2</v>
      </c>
      <c r="BT20" s="11">
        <f t="shared" si="44"/>
        <v>8.3305273032876891E-3</v>
      </c>
      <c r="BU20" s="159">
        <f t="shared" si="45"/>
        <v>7.2955973701892764E-5</v>
      </c>
      <c r="BZ20" s="244"/>
      <c r="CE20" s="203">
        <f t="shared" si="20"/>
        <v>0.55169048126086284</v>
      </c>
      <c r="CF20" s="203">
        <f t="shared" si="20"/>
        <v>4.133202828660941E-2</v>
      </c>
      <c r="CG20" s="204">
        <f t="shared" si="46"/>
        <v>6.4487220734366899E-2</v>
      </c>
      <c r="CH20" s="205">
        <f t="shared" si="47"/>
        <v>1.5400758759337344E-2</v>
      </c>
      <c r="CI20" s="203">
        <f t="shared" si="48"/>
        <v>8.3305273032876891E-3</v>
      </c>
      <c r="CJ20" s="206">
        <f t="shared" si="49"/>
        <v>7.2955973701892764E-5</v>
      </c>
      <c r="CL20" s="46">
        <f t="shared" si="50"/>
        <v>13.347771791775275</v>
      </c>
      <c r="CM20" s="159">
        <f t="shared" si="51"/>
        <v>3.062872579853241</v>
      </c>
      <c r="CO20" s="46">
        <f t="shared" si="22"/>
        <v>0.30436238711384245</v>
      </c>
      <c r="CP20" s="159">
        <f t="shared" si="23"/>
        <v>1.6992904023442536E-2</v>
      </c>
      <c r="CX20" s="11" t="s">
        <v>233</v>
      </c>
      <c r="CY20" s="11">
        <f>SLOPE(CE22:CE23,BM22:BM23)</f>
        <v>3.9906617493920368E-2</v>
      </c>
    </row>
    <row r="21" spans="1:120" ht="14.45">
      <c r="A21" s="245"/>
      <c r="B21" s="20" t="s">
        <v>234</v>
      </c>
      <c r="C21" s="21">
        <f t="shared" si="52"/>
        <v>8</v>
      </c>
      <c r="D21" s="21">
        <f t="shared" si="24"/>
        <v>7.2</v>
      </c>
      <c r="E21" s="22" t="s">
        <v>218</v>
      </c>
      <c r="F21" s="11">
        <v>100100</v>
      </c>
      <c r="G21" s="11">
        <v>24.8</v>
      </c>
      <c r="H21" s="23">
        <v>369.4</v>
      </c>
      <c r="I21" s="46">
        <v>0.3</v>
      </c>
      <c r="J21" s="159">
        <f t="shared" si="0"/>
        <v>8.1212777476989716E-4</v>
      </c>
      <c r="K21" s="154">
        <v>24.97</v>
      </c>
      <c r="L21" s="3">
        <v>0.03</v>
      </c>
      <c r="M21" s="24">
        <v>-34.307499999999997</v>
      </c>
      <c r="N21" s="11">
        <v>5.0000000000000002E-5</v>
      </c>
      <c r="O21" s="25">
        <v>8.1273</v>
      </c>
      <c r="P21" s="11">
        <v>5.0000000000000002E-5</v>
      </c>
      <c r="Q21" s="25">
        <v>-5.1638000000000002</v>
      </c>
      <c r="R21" s="23">
        <v>5.0000000000000002E-5</v>
      </c>
      <c r="S21" s="26">
        <v>0.68479999999999996</v>
      </c>
      <c r="T21" s="3">
        <v>0.2787</v>
      </c>
      <c r="U21" s="27">
        <v>7.9200000000000007E-2</v>
      </c>
      <c r="W21" s="11">
        <f t="shared" si="1"/>
        <v>-1.9960650003643519E-2</v>
      </c>
      <c r="X21" s="11">
        <f t="shared" si="2"/>
        <v>3.4291831235465656E-2</v>
      </c>
      <c r="Y21" s="11">
        <f t="shared" si="3"/>
        <v>-1.5337542120144081E-2</v>
      </c>
      <c r="AA21" s="46">
        <f t="shared" si="4"/>
        <v>34.307499999999997</v>
      </c>
      <c r="AB21" s="11">
        <f t="shared" si="5"/>
        <v>8.1273</v>
      </c>
      <c r="AC21" s="159">
        <f t="shared" si="6"/>
        <v>5.1638000000000002</v>
      </c>
      <c r="AD21" s="242"/>
      <c r="AF21" s="46">
        <f t="shared" si="7"/>
        <v>33.753478914355213</v>
      </c>
      <c r="AG21" s="11">
        <f t="shared" si="8"/>
        <v>-0.67861299022801802</v>
      </c>
      <c r="AH21" s="159">
        <f t="shared" si="9"/>
        <v>4.5536624222953668</v>
      </c>
      <c r="AI21" s="242"/>
      <c r="AK21" s="46">
        <f t="shared" si="10"/>
        <v>33.572375411844071</v>
      </c>
      <c r="AL21" s="11">
        <f t="shared" si="11"/>
        <v>3.5571707322725059</v>
      </c>
      <c r="AM21" s="159">
        <f t="shared" si="25"/>
        <v>0.74665977606959921</v>
      </c>
      <c r="AN21" s="46">
        <f t="shared" si="12"/>
        <v>0.71433051965452599</v>
      </c>
      <c r="AO21" s="11">
        <f t="shared" si="13"/>
        <v>0.36233056560118054</v>
      </c>
      <c r="AP21" s="159">
        <f t="shared" si="26"/>
        <v>-3.0208999999999996E-2</v>
      </c>
      <c r="AR21" s="11">
        <f t="shared" si="14"/>
        <v>0.70819621491716822</v>
      </c>
      <c r="AS21" s="11">
        <f t="shared" si="15"/>
        <v>7.5037134474576841E-2</v>
      </c>
      <c r="AT21" s="23">
        <f t="shared" si="16"/>
        <v>9.9686695347377743E-2</v>
      </c>
      <c r="AU21" s="46">
        <f t="shared" si="27"/>
        <v>1.5643670578318235E-2</v>
      </c>
      <c r="AV21" s="11">
        <f t="shared" si="28"/>
        <v>7.7041622404889253E-3</v>
      </c>
      <c r="AW21" s="159">
        <f t="shared" si="29"/>
        <v>-3.9522512699126594E-3</v>
      </c>
      <c r="AY21" s="11">
        <f t="shared" si="30"/>
        <v>0.66570444202213808</v>
      </c>
      <c r="AZ21" s="11">
        <f t="shared" si="31"/>
        <v>7.053490640610223E-2</v>
      </c>
      <c r="BA21" s="23">
        <f t="shared" si="31"/>
        <v>9.3705493626535075E-2</v>
      </c>
      <c r="BB21" s="46">
        <f t="shared" si="32"/>
        <v>1.4705050343619141E-2</v>
      </c>
      <c r="BC21" s="11">
        <f t="shared" si="33"/>
        <v>7.2419125060595897E-3</v>
      </c>
      <c r="BD21" s="159">
        <f t="shared" si="34"/>
        <v>-3.7151161937178999E-3</v>
      </c>
      <c r="BF21" s="11">
        <f t="shared" si="17"/>
        <v>0.66570444202213808</v>
      </c>
      <c r="BG21" s="11">
        <f t="shared" si="18"/>
        <v>4.8534906406102231E-2</v>
      </c>
      <c r="BH21" s="23">
        <f t="shared" si="35"/>
        <v>9.9686695347377743E-2</v>
      </c>
      <c r="BI21" s="46">
        <f t="shared" si="36"/>
        <v>1.4705050343619141E-2</v>
      </c>
      <c r="BJ21" s="11">
        <f t="shared" si="37"/>
        <v>7.2419125060595897E-3</v>
      </c>
      <c r="BK21" s="159">
        <f t="shared" si="38"/>
        <v>-3.7151161937178999E-3</v>
      </c>
      <c r="BM21" s="204">
        <f t="shared" si="19"/>
        <v>8.5525346868783743</v>
      </c>
      <c r="BN21" s="219">
        <f t="shared" si="39"/>
        <v>1.4705050343619141E-2</v>
      </c>
      <c r="BP21" s="11">
        <f t="shared" si="40"/>
        <v>0.66570444202213808</v>
      </c>
      <c r="BQ21" s="11">
        <f t="shared" si="41"/>
        <v>5.5182342468022325E-2</v>
      </c>
      <c r="BR21" s="23">
        <f t="shared" si="42"/>
        <v>9.9686695347377743E-2</v>
      </c>
      <c r="BS21" s="46">
        <f t="shared" si="43"/>
        <v>1.4705050343619141E-2</v>
      </c>
      <c r="BT21" s="11">
        <f t="shared" si="44"/>
        <v>7.6830640163681636E-3</v>
      </c>
      <c r="BU21" s="159">
        <f t="shared" si="45"/>
        <v>-3.7151161937178999E-3</v>
      </c>
      <c r="BZ21" s="244"/>
      <c r="CE21" s="203">
        <f t="shared" si="20"/>
        <v>0.66570444202213808</v>
      </c>
      <c r="CF21" s="203">
        <f t="shared" si="20"/>
        <v>5.5182342468022325E-2</v>
      </c>
      <c r="CG21" s="204">
        <f t="shared" si="46"/>
        <v>9.9686695347377743E-2</v>
      </c>
      <c r="CH21" s="205">
        <f t="shared" si="47"/>
        <v>1.4705050343619141E-2</v>
      </c>
      <c r="CI21" s="203">
        <f t="shared" si="48"/>
        <v>7.6830640163681636E-3</v>
      </c>
      <c r="CJ21" s="206">
        <f t="shared" si="49"/>
        <v>-3.7151161937178999E-3</v>
      </c>
      <c r="CL21" s="46">
        <f t="shared" si="50"/>
        <v>12.063722057611235</v>
      </c>
      <c r="CM21" s="159">
        <f t="shared" si="51"/>
        <v>1.9461188921103032</v>
      </c>
      <c r="CO21" s="46">
        <f t="shared" si="22"/>
        <v>0.44316240412800617</v>
      </c>
      <c r="CP21" s="159">
        <f t="shared" si="23"/>
        <v>1.9578434667812859E-2</v>
      </c>
    </row>
    <row r="22" spans="1:120" ht="14.45">
      <c r="A22" s="245"/>
      <c r="B22" s="20" t="s">
        <v>235</v>
      </c>
      <c r="C22" s="21">
        <f t="shared" si="52"/>
        <v>10</v>
      </c>
      <c r="D22" s="21">
        <f t="shared" si="24"/>
        <v>9.1999999999999993</v>
      </c>
      <c r="E22" s="22" t="s">
        <v>218</v>
      </c>
      <c r="F22" s="11">
        <v>100100</v>
      </c>
      <c r="G22" s="11">
        <v>24.8</v>
      </c>
      <c r="H22" s="23">
        <v>368.5</v>
      </c>
      <c r="I22" s="46">
        <v>1</v>
      </c>
      <c r="J22" s="159">
        <f t="shared" si="0"/>
        <v>2.7137042062415195E-3</v>
      </c>
      <c r="K22" s="154">
        <v>24.95</v>
      </c>
      <c r="L22" s="3">
        <v>0.02</v>
      </c>
      <c r="M22" s="24">
        <v>-39.188899999999997</v>
      </c>
      <c r="N22" s="11">
        <v>5.0000000000000002E-5</v>
      </c>
      <c r="O22" s="25">
        <v>9.2312999999999992</v>
      </c>
      <c r="P22" s="11">
        <v>5.0000000000000002E-5</v>
      </c>
      <c r="Q22" s="25">
        <v>-5.9587000000000003</v>
      </c>
      <c r="R22" s="23">
        <v>5.0000000000000002E-5</v>
      </c>
      <c r="S22" s="26">
        <v>0.95089999999999997</v>
      </c>
      <c r="T22" s="3">
        <v>0.27179999999999999</v>
      </c>
      <c r="U22" s="27">
        <v>8.0500000000000002E-2</v>
      </c>
      <c r="W22" s="11">
        <f t="shared" si="1"/>
        <v>-2.4264523883038309E-2</v>
      </c>
      <c r="X22" s="11">
        <f t="shared" si="2"/>
        <v>2.9443307009846934E-2</v>
      </c>
      <c r="Y22" s="11">
        <f t="shared" si="3"/>
        <v>-1.3509658146911239E-2</v>
      </c>
      <c r="AA22" s="46">
        <f t="shared" si="4"/>
        <v>39.188899999999997</v>
      </c>
      <c r="AB22" s="11">
        <f t="shared" si="5"/>
        <v>9.2312999999999992</v>
      </c>
      <c r="AC22" s="159">
        <f t="shared" si="6"/>
        <v>5.9587000000000003</v>
      </c>
      <c r="AD22" s="242"/>
      <c r="AF22" s="46">
        <f t="shared" si="7"/>
        <v>38.28509398402813</v>
      </c>
      <c r="AG22" s="11">
        <f t="shared" si="8"/>
        <v>-2.0019522472283189</v>
      </c>
      <c r="AH22" s="159">
        <f t="shared" si="9"/>
        <v>5.1794998021406267</v>
      </c>
      <c r="AI22" s="242"/>
      <c r="AK22" s="46">
        <f t="shared" si="10"/>
        <v>38.112679186351045</v>
      </c>
      <c r="AL22" s="11">
        <f t="shared" si="11"/>
        <v>4.1448666328765009</v>
      </c>
      <c r="AM22" s="159">
        <f t="shared" si="25"/>
        <v>0.99692874117250696</v>
      </c>
      <c r="AN22" s="46">
        <f t="shared" si="12"/>
        <v>0.98212358127254484</v>
      </c>
      <c r="AO22" s="11">
        <f t="shared" si="13"/>
        <v>0.42033465822300387</v>
      </c>
      <c r="AP22" s="159">
        <f t="shared" si="26"/>
        <v>-5.8751499999999998E-2</v>
      </c>
      <c r="AR22" s="11">
        <f t="shared" si="14"/>
        <v>0.8059357272921932</v>
      </c>
      <c r="AS22" s="11">
        <f t="shared" si="15"/>
        <v>8.7647895021055591E-2</v>
      </c>
      <c r="AT22" s="23">
        <f t="shared" si="16"/>
        <v>0.13342522970627554</v>
      </c>
      <c r="AU22" s="46">
        <f t="shared" si="27"/>
        <v>2.2955185608037595E-2</v>
      </c>
      <c r="AV22" s="11">
        <f t="shared" si="28"/>
        <v>9.1263024336215998E-3</v>
      </c>
      <c r="AW22" s="159">
        <f t="shared" si="29"/>
        <v>-7.5010053358440703E-3</v>
      </c>
      <c r="AY22" s="11">
        <f t="shared" si="30"/>
        <v>0.7575795836546616</v>
      </c>
      <c r="AZ22" s="11">
        <f t="shared" si="31"/>
        <v>8.2389021319792255E-2</v>
      </c>
      <c r="BA22" s="23">
        <f t="shared" si="31"/>
        <v>0.125419715923899</v>
      </c>
      <c r="BB22" s="46">
        <f t="shared" si="32"/>
        <v>2.1577874471555337E-2</v>
      </c>
      <c r="BC22" s="11">
        <f t="shared" si="33"/>
        <v>8.5787242876043026E-3</v>
      </c>
      <c r="BD22" s="159">
        <f t="shared" si="34"/>
        <v>-7.050945015693426E-3</v>
      </c>
      <c r="BF22" s="11">
        <f t="shared" si="17"/>
        <v>0.7575795836546616</v>
      </c>
      <c r="BG22" s="11">
        <f t="shared" si="18"/>
        <v>6.0389021319792256E-2</v>
      </c>
      <c r="BH22" s="23">
        <f t="shared" si="35"/>
        <v>0.13342522970627554</v>
      </c>
      <c r="BI22" s="46">
        <f t="shared" si="36"/>
        <v>2.1577874471555337E-2</v>
      </c>
      <c r="BJ22" s="11">
        <f t="shared" si="37"/>
        <v>8.5787242876043026E-3</v>
      </c>
      <c r="BK22" s="159">
        <f t="shared" si="38"/>
        <v>-7.050945015693426E-3</v>
      </c>
      <c r="BM22" s="204">
        <f t="shared" si="19"/>
        <v>10.628791054433369</v>
      </c>
      <c r="BN22" s="219">
        <f t="shared" si="39"/>
        <v>2.1577874471555337E-2</v>
      </c>
      <c r="BP22" s="11">
        <f t="shared" si="40"/>
        <v>0.7575795836546616</v>
      </c>
      <c r="BQ22" s="11">
        <f t="shared" si="41"/>
        <v>6.8997923703347813E-2</v>
      </c>
      <c r="BR22" s="23">
        <f t="shared" si="42"/>
        <v>0.13342522970627554</v>
      </c>
      <c r="BS22" s="46">
        <f t="shared" si="43"/>
        <v>2.1577874471555337E-2</v>
      </c>
      <c r="BT22" s="11">
        <f t="shared" si="44"/>
        <v>9.2260605217509631E-3</v>
      </c>
      <c r="BU22" s="159">
        <f t="shared" si="45"/>
        <v>-7.050945015693426E-3</v>
      </c>
      <c r="BZ22" s="244"/>
      <c r="CE22" s="203">
        <f t="shared" si="20"/>
        <v>0.7575795836546616</v>
      </c>
      <c r="CF22" s="203">
        <f t="shared" si="20"/>
        <v>6.8997923703347813E-2</v>
      </c>
      <c r="CG22" s="204">
        <f t="shared" si="46"/>
        <v>0.13342522970627554</v>
      </c>
      <c r="CH22" s="205">
        <f t="shared" si="47"/>
        <v>2.1577874471555337E-2</v>
      </c>
      <c r="CI22" s="203">
        <f t="shared" si="48"/>
        <v>9.2260605217509631E-3</v>
      </c>
      <c r="CJ22" s="206">
        <f t="shared" si="49"/>
        <v>-7.050945015693426E-3</v>
      </c>
      <c r="CL22" s="46">
        <f t="shared" si="50"/>
        <v>10.979744650169865</v>
      </c>
      <c r="CM22" s="159">
        <f t="shared" si="51"/>
        <v>1.7808892866935906</v>
      </c>
      <c r="CO22" s="46">
        <f t="shared" si="22"/>
        <v>0.57392682557037045</v>
      </c>
      <c r="CP22" s="159">
        <f t="shared" si="23"/>
        <v>3.2693914316626889E-2</v>
      </c>
      <c r="CV22" s="11" t="s">
        <v>236</v>
      </c>
    </row>
    <row r="23" spans="1:120" ht="15" thickBot="1">
      <c r="A23" s="245"/>
      <c r="B23" s="30" t="s">
        <v>237</v>
      </c>
      <c r="C23" s="31">
        <f>C22+2</f>
        <v>12</v>
      </c>
      <c r="D23" s="31">
        <f t="shared" si="24"/>
        <v>11.2</v>
      </c>
      <c r="E23" s="32" t="s">
        <v>218</v>
      </c>
      <c r="F23" s="33">
        <v>100100</v>
      </c>
      <c r="G23" s="33">
        <v>24.9</v>
      </c>
      <c r="H23" s="34">
        <v>367.4</v>
      </c>
      <c r="I23" s="160">
        <v>0.3</v>
      </c>
      <c r="J23" s="162">
        <f t="shared" si="0"/>
        <v>8.1654872074033748E-4</v>
      </c>
      <c r="K23" s="155">
        <v>24.92</v>
      </c>
      <c r="L23" s="35">
        <v>0.01</v>
      </c>
      <c r="M23" s="36">
        <v>-43.685699999999997</v>
      </c>
      <c r="N23" s="33">
        <v>5.0000000000000002E-5</v>
      </c>
      <c r="O23" s="37">
        <v>10.5669</v>
      </c>
      <c r="P23" s="33">
        <v>5.0000000000000002E-5</v>
      </c>
      <c r="Q23" s="37">
        <v>-6.6722999999999999</v>
      </c>
      <c r="R23" s="34">
        <v>5.0000000000000002E-5</v>
      </c>
      <c r="S23" s="38">
        <v>0.82489999999999997</v>
      </c>
      <c r="T23" s="35">
        <v>0.2853</v>
      </c>
      <c r="U23" s="39">
        <v>9.35E-2</v>
      </c>
      <c r="W23" s="11">
        <f t="shared" si="1"/>
        <v>-1.8882609183325436E-2</v>
      </c>
      <c r="X23" s="11">
        <f t="shared" si="2"/>
        <v>2.6999403798654287E-2</v>
      </c>
      <c r="Y23" s="11">
        <f t="shared" si="3"/>
        <v>-1.4013158880745769E-2</v>
      </c>
      <c r="AA23" s="160">
        <f t="shared" si="4"/>
        <v>43.685699999999997</v>
      </c>
      <c r="AB23" s="161">
        <f t="shared" si="5"/>
        <v>10.5669</v>
      </c>
      <c r="AC23" s="162">
        <f t="shared" si="6"/>
        <v>6.6722999999999999</v>
      </c>
      <c r="AD23" s="243"/>
      <c r="AF23" s="160">
        <f t="shared" si="7"/>
        <v>42.347609214834193</v>
      </c>
      <c r="AG23" s="161">
        <f t="shared" si="8"/>
        <v>-3.0800055167152305</v>
      </c>
      <c r="AH23" s="162">
        <f t="shared" si="9"/>
        <v>5.724623269257382</v>
      </c>
      <c r="AI23" s="243"/>
      <c r="AK23" s="160">
        <f t="shared" si="10"/>
        <v>42.13934844929765</v>
      </c>
      <c r="AL23" s="161">
        <f t="shared" si="11"/>
        <v>5.2040131114344694</v>
      </c>
      <c r="AM23" s="162">
        <f t="shared" si="25"/>
        <v>1.1934488163901245</v>
      </c>
      <c r="AN23" s="160">
        <f t="shared" si="12"/>
        <v>0.86460496805060605</v>
      </c>
      <c r="AO23" s="161">
        <f t="shared" si="13"/>
        <v>0.44009042214247918</v>
      </c>
      <c r="AP23" s="162">
        <f t="shared" si="26"/>
        <v>-3.2746500000000005E-2</v>
      </c>
      <c r="AR23" s="11">
        <f t="shared" si="14"/>
        <v>0.89375212196339471</v>
      </c>
      <c r="AS23" s="11">
        <f t="shared" si="15"/>
        <v>0.11037422106006498</v>
      </c>
      <c r="AT23" s="23">
        <f t="shared" si="16"/>
        <v>0.16020496843036897</v>
      </c>
      <c r="AU23" s="160">
        <f t="shared" si="27"/>
        <v>1.906758220536766E-2</v>
      </c>
      <c r="AV23" s="161">
        <f t="shared" si="28"/>
        <v>9.4241987877500249E-3</v>
      </c>
      <c r="AW23" s="162">
        <f t="shared" si="29"/>
        <v>-4.2649762004983481E-3</v>
      </c>
      <c r="AY23" s="11">
        <f t="shared" si="30"/>
        <v>0.84012699464559093</v>
      </c>
      <c r="AZ23" s="11">
        <f t="shared" si="31"/>
        <v>0.10375176779646107</v>
      </c>
      <c r="BA23" s="23">
        <f t="shared" si="31"/>
        <v>0.15059267032454682</v>
      </c>
      <c r="BB23" s="160">
        <f t="shared" si="32"/>
        <v>1.7923527273045598E-2</v>
      </c>
      <c r="BC23" s="161">
        <f t="shared" si="33"/>
        <v>8.8587468604850225E-3</v>
      </c>
      <c r="BD23" s="162">
        <f t="shared" si="34"/>
        <v>-4.0090776284684472E-3</v>
      </c>
      <c r="BF23" s="11">
        <f t="shared" si="17"/>
        <v>0.84012699464559093</v>
      </c>
      <c r="BG23" s="11">
        <f t="shared" si="18"/>
        <v>8.1751767796461067E-2</v>
      </c>
      <c r="BH23" s="23">
        <f t="shared" si="35"/>
        <v>0.16020496843036897</v>
      </c>
      <c r="BI23" s="160">
        <f t="shared" si="36"/>
        <v>1.7923527273045598E-2</v>
      </c>
      <c r="BJ23" s="161">
        <f t="shared" si="37"/>
        <v>8.8587468604850225E-3</v>
      </c>
      <c r="BK23" s="162">
        <f t="shared" si="38"/>
        <v>-4.0090776284684472E-3</v>
      </c>
      <c r="BM23" s="204">
        <f t="shared" si="19"/>
        <v>12.69730540555584</v>
      </c>
      <c r="BN23" s="220">
        <f t="shared" si="39"/>
        <v>1.7923527273045598E-2</v>
      </c>
      <c r="BP23" s="11">
        <f t="shared" si="40"/>
        <v>0.84012699464559093</v>
      </c>
      <c r="BQ23" s="11">
        <f t="shared" si="41"/>
        <v>9.2338968303444555E-2</v>
      </c>
      <c r="BR23" s="23">
        <f t="shared" si="42"/>
        <v>0.16020496843036897</v>
      </c>
      <c r="BS23" s="160">
        <f t="shared" si="43"/>
        <v>1.7923527273045598E-2</v>
      </c>
      <c r="BT23" s="161">
        <f t="shared" si="44"/>
        <v>9.3964526786763907E-3</v>
      </c>
      <c r="BU23" s="162">
        <f t="shared" si="45"/>
        <v>-4.0090776284684472E-3</v>
      </c>
      <c r="BZ23" s="244"/>
      <c r="CE23" s="203">
        <f t="shared" si="20"/>
        <v>0.84012699464559093</v>
      </c>
      <c r="CF23" s="203">
        <f t="shared" si="20"/>
        <v>9.2338968303444555E-2</v>
      </c>
      <c r="CG23" s="204">
        <f t="shared" si="46"/>
        <v>0.16020496843036897</v>
      </c>
      <c r="CH23" s="207">
        <f t="shared" si="47"/>
        <v>1.7923527273045598E-2</v>
      </c>
      <c r="CI23" s="208">
        <f t="shared" si="48"/>
        <v>9.3964526786763907E-3</v>
      </c>
      <c r="CJ23" s="209">
        <f t="shared" si="49"/>
        <v>-4.0090776284684472E-3</v>
      </c>
      <c r="CL23" s="160">
        <f t="shared" si="50"/>
        <v>9.0982930617630835</v>
      </c>
      <c r="CM23" s="162">
        <f t="shared" si="51"/>
        <v>1.1199519486159824</v>
      </c>
      <c r="CO23" s="160">
        <f t="shared" si="22"/>
        <v>0.70581336713223275</v>
      </c>
      <c r="CP23" s="162">
        <f t="shared" si="23"/>
        <v>3.0116078202704163E-2</v>
      </c>
      <c r="CV23" s="11">
        <f>SLOPE(CG16:CG23,CE16:CE23)</f>
        <v>0.23880367798560384</v>
      </c>
    </row>
    <row r="24" spans="1:120" ht="15" thickBot="1">
      <c r="C24" s="40"/>
      <c r="D24" s="40"/>
      <c r="G24" s="41">
        <f>AVERAGE(G16:G23)</f>
        <v>24.55</v>
      </c>
      <c r="CE24" s="235" t="s">
        <v>238</v>
      </c>
      <c r="CF24" s="235"/>
      <c r="CG24" s="235"/>
      <c r="CH24" s="153"/>
      <c r="CI24" s="153"/>
      <c r="CJ24" s="153"/>
    </row>
    <row r="25" spans="1:120" ht="14.25" customHeight="1" thickBot="1">
      <c r="BW25" s="232" t="s">
        <v>239</v>
      </c>
      <c r="BX25" s="232"/>
      <c r="CE25" s="66"/>
      <c r="CF25" s="66"/>
      <c r="CG25" s="66"/>
      <c r="CH25" s="66"/>
      <c r="CI25" s="66"/>
      <c r="CJ25" s="66"/>
    </row>
    <row r="26" spans="1:120" ht="14.45" customHeight="1" thickBot="1">
      <c r="B26" s="246" t="s">
        <v>240</v>
      </c>
      <c r="C26" s="247"/>
      <c r="D26" s="247"/>
      <c r="E26" s="247"/>
      <c r="F26" s="247"/>
      <c r="G26" s="247"/>
      <c r="H26" s="247"/>
      <c r="I26" s="247"/>
      <c r="J26" s="247"/>
      <c r="K26" s="247"/>
      <c r="L26" s="247"/>
      <c r="M26" s="247"/>
      <c r="N26" s="247"/>
      <c r="O26" s="247"/>
      <c r="P26" s="247"/>
      <c r="Q26" s="247"/>
      <c r="R26" s="247"/>
      <c r="S26" s="247"/>
      <c r="T26" s="247"/>
      <c r="U26" s="248"/>
      <c r="V26" s="131"/>
      <c r="W26" s="240" t="s">
        <v>142</v>
      </c>
      <c r="X26" s="240"/>
      <c r="Y26" s="240"/>
      <c r="AA26" s="232" t="s">
        <v>143</v>
      </c>
      <c r="AB26" s="232"/>
      <c r="AC26" s="232"/>
      <c r="AD26" s="67"/>
      <c r="AF26" s="232" t="s">
        <v>144</v>
      </c>
      <c r="AG26" s="232"/>
      <c r="AH26" s="232"/>
      <c r="AI26" s="67"/>
      <c r="AK26" s="232" t="s">
        <v>145</v>
      </c>
      <c r="AL26" s="232"/>
      <c r="AM26" s="232"/>
      <c r="AR26" s="239" t="s">
        <v>147</v>
      </c>
      <c r="AS26" s="239"/>
      <c r="AT26" s="239"/>
      <c r="AY26" s="232" t="s">
        <v>149</v>
      </c>
      <c r="AZ26" s="232"/>
      <c r="BA26" s="232"/>
      <c r="BF26" s="232" t="s">
        <v>150</v>
      </c>
      <c r="BG26" s="232"/>
      <c r="BH26" s="232"/>
      <c r="BP26" s="232"/>
      <c r="BQ26" s="232"/>
      <c r="BR26" s="232"/>
      <c r="CA26" s="1" t="s">
        <v>241</v>
      </c>
      <c r="CE26" s="66"/>
      <c r="CF26" s="66"/>
      <c r="CG26" s="66"/>
      <c r="CH26" s="66" t="s">
        <v>155</v>
      </c>
      <c r="CI26" s="66" t="s">
        <v>155</v>
      </c>
      <c r="CJ26" s="66" t="s">
        <v>242</v>
      </c>
      <c r="CR26" s="69" t="s">
        <v>243</v>
      </c>
    </row>
    <row r="27" spans="1:120" ht="16.899999999999999" thickBot="1">
      <c r="A27" s="245" t="s">
        <v>244</v>
      </c>
      <c r="B27" s="12"/>
      <c r="C27" s="13" t="s">
        <v>168</v>
      </c>
      <c r="D27" s="13" t="s">
        <v>169</v>
      </c>
      <c r="E27" s="13" t="s">
        <v>170</v>
      </c>
      <c r="F27" s="13" t="s">
        <v>171</v>
      </c>
      <c r="G27" s="13" t="s">
        <v>172</v>
      </c>
      <c r="H27" s="14" t="s">
        <v>173</v>
      </c>
      <c r="I27" s="157" t="s">
        <v>174</v>
      </c>
      <c r="J27" s="158" t="s">
        <v>175</v>
      </c>
      <c r="K27" s="16" t="s">
        <v>176</v>
      </c>
      <c r="L27" s="42" t="s">
        <v>177</v>
      </c>
      <c r="M27" s="13" t="s">
        <v>178</v>
      </c>
      <c r="N27" s="13" t="s">
        <v>179</v>
      </c>
      <c r="O27" s="13" t="s">
        <v>180</v>
      </c>
      <c r="P27" s="13" t="s">
        <v>181</v>
      </c>
      <c r="Q27" s="13" t="s">
        <v>182</v>
      </c>
      <c r="R27" s="14" t="s">
        <v>183</v>
      </c>
      <c r="S27" s="43" t="s">
        <v>184</v>
      </c>
      <c r="T27" s="44" t="s">
        <v>185</v>
      </c>
      <c r="U27" s="45" t="s">
        <v>186</v>
      </c>
      <c r="W27" s="13" t="s">
        <v>184</v>
      </c>
      <c r="X27" s="13" t="s">
        <v>185</v>
      </c>
      <c r="Y27" s="13" t="s">
        <v>186</v>
      </c>
      <c r="AA27" s="157" t="s">
        <v>187</v>
      </c>
      <c r="AB27" s="72" t="s">
        <v>188</v>
      </c>
      <c r="AC27" s="158" t="s">
        <v>189</v>
      </c>
      <c r="AF27" s="157" t="s">
        <v>190</v>
      </c>
      <c r="AG27" s="72" t="s">
        <v>191</v>
      </c>
      <c r="AH27" s="158" t="s">
        <v>192</v>
      </c>
      <c r="AK27" s="157" t="s">
        <v>193</v>
      </c>
      <c r="AL27" s="72" t="s">
        <v>194</v>
      </c>
      <c r="AM27" s="158" t="s">
        <v>195</v>
      </c>
      <c r="AN27" s="157" t="s">
        <v>196</v>
      </c>
      <c r="AO27" s="72" t="s">
        <v>197</v>
      </c>
      <c r="AP27" s="158" t="s">
        <v>198</v>
      </c>
      <c r="AR27" s="13" t="s">
        <v>199</v>
      </c>
      <c r="AS27" s="13" t="s">
        <v>200</v>
      </c>
      <c r="AT27" s="14" t="s">
        <v>201</v>
      </c>
      <c r="AU27" s="157" t="s">
        <v>202</v>
      </c>
      <c r="AV27" s="72" t="s">
        <v>203</v>
      </c>
      <c r="AW27" s="158" t="s">
        <v>204</v>
      </c>
      <c r="AY27" s="13" t="s">
        <v>95</v>
      </c>
      <c r="AZ27" s="13" t="s">
        <v>205</v>
      </c>
      <c r="BA27" s="14" t="s">
        <v>206</v>
      </c>
      <c r="BB27" s="157" t="s">
        <v>207</v>
      </c>
      <c r="BC27" s="72" t="s">
        <v>208</v>
      </c>
      <c r="BD27" s="158" t="s">
        <v>209</v>
      </c>
      <c r="BF27" s="13" t="s">
        <v>95</v>
      </c>
      <c r="BG27" s="13" t="s">
        <v>205</v>
      </c>
      <c r="BH27" s="14" t="s">
        <v>206</v>
      </c>
      <c r="BI27" s="157" t="s">
        <v>207</v>
      </c>
      <c r="BJ27" s="72" t="s">
        <v>208</v>
      </c>
      <c r="BK27" s="158" t="s">
        <v>209</v>
      </c>
      <c r="BM27" s="14" t="s">
        <v>210</v>
      </c>
      <c r="BN27" s="168" t="s">
        <v>211</v>
      </c>
      <c r="BP27" s="64" t="s">
        <v>95</v>
      </c>
      <c r="BQ27" s="64" t="s">
        <v>205</v>
      </c>
      <c r="BR27" s="176" t="s">
        <v>206</v>
      </c>
      <c r="BS27" s="157" t="s">
        <v>207</v>
      </c>
      <c r="BT27" s="72" t="s">
        <v>208</v>
      </c>
      <c r="BU27" s="158" t="s">
        <v>209</v>
      </c>
      <c r="BW27" s="11" t="s">
        <v>245</v>
      </c>
      <c r="BX27" s="11" t="s">
        <v>246</v>
      </c>
      <c r="BZ27" s="14" t="s">
        <v>212</v>
      </c>
      <c r="CA27" s="168" t="s">
        <v>247</v>
      </c>
      <c r="CE27" s="64" t="s">
        <v>95</v>
      </c>
      <c r="CF27" s="64" t="s">
        <v>205</v>
      </c>
      <c r="CG27" s="176" t="s">
        <v>206</v>
      </c>
      <c r="CH27" s="179" t="s">
        <v>207</v>
      </c>
      <c r="CI27" s="180" t="s">
        <v>208</v>
      </c>
      <c r="CJ27" s="181" t="s">
        <v>209</v>
      </c>
      <c r="CL27" s="157" t="s">
        <v>77</v>
      </c>
      <c r="CM27" s="158" t="s">
        <v>78</v>
      </c>
      <c r="CO27" s="179" t="s">
        <v>213</v>
      </c>
      <c r="CP27" s="181" t="s">
        <v>80</v>
      </c>
      <c r="CR27" s="82" t="s">
        <v>248</v>
      </c>
      <c r="CT27" s="1" t="s">
        <v>249</v>
      </c>
      <c r="DP27" s="1" t="s">
        <v>250</v>
      </c>
    </row>
    <row r="28" spans="1:120" ht="15" thickBot="1">
      <c r="A28" s="245"/>
      <c r="B28" s="20" t="s">
        <v>251</v>
      </c>
      <c r="C28" s="21">
        <v>-2</v>
      </c>
      <c r="D28" s="21">
        <v>-2.8</v>
      </c>
      <c r="E28" s="21">
        <v>1</v>
      </c>
      <c r="F28" s="11">
        <v>100100</v>
      </c>
      <c r="G28" s="11">
        <v>24.9</v>
      </c>
      <c r="H28" s="23">
        <v>373</v>
      </c>
      <c r="I28" s="46">
        <v>0.5</v>
      </c>
      <c r="J28" s="159">
        <f t="shared" ref="J28:J35" si="53">I28/H28</f>
        <v>1.3404825737265416E-3</v>
      </c>
      <c r="K28" s="154">
        <v>25.08</v>
      </c>
      <c r="L28" s="3">
        <v>0.01</v>
      </c>
      <c r="M28" s="24">
        <v>1.6659999999999999</v>
      </c>
      <c r="N28" s="11">
        <v>5.0000000000000002E-5</v>
      </c>
      <c r="O28" s="25">
        <v>-1.2373000000000001</v>
      </c>
      <c r="P28" s="11">
        <v>5.0000000000000002E-5</v>
      </c>
      <c r="Q28" s="25">
        <v>4.0399999999999998E-2</v>
      </c>
      <c r="R28" s="23">
        <v>5.0000000000000002E-5</v>
      </c>
      <c r="S28" s="46">
        <v>0.63549999999999995</v>
      </c>
      <c r="T28" s="1">
        <v>0.40389999999999998</v>
      </c>
      <c r="U28" s="47">
        <v>0.14960000000000001</v>
      </c>
      <c r="W28" s="11">
        <f t="shared" ref="W28:W35" si="54">S28/M28</f>
        <v>0.38145258103241297</v>
      </c>
      <c r="X28" s="11">
        <f t="shared" ref="X28:X35" si="55">T28/O28</f>
        <v>-0.32643659581346479</v>
      </c>
      <c r="Y28" s="11">
        <f t="shared" ref="Y28:Y35" si="56">U28/Q28</f>
        <v>3.7029702970297036</v>
      </c>
      <c r="AA28" s="46">
        <f t="shared" ref="AA28:AA35" si="57">-1*M28</f>
        <v>-1.6659999999999999</v>
      </c>
      <c r="AB28" s="11">
        <f t="shared" ref="AB28:AB35" si="58">O28</f>
        <v>-1.2373000000000001</v>
      </c>
      <c r="AC28" s="159">
        <f t="shared" ref="AC28:AC35" si="59">-1*Q28</f>
        <v>-4.0399999999999998E-2</v>
      </c>
      <c r="AD28" s="241" t="s">
        <v>219</v>
      </c>
      <c r="AF28" s="46">
        <f t="shared" ref="AF28:AF35" si="60">AA28+$D$3*(COS(RADIANS(D28))-1)</f>
        <v>-1.7551218474619454</v>
      </c>
      <c r="AG28" s="11">
        <f t="shared" ref="AG28:AG35" si="61">AB28-$D$3*SIN(RADIANS(D28))</f>
        <v>2.4093353152425294</v>
      </c>
      <c r="AH28" s="159">
        <f t="shared" ref="AH28:AH35" si="62">AC28-$D$3*($D$5*SIN(RADIANS(D28)+$D$4*(COS(RADIANS(D28))-1)))</f>
        <v>0.23747898361518227</v>
      </c>
      <c r="AI28" s="241" t="s">
        <v>219</v>
      </c>
      <c r="AK28" s="46">
        <f t="shared" ref="AK28:AK35" si="63">AF28*COS(RADIANS(D28))-AG28*SIN(RADIANS(D28))</f>
        <v>-1.6353309975169885</v>
      </c>
      <c r="AL28" s="11">
        <f t="shared" ref="AL28:AL35" si="64">AG28*COS(RADIANS(D28))+AF28*SIN(RADIANS(D28))</f>
        <v>2.4921961979894651</v>
      </c>
      <c r="AM28" s="159">
        <f t="shared" ref="AM28:AM53" si="65">AH28-0.115*AF28-0.11*AG28</f>
        <v>0.17429111139662778</v>
      </c>
      <c r="AN28" s="46">
        <f t="shared" ref="AN28:AN35" si="66">S28*COS(RADIANS(D28)) + T28*SIN(RADIANS(D28))</f>
        <v>0.6150108782600332</v>
      </c>
      <c r="AO28" s="11">
        <f t="shared" ref="AO28:AO35" si="67">T28*COS(RADIANS(D28))+S28*SIN(RADIANS(D28))</f>
        <v>0.37237377016709294</v>
      </c>
      <c r="AP28" s="159">
        <f t="shared" si="26"/>
        <v>3.208850000000002E-2</v>
      </c>
      <c r="AR28" s="11">
        <f t="shared" ref="AR28:AR35" si="68">AK28/(H28*$C$10)</f>
        <v>-3.4163728240976306E-2</v>
      </c>
      <c r="AS28" s="11">
        <f t="shared" ref="AS28:AS35" si="69">AL28/(H28*$C$10)</f>
        <v>5.2064514010058668E-2</v>
      </c>
      <c r="AT28" s="23">
        <f t="shared" ref="AT28:AT35" si="70">AM28/(H28*$C$10*$C$9)</f>
        <v>2.3045054633011507E-2</v>
      </c>
      <c r="AU28" s="46">
        <f t="shared" si="27"/>
        <v>1.2802407045378337E-2</v>
      </c>
      <c r="AV28" s="11">
        <f t="shared" si="28"/>
        <v>7.8490584667252027E-3</v>
      </c>
      <c r="AW28" s="159">
        <f t="shared" si="29"/>
        <v>4.2736852296716326E-3</v>
      </c>
      <c r="AY28" s="11">
        <f t="shared" si="30"/>
        <v>-3.2113904546517726E-2</v>
      </c>
      <c r="AZ28" s="11">
        <f t="shared" ref="AZ28:AZ35" si="71">0.94*AS28</f>
        <v>4.8940643169455143E-2</v>
      </c>
      <c r="BA28" s="23">
        <f t="shared" ref="BA28:BA35" si="72">0.94*AT28</f>
        <v>2.1662351355030814E-2</v>
      </c>
      <c r="BB28" s="46">
        <f t="shared" si="32"/>
        <v>1.2034262622655636E-2</v>
      </c>
      <c r="BC28" s="11">
        <f t="shared" si="33"/>
        <v>7.3781149587216904E-3</v>
      </c>
      <c r="BD28" s="159">
        <f t="shared" si="34"/>
        <v>4.0172641158913343E-3</v>
      </c>
      <c r="BF28" s="11">
        <f>AY28</f>
        <v>-3.2113904546517726E-2</v>
      </c>
      <c r="BG28" s="11">
        <f t="shared" ref="BG28:BG35" si="73">AZ28-0.022</f>
        <v>2.6940643169455145E-2</v>
      </c>
      <c r="BH28" s="23">
        <f>BA28</f>
        <v>2.1662351355030814E-2</v>
      </c>
      <c r="BI28" s="46">
        <f t="shared" si="36"/>
        <v>1.2034262622655636E-2</v>
      </c>
      <c r="BJ28" s="11">
        <f t="shared" si="37"/>
        <v>7.3781149587216904E-3</v>
      </c>
      <c r="BK28" s="159">
        <f t="shared" si="38"/>
        <v>4.0172641158913343E-3</v>
      </c>
      <c r="BM28" s="204">
        <f t="shared" ref="BM28:BM35" si="74">C28+0.83*BF28</f>
        <v>-2.0266545407736096</v>
      </c>
      <c r="BN28" s="219">
        <f t="shared" si="39"/>
        <v>1.2034262622655636E-2</v>
      </c>
      <c r="BP28" s="11">
        <f t="shared" si="40"/>
        <v>-3.2113904546517726E-2</v>
      </c>
      <c r="BQ28" s="11">
        <f t="shared" ref="BQ28:BQ35" si="75">BG28+0.015*BF28^2</f>
        <v>2.6956112712433488E-2</v>
      </c>
      <c r="BR28" s="23">
        <f t="shared" si="42"/>
        <v>2.1662351355030814E-2</v>
      </c>
      <c r="BS28" s="46">
        <f t="shared" si="43"/>
        <v>1.2034262622655636E-2</v>
      </c>
      <c r="BT28" s="11">
        <f>BJ28 + 0.015*BF28*(2*BI28/BF28)</f>
        <v>7.7391428374013593E-3</v>
      </c>
      <c r="BU28" s="159">
        <f t="shared" si="45"/>
        <v>4.0172641158913343E-3</v>
      </c>
      <c r="BW28" s="11">
        <f>BP28-BS28</f>
        <v>-4.4148167169173358E-2</v>
      </c>
      <c r="BX28" s="11">
        <f>BR28-ABS(BU28)</f>
        <v>1.7645087239139479E-2</v>
      </c>
      <c r="BZ28" s="23">
        <f t="shared" ref="BZ28:BZ35" si="76">C28+E28+0.415*BP28</f>
        <v>-1.0133272703868048</v>
      </c>
      <c r="CA28" s="174">
        <f>0.415*BS28</f>
        <v>4.9942189884020884E-3</v>
      </c>
      <c r="CB28" s="1">
        <f>(CE28*(18.43+73.73)-CE16*73.73)/18.43</f>
        <v>-0.13634810673418352</v>
      </c>
      <c r="CC28" s="1">
        <f t="shared" ref="CC28:CD35" si="77">(CF28*(18.43+73.73)-CF16*73.73)/18.43</f>
        <v>4.3628523871819973E-2</v>
      </c>
      <c r="CD28" s="1">
        <f t="shared" si="77"/>
        <v>0.27270903523436357</v>
      </c>
      <c r="CE28" s="203">
        <f t="shared" ref="CE28:CF35" si="78">BP28</f>
        <v>-3.2113904546517726E-2</v>
      </c>
      <c r="CF28" s="203">
        <f t="shared" si="78"/>
        <v>2.6956112712433488E-2</v>
      </c>
      <c r="CG28" s="204">
        <f>BR28-0.415*CE28*$CC$15</f>
        <v>2.1195896891492642E-2</v>
      </c>
      <c r="CH28" s="205">
        <f t="shared" ref="CH28:CI35" si="79">BS28</f>
        <v>1.2034262622655636E-2</v>
      </c>
      <c r="CI28" s="203">
        <f t="shared" si="79"/>
        <v>7.7391428374013593E-3</v>
      </c>
      <c r="CJ28" s="206">
        <f>BU28+0.415*BP28*$CC$15*(BS28/BP28 + $CC$18/$CC$15)</f>
        <v>3.7869361580189073E-3</v>
      </c>
      <c r="CL28" s="46">
        <f t="shared" si="50"/>
        <v>-1.1913403423226232</v>
      </c>
      <c r="CM28" s="159">
        <f t="shared" si="51"/>
        <v>0.10440338989101065</v>
      </c>
      <c r="CO28" s="46">
        <f t="shared" ref="CO28:CO35" si="80">CE28^2</f>
        <v>1.0313028652228519E-3</v>
      </c>
      <c r="CP28" s="159">
        <f t="shared" ref="CP28:CP35" si="81">2*CH28*CE28</f>
        <v>-7.7293432230337829E-4</v>
      </c>
      <c r="CR28" s="79">
        <f>-CG92</f>
        <v>0.16</v>
      </c>
      <c r="CT28" s="1">
        <v>0.45128000000000001</v>
      </c>
      <c r="DP28" s="1" t="s">
        <v>252</v>
      </c>
    </row>
    <row r="29" spans="1:120" ht="14.45">
      <c r="A29" s="245"/>
      <c r="B29" s="20" t="s">
        <v>253</v>
      </c>
      <c r="C29" s="21">
        <f>C28+2</f>
        <v>0</v>
      </c>
      <c r="D29" s="21">
        <v>-0.8</v>
      </c>
      <c r="E29" s="21">
        <v>1</v>
      </c>
      <c r="F29" s="11">
        <v>100100</v>
      </c>
      <c r="G29" s="11">
        <v>24.9</v>
      </c>
      <c r="H29" s="23">
        <v>373</v>
      </c>
      <c r="I29" s="46">
        <v>0.5</v>
      </c>
      <c r="J29" s="159">
        <f t="shared" si="53"/>
        <v>1.3404825737265416E-3</v>
      </c>
      <c r="K29" s="154">
        <v>25.1</v>
      </c>
      <c r="L29" s="3">
        <v>0.02</v>
      </c>
      <c r="M29" s="24">
        <v>-6.8775000000000004</v>
      </c>
      <c r="N29" s="11">
        <v>5.0000000000000002E-5</v>
      </c>
      <c r="O29" s="25">
        <v>1.5044999999999999</v>
      </c>
      <c r="P29" s="11">
        <v>5.0000000000000002E-5</v>
      </c>
      <c r="Q29" s="25">
        <v>-0.92969999999999997</v>
      </c>
      <c r="R29" s="23">
        <v>5.0000000000000002E-5</v>
      </c>
      <c r="S29" s="46">
        <v>0.7601</v>
      </c>
      <c r="T29" s="11">
        <v>0.30299999999999999</v>
      </c>
      <c r="U29" s="28">
        <v>8.7099999999999997E-2</v>
      </c>
      <c r="W29" s="11">
        <f t="shared" si="54"/>
        <v>-0.11051981097782623</v>
      </c>
      <c r="X29" s="11">
        <f t="shared" si="55"/>
        <v>0.20139581256231306</v>
      </c>
      <c r="Y29" s="11">
        <f t="shared" si="56"/>
        <v>-9.368613531246639E-2</v>
      </c>
      <c r="AA29" s="46">
        <f t="shared" si="57"/>
        <v>6.8775000000000004</v>
      </c>
      <c r="AB29" s="11">
        <f t="shared" si="58"/>
        <v>1.5044999999999999</v>
      </c>
      <c r="AC29" s="159">
        <f t="shared" si="59"/>
        <v>0.92969999999999997</v>
      </c>
      <c r="AD29" s="242"/>
      <c r="AF29" s="46">
        <f t="shared" si="60"/>
        <v>6.8702234172945618</v>
      </c>
      <c r="AG29" s="11">
        <f t="shared" si="61"/>
        <v>2.5467767623171946</v>
      </c>
      <c r="AH29" s="159">
        <f t="shared" si="62"/>
        <v>1.0091963495741627</v>
      </c>
      <c r="AI29" s="242"/>
      <c r="AK29" s="46">
        <f t="shared" si="63"/>
        <v>6.9051122918996777</v>
      </c>
      <c r="AL29" s="11">
        <f t="shared" si="64"/>
        <v>2.4506052144067216</v>
      </c>
      <c r="AM29" s="159">
        <f t="shared" si="65"/>
        <v>-6.1024787269603309E-2</v>
      </c>
      <c r="AN29" s="46">
        <f t="shared" si="66"/>
        <v>0.75579536785671109</v>
      </c>
      <c r="AO29" s="11">
        <f t="shared" si="67"/>
        <v>0.29235781149903484</v>
      </c>
      <c r="AP29" s="159">
        <f t="shared" si="26"/>
        <v>-3.3641500000000005E-2</v>
      </c>
      <c r="AR29" s="11">
        <f t="shared" si="68"/>
        <v>0.14425482068894432</v>
      </c>
      <c r="AS29" s="11">
        <f t="shared" si="69"/>
        <v>5.1195636050457106E-2</v>
      </c>
      <c r="AT29" s="23">
        <f t="shared" si="70"/>
        <v>-8.0687967695357923E-3</v>
      </c>
      <c r="AU29" s="46">
        <f t="shared" si="27"/>
        <v>1.5982705215725083E-2</v>
      </c>
      <c r="AV29" s="11">
        <f t="shared" si="28"/>
        <v>6.1762789702063479E-3</v>
      </c>
      <c r="AW29" s="159">
        <f t="shared" si="29"/>
        <v>-4.4589500065015985E-3</v>
      </c>
      <c r="AY29" s="11">
        <f t="shared" si="30"/>
        <v>0.13559953144760767</v>
      </c>
      <c r="AZ29" s="11">
        <f t="shared" si="71"/>
        <v>4.8123897887429677E-2</v>
      </c>
      <c r="BA29" s="23">
        <f t="shared" si="72"/>
        <v>-7.5846689633636442E-3</v>
      </c>
      <c r="BB29" s="46">
        <f t="shared" si="32"/>
        <v>1.5023742902781578E-2</v>
      </c>
      <c r="BC29" s="11">
        <f t="shared" si="33"/>
        <v>5.8057022319939668E-3</v>
      </c>
      <c r="BD29" s="159">
        <f t="shared" si="34"/>
        <v>-4.1914130061115025E-3</v>
      </c>
      <c r="BF29" s="11">
        <f t="shared" ref="BF29:BF35" si="82">AY29</f>
        <v>0.13559953144760767</v>
      </c>
      <c r="BG29" s="11">
        <f t="shared" si="73"/>
        <v>2.6123897887429678E-2</v>
      </c>
      <c r="BH29" s="23">
        <f t="shared" ref="BH29:BH35" si="83">BA29</f>
        <v>-7.5846689633636442E-3</v>
      </c>
      <c r="BI29" s="46">
        <f t="shared" si="36"/>
        <v>1.5023742902781578E-2</v>
      </c>
      <c r="BJ29" s="11">
        <f t="shared" si="37"/>
        <v>5.8057022319939668E-3</v>
      </c>
      <c r="BK29" s="159">
        <f t="shared" si="38"/>
        <v>-4.1914130061115025E-3</v>
      </c>
      <c r="BM29" s="204">
        <f t="shared" si="74"/>
        <v>0.11254761110151436</v>
      </c>
      <c r="BN29" s="219">
        <f t="shared" si="39"/>
        <v>1.5023742902781578E-2</v>
      </c>
      <c r="BP29" s="11">
        <f t="shared" si="40"/>
        <v>0.13559953144760767</v>
      </c>
      <c r="BQ29" s="11">
        <f t="shared" si="75"/>
        <v>2.639970638136184E-2</v>
      </c>
      <c r="BR29" s="23">
        <f t="shared" si="42"/>
        <v>-7.5846689633636442E-3</v>
      </c>
      <c r="BS29" s="46">
        <f t="shared" si="43"/>
        <v>1.5023742902781578E-2</v>
      </c>
      <c r="BT29" s="11">
        <f t="shared" ref="BT29:BT35" si="84">BJ29 + 0.015*BF29*(2*BI29/BF29)</f>
        <v>6.2564145190774139E-3</v>
      </c>
      <c r="BU29" s="159">
        <f t="shared" si="45"/>
        <v>-4.1914130061115025E-3</v>
      </c>
      <c r="BW29" s="11">
        <f t="shared" ref="BW29:BW35" si="85">BP29-BS29</f>
        <v>0.12057578854482609</v>
      </c>
      <c r="BX29" s="11">
        <f t="shared" ref="BX29:BX35" si="86">BR29-ABS(BU29)</f>
        <v>-1.1776081969475147E-2</v>
      </c>
      <c r="BZ29" s="23">
        <f t="shared" si="76"/>
        <v>1.0562738055507572</v>
      </c>
      <c r="CA29" s="174">
        <f t="shared" ref="CA29:CA35" si="87">0.415*BS29</f>
        <v>6.234853304654355E-3</v>
      </c>
      <c r="CB29" s="1">
        <f t="shared" ref="CB29:CB35" si="88">(CE29*(18.43+73.73)-CE17*73.73)/18.43</f>
        <v>0.1458170016736613</v>
      </c>
      <c r="CC29" s="1">
        <f t="shared" si="77"/>
        <v>4.6002558974628335E-2</v>
      </c>
      <c r="CD29" s="1">
        <f t="shared" si="77"/>
        <v>5.9472621960491294E-2</v>
      </c>
      <c r="CE29" s="203">
        <f t="shared" si="78"/>
        <v>0.13559953144760767</v>
      </c>
      <c r="CF29" s="203">
        <f t="shared" si="78"/>
        <v>2.639970638136184E-2</v>
      </c>
      <c r="CG29" s="204">
        <f t="shared" ref="CG29:CG35" si="89">BR29-0.415*CE29*$CC$15</f>
        <v>-5.6150857690871426E-3</v>
      </c>
      <c r="CH29" s="205">
        <f t="shared" si="79"/>
        <v>1.5023742902781578E-2</v>
      </c>
      <c r="CI29" s="203">
        <f t="shared" si="79"/>
        <v>6.2564145190774139E-3</v>
      </c>
      <c r="CJ29" s="206">
        <f t="shared" ref="CJ29:CJ35" si="90">BU29+0.415*BP29*$CC$15*(BS29/BP29 + $CC$18/$CC$15)</f>
        <v>-4.175158681979583E-3</v>
      </c>
      <c r="CL29" s="46">
        <f t="shared" si="50"/>
        <v>5.1364030148206785</v>
      </c>
      <c r="CM29" s="159">
        <f t="shared" si="51"/>
        <v>1.7863535533044039</v>
      </c>
      <c r="CO29" s="46">
        <f t="shared" si="80"/>
        <v>1.838723292881074E-2</v>
      </c>
      <c r="CP29" s="159">
        <f t="shared" si="81"/>
        <v>4.074424996413006E-3</v>
      </c>
    </row>
    <row r="30" spans="1:120" ht="14.45">
      <c r="A30" s="245"/>
      <c r="B30" s="20" t="s">
        <v>254</v>
      </c>
      <c r="C30" s="21">
        <f t="shared" ref="C30:C34" si="91">C29+2</f>
        <v>2</v>
      </c>
      <c r="D30" s="21">
        <v>1.2</v>
      </c>
      <c r="E30" s="21">
        <v>1</v>
      </c>
      <c r="F30" s="11">
        <v>100100</v>
      </c>
      <c r="G30" s="11">
        <v>25</v>
      </c>
      <c r="H30" s="23">
        <v>373.1</v>
      </c>
      <c r="I30" s="46">
        <v>1</v>
      </c>
      <c r="J30" s="159">
        <f t="shared" si="53"/>
        <v>2.6802465826856071E-3</v>
      </c>
      <c r="K30" s="154">
        <v>25.11</v>
      </c>
      <c r="L30" s="3">
        <v>0.02</v>
      </c>
      <c r="M30" s="24">
        <v>-15.161099999999999</v>
      </c>
      <c r="N30" s="11">
        <v>5.0000000000000002E-5</v>
      </c>
      <c r="O30" s="25">
        <v>3.8144</v>
      </c>
      <c r="P30" s="11">
        <v>5.0000000000000002E-5</v>
      </c>
      <c r="Q30" s="25">
        <v>-1.8524</v>
      </c>
      <c r="R30" s="23">
        <v>5.0000000000000002E-5</v>
      </c>
      <c r="S30" s="46">
        <v>0.77639999999999998</v>
      </c>
      <c r="T30" s="11">
        <v>0.371</v>
      </c>
      <c r="U30" s="28">
        <v>0.13339999999999999</v>
      </c>
      <c r="W30" s="11">
        <f t="shared" si="54"/>
        <v>-5.1210004551120965E-2</v>
      </c>
      <c r="X30" s="11">
        <f t="shared" si="55"/>
        <v>9.7263003355704702E-2</v>
      </c>
      <c r="Y30" s="11">
        <f t="shared" si="56"/>
        <v>-7.2014683653638514E-2</v>
      </c>
      <c r="AA30" s="46">
        <f t="shared" si="57"/>
        <v>15.161099999999999</v>
      </c>
      <c r="AB30" s="11">
        <f t="shared" si="58"/>
        <v>3.8144</v>
      </c>
      <c r="AC30" s="159">
        <f t="shared" si="59"/>
        <v>1.8524</v>
      </c>
      <c r="AD30" s="242"/>
      <c r="AF30" s="46">
        <f t="shared" si="60"/>
        <v>15.144728021397215</v>
      </c>
      <c r="AG30" s="11">
        <f t="shared" si="61"/>
        <v>2.251048355707403</v>
      </c>
      <c r="AH30" s="159">
        <f t="shared" si="62"/>
        <v>1.7330502023152439</v>
      </c>
      <c r="AI30" s="242"/>
      <c r="AK30" s="46">
        <f t="shared" si="63"/>
        <v>15.094264132430187</v>
      </c>
      <c r="AL30" s="11">
        <f t="shared" si="64"/>
        <v>2.5677219168474168</v>
      </c>
      <c r="AM30" s="159">
        <f t="shared" si="65"/>
        <v>-0.25620883927325022</v>
      </c>
      <c r="AN30" s="46">
        <f t="shared" si="66"/>
        <v>0.78399936042659546</v>
      </c>
      <c r="AO30" s="11">
        <f t="shared" si="67"/>
        <v>0.38717832836660598</v>
      </c>
      <c r="AP30" s="159">
        <f t="shared" si="26"/>
        <v>3.3039999999999875E-3</v>
      </c>
      <c r="AR30" s="11">
        <f t="shared" si="68"/>
        <v>0.31525001643484379</v>
      </c>
      <c r="AS30" s="11">
        <f t="shared" si="69"/>
        <v>5.3627945647717425E-2</v>
      </c>
      <c r="AT30" s="23">
        <f t="shared" si="70"/>
        <v>-3.3867270342740806E-2</v>
      </c>
      <c r="AU30" s="46">
        <f t="shared" si="27"/>
        <v>1.7219102166030578E-2</v>
      </c>
      <c r="AV30" s="11">
        <f t="shared" si="28"/>
        <v>8.2301173626101124E-3</v>
      </c>
      <c r="AW30" s="159">
        <f t="shared" si="29"/>
        <v>3.4597053660887736E-4</v>
      </c>
      <c r="AY30" s="11">
        <f t="shared" si="30"/>
        <v>0.29633501544875313</v>
      </c>
      <c r="AZ30" s="11">
        <f t="shared" si="71"/>
        <v>5.0410268908854375E-2</v>
      </c>
      <c r="BA30" s="23">
        <f t="shared" si="72"/>
        <v>-3.1835234122176356E-2</v>
      </c>
      <c r="BB30" s="46">
        <f t="shared" si="32"/>
        <v>1.6185956036068743E-2</v>
      </c>
      <c r="BC30" s="11">
        <f t="shared" si="33"/>
        <v>7.7363103208535049E-3</v>
      </c>
      <c r="BD30" s="159">
        <f t="shared" si="34"/>
        <v>3.2521230441234469E-4</v>
      </c>
      <c r="BF30" s="11">
        <f t="shared" si="82"/>
        <v>0.29633501544875313</v>
      </c>
      <c r="BG30" s="11">
        <f t="shared" si="73"/>
        <v>2.8410268908854376E-2</v>
      </c>
      <c r="BH30" s="23">
        <f t="shared" si="83"/>
        <v>-3.1835234122176356E-2</v>
      </c>
      <c r="BI30" s="46">
        <f t="shared" si="36"/>
        <v>1.6185956036068743E-2</v>
      </c>
      <c r="BJ30" s="11">
        <f t="shared" si="37"/>
        <v>7.7363103208535049E-3</v>
      </c>
      <c r="BK30" s="159">
        <f t="shared" si="38"/>
        <v>3.2521230441234469E-4</v>
      </c>
      <c r="BM30" s="204">
        <f t="shared" si="74"/>
        <v>2.2459580628224649</v>
      </c>
      <c r="BN30" s="219">
        <f t="shared" si="39"/>
        <v>1.6185956036068743E-2</v>
      </c>
      <c r="BP30" s="11">
        <f t="shared" si="40"/>
        <v>0.29633501544875313</v>
      </c>
      <c r="BQ30" s="11">
        <f t="shared" si="75"/>
        <v>2.9727485529569567E-2</v>
      </c>
      <c r="BR30" s="23">
        <f t="shared" si="42"/>
        <v>-3.1835234122176356E-2</v>
      </c>
      <c r="BS30" s="46">
        <f t="shared" si="43"/>
        <v>1.6185956036068743E-2</v>
      </c>
      <c r="BT30" s="11">
        <f t="shared" si="84"/>
        <v>8.2218890019355676E-3</v>
      </c>
      <c r="BU30" s="159">
        <f t="shared" si="45"/>
        <v>3.2521230441234469E-4</v>
      </c>
      <c r="BW30" s="11">
        <f t="shared" si="85"/>
        <v>0.28014905941268436</v>
      </c>
      <c r="BX30" s="11">
        <f t="shared" si="86"/>
        <v>-3.2160446426588704E-2</v>
      </c>
      <c r="BZ30" s="23">
        <f t="shared" si="76"/>
        <v>3.1229790314112327</v>
      </c>
      <c r="CA30" s="174">
        <f t="shared" si="87"/>
        <v>6.7171717549685279E-3</v>
      </c>
      <c r="CB30" s="1">
        <f t="shared" si="88"/>
        <v>0.3792664374595906</v>
      </c>
      <c r="CC30" s="1">
        <f t="shared" si="77"/>
        <v>5.137702226023444E-2</v>
      </c>
      <c r="CD30" s="1">
        <f t="shared" si="77"/>
        <v>-0.15921656315231938</v>
      </c>
      <c r="CE30" s="203">
        <f t="shared" si="78"/>
        <v>0.29633501544875313</v>
      </c>
      <c r="CF30" s="203">
        <f t="shared" si="78"/>
        <v>2.9727485529569567E-2</v>
      </c>
      <c r="CG30" s="204">
        <f t="shared" si="89"/>
        <v>-2.7530968022783216E-2</v>
      </c>
      <c r="CH30" s="205">
        <f t="shared" si="79"/>
        <v>1.6185956036068743E-2</v>
      </c>
      <c r="CI30" s="203">
        <f t="shared" si="79"/>
        <v>8.2218890019355676E-3</v>
      </c>
      <c r="CJ30" s="206">
        <f t="shared" si="90"/>
        <v>6.0252392386858243E-4</v>
      </c>
      <c r="CL30" s="46">
        <f t="shared" si="50"/>
        <v>9.9683848186215513</v>
      </c>
      <c r="CM30" s="159">
        <f t="shared" si="51"/>
        <v>3.301487084931257</v>
      </c>
      <c r="CO30" s="46">
        <f t="shared" si="80"/>
        <v>8.7814441381012756E-2</v>
      </c>
      <c r="CP30" s="159">
        <f t="shared" si="81"/>
        <v>9.5929310640025401E-3</v>
      </c>
    </row>
    <row r="31" spans="1:120" ht="14.45">
      <c r="A31" s="245"/>
      <c r="B31" s="20" t="s">
        <v>255</v>
      </c>
      <c r="C31" s="21">
        <f t="shared" si="91"/>
        <v>4</v>
      </c>
      <c r="D31" s="21">
        <v>3.2</v>
      </c>
      <c r="E31" s="21">
        <v>1</v>
      </c>
      <c r="F31" s="11">
        <v>100100</v>
      </c>
      <c r="G31" s="11">
        <v>25.1</v>
      </c>
      <c r="H31" s="23">
        <v>372.8</v>
      </c>
      <c r="I31" s="46">
        <v>0.2</v>
      </c>
      <c r="J31" s="159">
        <f t="shared" si="53"/>
        <v>5.3648068669527897E-4</v>
      </c>
      <c r="K31" s="154">
        <v>25.09</v>
      </c>
      <c r="L31" s="3">
        <v>0.01</v>
      </c>
      <c r="M31" s="24">
        <v>-23.630600000000001</v>
      </c>
      <c r="N31" s="11">
        <v>5.0000000000000002E-5</v>
      </c>
      <c r="O31" s="25">
        <v>5.7526999999999999</v>
      </c>
      <c r="P31" s="11">
        <v>5.0000000000000002E-5</v>
      </c>
      <c r="Q31" s="25">
        <v>-2.7183999999999999</v>
      </c>
      <c r="R31" s="23">
        <v>5.0000000000000002E-5</v>
      </c>
      <c r="S31" s="46">
        <v>0.71460000000000001</v>
      </c>
      <c r="T31" s="11">
        <v>0.3548</v>
      </c>
      <c r="U31" s="28">
        <v>0.1099</v>
      </c>
      <c r="W31" s="11">
        <f t="shared" si="54"/>
        <v>-3.0240450940729392E-2</v>
      </c>
      <c r="X31" s="11">
        <f t="shared" si="55"/>
        <v>6.1675387209484241E-2</v>
      </c>
      <c r="Y31" s="11">
        <f t="shared" si="56"/>
        <v>-4.0428193054738083E-2</v>
      </c>
      <c r="AA31" s="46">
        <f t="shared" si="57"/>
        <v>23.630600000000001</v>
      </c>
      <c r="AB31" s="11">
        <f t="shared" si="58"/>
        <v>5.7526999999999999</v>
      </c>
      <c r="AC31" s="159">
        <f t="shared" si="59"/>
        <v>2.7183999999999999</v>
      </c>
      <c r="AD31" s="242"/>
      <c r="AF31" s="46">
        <f t="shared" si="60"/>
        <v>23.514203046184885</v>
      </c>
      <c r="AG31" s="11">
        <f t="shared" si="61"/>
        <v>1.5856246522603215</v>
      </c>
      <c r="AH31" s="159">
        <f t="shared" si="62"/>
        <v>2.3999830750606557</v>
      </c>
      <c r="AI31" s="242"/>
      <c r="AK31" s="46">
        <f t="shared" si="63"/>
        <v>23.389026904119671</v>
      </c>
      <c r="AL31" s="11">
        <f t="shared" si="64"/>
        <v>2.8957504922614605</v>
      </c>
      <c r="AM31" s="159">
        <f t="shared" si="65"/>
        <v>-0.47856898699924155</v>
      </c>
      <c r="AN31" s="46">
        <f t="shared" si="66"/>
        <v>0.7332912400560182</v>
      </c>
      <c r="AO31" s="11">
        <f t="shared" si="67"/>
        <v>0.39413683059988175</v>
      </c>
      <c r="AP31" s="159">
        <f t="shared" si="26"/>
        <v>-1.1307000000000005E-2</v>
      </c>
      <c r="AR31" s="11">
        <f t="shared" si="68"/>
        <v>0.48888270233445053</v>
      </c>
      <c r="AS31" s="11">
        <f t="shared" si="69"/>
        <v>6.0527628265447178E-2</v>
      </c>
      <c r="AT31" s="23">
        <f t="shared" si="70"/>
        <v>-6.3311117930999319E-2</v>
      </c>
      <c r="AU31" s="46">
        <f t="shared" si="27"/>
        <v>1.5589694600907518E-2</v>
      </c>
      <c r="AV31" s="11">
        <f t="shared" si="28"/>
        <v>8.2708086083520243E-3</v>
      </c>
      <c r="AW31" s="159">
        <f t="shared" si="29"/>
        <v>-1.5297972034838195E-3</v>
      </c>
      <c r="AY31" s="11">
        <f t="shared" si="30"/>
        <v>0.45954974019438349</v>
      </c>
      <c r="AZ31" s="11">
        <f t="shared" si="71"/>
        <v>5.6895970569520345E-2</v>
      </c>
      <c r="BA31" s="23">
        <f t="shared" si="72"/>
        <v>-5.9512450855139357E-2</v>
      </c>
      <c r="BB31" s="46">
        <f t="shared" si="32"/>
        <v>1.4654312924853067E-2</v>
      </c>
      <c r="BC31" s="11">
        <f t="shared" si="33"/>
        <v>7.7745600918509026E-3</v>
      </c>
      <c r="BD31" s="159">
        <f t="shared" si="34"/>
        <v>-1.4380093712747903E-3</v>
      </c>
      <c r="BF31" s="11">
        <f t="shared" si="82"/>
        <v>0.45954974019438349</v>
      </c>
      <c r="BG31" s="11">
        <f t="shared" si="73"/>
        <v>3.4895970569520346E-2</v>
      </c>
      <c r="BH31" s="23">
        <f t="shared" si="83"/>
        <v>-5.9512450855139357E-2</v>
      </c>
      <c r="BI31" s="46">
        <f t="shared" si="36"/>
        <v>1.4654312924853067E-2</v>
      </c>
      <c r="BJ31" s="11">
        <f t="shared" si="37"/>
        <v>7.7745600918509026E-3</v>
      </c>
      <c r="BK31" s="159">
        <f t="shared" si="38"/>
        <v>-1.4380093712747903E-3</v>
      </c>
      <c r="BM31" s="204">
        <f t="shared" si="74"/>
        <v>4.3814262843613383</v>
      </c>
      <c r="BN31" s="219">
        <f t="shared" si="39"/>
        <v>1.4654312924853067E-2</v>
      </c>
      <c r="BP31" s="11">
        <f t="shared" si="40"/>
        <v>0.45954974019438349</v>
      </c>
      <c r="BQ31" s="11">
        <f t="shared" si="75"/>
        <v>3.8063760025211224E-2</v>
      </c>
      <c r="BR31" s="23">
        <f t="shared" si="42"/>
        <v>-5.9512450855139357E-2</v>
      </c>
      <c r="BS31" s="46">
        <f t="shared" si="43"/>
        <v>1.4654312924853067E-2</v>
      </c>
      <c r="BT31" s="11">
        <f t="shared" si="84"/>
        <v>8.2141894795964947E-3</v>
      </c>
      <c r="BU31" s="159">
        <f t="shared" si="45"/>
        <v>-1.4380093712747903E-3</v>
      </c>
      <c r="BW31" s="11">
        <f t="shared" si="85"/>
        <v>0.44489542726953041</v>
      </c>
      <c r="BX31" s="11">
        <f t="shared" si="86"/>
        <v>-6.0950460226414149E-2</v>
      </c>
      <c r="BZ31" s="23">
        <f t="shared" si="76"/>
        <v>5.1907131421806696</v>
      </c>
      <c r="CA31" s="174">
        <f t="shared" si="87"/>
        <v>6.0815398638140224E-3</v>
      </c>
      <c r="CB31" s="1">
        <f t="shared" si="88"/>
        <v>0.62835458718783332</v>
      </c>
      <c r="CC31" s="1">
        <f t="shared" si="77"/>
        <v>6.2204281546837277E-2</v>
      </c>
      <c r="CD31" s="1">
        <f t="shared" si="77"/>
        <v>-0.39320850836309795</v>
      </c>
      <c r="CE31" s="203">
        <f t="shared" si="78"/>
        <v>0.45954974019438349</v>
      </c>
      <c r="CF31" s="203">
        <f t="shared" si="78"/>
        <v>3.8063760025211224E-2</v>
      </c>
      <c r="CG31" s="204">
        <f t="shared" si="89"/>
        <v>-5.2837490878815938E-2</v>
      </c>
      <c r="CH31" s="205">
        <f t="shared" si="79"/>
        <v>1.4654312924853067E-2</v>
      </c>
      <c r="CI31" s="203">
        <f t="shared" si="79"/>
        <v>8.2141894795964947E-3</v>
      </c>
      <c r="CJ31" s="206">
        <f t="shared" si="90"/>
        <v>-8.5622517408882512E-4</v>
      </c>
      <c r="CL31" s="46">
        <f t="shared" si="50"/>
        <v>12.073156721511602</v>
      </c>
      <c r="CM31" s="159">
        <f t="shared" si="51"/>
        <v>2.9903905913872397</v>
      </c>
      <c r="CO31" s="46">
        <f t="shared" si="80"/>
        <v>0.21118596371272536</v>
      </c>
      <c r="CP31" s="159">
        <f t="shared" si="81"/>
        <v>1.3468771394686845E-2</v>
      </c>
    </row>
    <row r="32" spans="1:120" ht="14.45">
      <c r="A32" s="245"/>
      <c r="B32" s="20" t="s">
        <v>256</v>
      </c>
      <c r="C32" s="21">
        <f t="shared" si="91"/>
        <v>6</v>
      </c>
      <c r="D32" s="21">
        <v>5.2</v>
      </c>
      <c r="E32" s="21">
        <v>1</v>
      </c>
      <c r="F32" s="11">
        <v>100100</v>
      </c>
      <c r="G32" s="11">
        <v>25.1</v>
      </c>
      <c r="H32" s="23">
        <v>371.6</v>
      </c>
      <c r="I32" s="46">
        <v>0.3</v>
      </c>
      <c r="J32" s="159">
        <f t="shared" si="53"/>
        <v>8.0731969860064578E-4</v>
      </c>
      <c r="K32" s="154">
        <v>25.06</v>
      </c>
      <c r="L32" s="3">
        <v>0.01</v>
      </c>
      <c r="M32" s="24">
        <v>-31.9925</v>
      </c>
      <c r="N32" s="11">
        <v>5.0000000000000002E-5</v>
      </c>
      <c r="O32" s="25">
        <v>7.2610000000000001</v>
      </c>
      <c r="P32" s="11">
        <v>5.0000000000000002E-5</v>
      </c>
      <c r="Q32" s="25">
        <v>-3.5531999999999999</v>
      </c>
      <c r="R32" s="23">
        <v>5.0000000000000002E-5</v>
      </c>
      <c r="S32" s="46">
        <v>0.65490000000000004</v>
      </c>
      <c r="T32" s="11">
        <v>0.27410000000000001</v>
      </c>
      <c r="U32" s="28">
        <v>7.7700000000000005E-2</v>
      </c>
      <c r="W32" s="11">
        <f t="shared" si="54"/>
        <v>-2.0470422755333284E-2</v>
      </c>
      <c r="X32" s="11">
        <f t="shared" si="55"/>
        <v>3.7749621264288664E-2</v>
      </c>
      <c r="Y32" s="11">
        <f t="shared" si="56"/>
        <v>-2.1867612293144208E-2</v>
      </c>
      <c r="AA32" s="46">
        <f t="shared" si="57"/>
        <v>31.9925</v>
      </c>
      <c r="AB32" s="11">
        <f t="shared" si="58"/>
        <v>7.2610000000000001</v>
      </c>
      <c r="AC32" s="159">
        <f t="shared" si="59"/>
        <v>3.5531999999999999</v>
      </c>
      <c r="AD32" s="242"/>
      <c r="AF32" s="46">
        <f t="shared" si="60"/>
        <v>31.685270356682185</v>
      </c>
      <c r="AG32" s="11">
        <f t="shared" si="61"/>
        <v>0.49527788823571051</v>
      </c>
      <c r="AH32" s="159">
        <f t="shared" si="62"/>
        <v>3.0357404569242474</v>
      </c>
      <c r="AI32" s="242"/>
      <c r="AK32" s="46">
        <f t="shared" si="63"/>
        <v>31.509978101223158</v>
      </c>
      <c r="AL32" s="11">
        <f t="shared" si="64"/>
        <v>3.3649573285637531</v>
      </c>
      <c r="AM32" s="159">
        <f t="shared" si="65"/>
        <v>-0.66254620180013224</v>
      </c>
      <c r="AN32" s="46">
        <f t="shared" si="66"/>
        <v>0.67704708288581061</v>
      </c>
      <c r="AO32" s="11">
        <f t="shared" si="67"/>
        <v>0.33232719043216374</v>
      </c>
      <c r="AP32" s="159">
        <f t="shared" si="26"/>
        <v>-2.7764500000000001E-2</v>
      </c>
      <c r="AR32" s="11">
        <f t="shared" si="68"/>
        <v>0.66075554681753768</v>
      </c>
      <c r="AS32" s="11">
        <f t="shared" si="69"/>
        <v>7.0562226749580473E-2</v>
      </c>
      <c r="AT32" s="23">
        <f t="shared" si="70"/>
        <v>-8.7932981314157277E-2</v>
      </c>
      <c r="AU32" s="46">
        <f t="shared" si="27"/>
        <v>1.4730931491949211E-2</v>
      </c>
      <c r="AV32" s="11">
        <f t="shared" si="28"/>
        <v>7.0257757661031581E-3</v>
      </c>
      <c r="AW32" s="159">
        <f t="shared" si="29"/>
        <v>-3.7558881574358046E-3</v>
      </c>
      <c r="AY32" s="11">
        <f t="shared" si="30"/>
        <v>0.62111021400848543</v>
      </c>
      <c r="AZ32" s="11">
        <f t="shared" si="71"/>
        <v>6.6328493144605635E-2</v>
      </c>
      <c r="BA32" s="23">
        <f t="shared" si="72"/>
        <v>-8.2657002435307839E-2</v>
      </c>
      <c r="BB32" s="46">
        <f t="shared" si="32"/>
        <v>1.3847075602432257E-2</v>
      </c>
      <c r="BC32" s="11">
        <f t="shared" si="33"/>
        <v>6.6042292201369682E-3</v>
      </c>
      <c r="BD32" s="159">
        <f t="shared" si="34"/>
        <v>-3.5305348679896559E-3</v>
      </c>
      <c r="BF32" s="11">
        <f t="shared" si="82"/>
        <v>0.62111021400848543</v>
      </c>
      <c r="BG32" s="11">
        <f t="shared" si="73"/>
        <v>4.4328493144605637E-2</v>
      </c>
      <c r="BH32" s="23">
        <f t="shared" si="83"/>
        <v>-8.2657002435307839E-2</v>
      </c>
      <c r="BI32" s="46">
        <f t="shared" si="36"/>
        <v>1.3847075602432257E-2</v>
      </c>
      <c r="BJ32" s="11">
        <f t="shared" si="37"/>
        <v>6.6042292201369682E-3</v>
      </c>
      <c r="BK32" s="159">
        <f t="shared" si="38"/>
        <v>-3.5305348679896559E-3</v>
      </c>
      <c r="BM32" s="204">
        <f t="shared" si="74"/>
        <v>6.5155214776270434</v>
      </c>
      <c r="BN32" s="219">
        <f t="shared" si="39"/>
        <v>1.3847075602432257E-2</v>
      </c>
      <c r="BP32" s="11">
        <f t="shared" si="40"/>
        <v>0.62111021400848543</v>
      </c>
      <c r="BQ32" s="11">
        <f t="shared" si="75"/>
        <v>5.0115161613790635E-2</v>
      </c>
      <c r="BR32" s="23">
        <f t="shared" si="42"/>
        <v>-8.2657002435307839E-2</v>
      </c>
      <c r="BS32" s="46">
        <f t="shared" si="43"/>
        <v>1.3847075602432257E-2</v>
      </c>
      <c r="BT32" s="11">
        <f t="shared" si="84"/>
        <v>7.0196414882099361E-3</v>
      </c>
      <c r="BU32" s="159">
        <f t="shared" si="45"/>
        <v>-3.5305348679896559E-3</v>
      </c>
      <c r="BW32" s="11">
        <f t="shared" si="85"/>
        <v>0.60726313840605317</v>
      </c>
      <c r="BX32" s="11">
        <f t="shared" si="86"/>
        <v>-8.6187537303297493E-2</v>
      </c>
      <c r="BZ32" s="23">
        <f t="shared" si="76"/>
        <v>7.2577607388135217</v>
      </c>
      <c r="CA32" s="174">
        <f t="shared" si="87"/>
        <v>5.7465363750093864E-3</v>
      </c>
      <c r="CB32" s="1">
        <f t="shared" si="88"/>
        <v>0.89882681170149747</v>
      </c>
      <c r="CC32" s="1">
        <f t="shared" si="77"/>
        <v>8.5252460594423915E-2</v>
      </c>
      <c r="CD32" s="1">
        <f t="shared" si="77"/>
        <v>-0.62620071025859725</v>
      </c>
      <c r="CE32" s="203">
        <f t="shared" si="78"/>
        <v>0.62111021400848543</v>
      </c>
      <c r="CF32" s="203">
        <f t="shared" si="78"/>
        <v>5.0115161613790635E-2</v>
      </c>
      <c r="CG32" s="204">
        <f t="shared" si="89"/>
        <v>-7.3635376576834582E-2</v>
      </c>
      <c r="CH32" s="205">
        <f t="shared" si="79"/>
        <v>1.3847075602432257E-2</v>
      </c>
      <c r="CI32" s="203">
        <f t="shared" si="79"/>
        <v>7.0196414882099361E-3</v>
      </c>
      <c r="CJ32" s="206">
        <f>BU32+0.415*BP32*$CC$15*(BS32/BP32 + $CC$18/$CC$15)</f>
        <v>-2.65766056272531E-3</v>
      </c>
      <c r="CL32" s="46">
        <f t="shared" si="50"/>
        <v>12.393658805194175</v>
      </c>
      <c r="CM32" s="159">
        <f t="shared" si="51"/>
        <v>2.0122875771459339</v>
      </c>
      <c r="CO32" s="46">
        <f t="shared" si="80"/>
        <v>0.38577789794566658</v>
      </c>
      <c r="CP32" s="159">
        <f t="shared" si="81"/>
        <v>1.7201120181636755E-2</v>
      </c>
    </row>
    <row r="33" spans="1:128" ht="14.45">
      <c r="A33" s="245"/>
      <c r="B33" s="20" t="s">
        <v>257</v>
      </c>
      <c r="C33" s="21">
        <f t="shared" si="91"/>
        <v>8</v>
      </c>
      <c r="D33" s="21">
        <v>7.2</v>
      </c>
      <c r="E33" s="21">
        <v>1</v>
      </c>
      <c r="F33" s="11">
        <v>100100</v>
      </c>
      <c r="G33" s="11">
        <v>25.2</v>
      </c>
      <c r="H33" s="23">
        <v>371.1</v>
      </c>
      <c r="I33" s="46">
        <v>0.2</v>
      </c>
      <c r="J33" s="159">
        <f t="shared" si="53"/>
        <v>5.3893829156561571E-4</v>
      </c>
      <c r="K33" s="154">
        <v>25.04</v>
      </c>
      <c r="L33" s="3">
        <v>0.01</v>
      </c>
      <c r="M33" s="24">
        <v>-38.756599999999999</v>
      </c>
      <c r="N33" s="11">
        <v>5.0000000000000002E-5</v>
      </c>
      <c r="O33" s="25">
        <v>8.5523000000000007</v>
      </c>
      <c r="P33" s="11">
        <v>5.0000000000000002E-5</v>
      </c>
      <c r="Q33" s="25">
        <v>-4.1814999999999998</v>
      </c>
      <c r="R33" s="23">
        <v>5.0000000000000002E-5</v>
      </c>
      <c r="S33" s="46">
        <v>0.63370000000000004</v>
      </c>
      <c r="T33" s="11">
        <v>0.25940000000000002</v>
      </c>
      <c r="U33" s="28">
        <v>7.6399999999999996E-2</v>
      </c>
      <c r="W33" s="11">
        <f t="shared" si="54"/>
        <v>-1.6350763482864857E-2</v>
      </c>
      <c r="X33" s="11">
        <f t="shared" si="55"/>
        <v>3.0331022064240029E-2</v>
      </c>
      <c r="Y33" s="11">
        <f t="shared" si="56"/>
        <v>-1.8270955398780341E-2</v>
      </c>
      <c r="AA33" s="46">
        <f t="shared" si="57"/>
        <v>38.756599999999999</v>
      </c>
      <c r="AB33" s="11">
        <f t="shared" si="58"/>
        <v>8.5523000000000007</v>
      </c>
      <c r="AC33" s="159">
        <f t="shared" si="59"/>
        <v>4.1814999999999998</v>
      </c>
      <c r="AD33" s="242"/>
      <c r="AF33" s="46">
        <f t="shared" si="60"/>
        <v>38.167962453125774</v>
      </c>
      <c r="AG33" s="11">
        <f t="shared" si="61"/>
        <v>-0.80382588557531243</v>
      </c>
      <c r="AH33" s="159">
        <f t="shared" si="62"/>
        <v>3.4652704917160166</v>
      </c>
      <c r="AI33" s="242"/>
      <c r="AK33" s="46">
        <f t="shared" si="63"/>
        <v>37.96774276642693</v>
      </c>
      <c r="AL33" s="11">
        <f t="shared" si="64"/>
        <v>3.9862266744348114</v>
      </c>
      <c r="AM33" s="159">
        <f t="shared" si="65"/>
        <v>-0.83562434298016286</v>
      </c>
      <c r="AN33" s="46">
        <f t="shared" si="66"/>
        <v>0.66121452700956518</v>
      </c>
      <c r="AO33" s="11">
        <f t="shared" si="67"/>
        <v>0.33677822363067522</v>
      </c>
      <c r="AP33" s="159">
        <f t="shared" si="26"/>
        <v>-2.5009500000000018E-2</v>
      </c>
      <c r="AR33" s="11">
        <f t="shared" si="68"/>
        <v>0.797245810487758</v>
      </c>
      <c r="AS33" s="11">
        <f t="shared" si="69"/>
        <v>8.3702698245676527E-2</v>
      </c>
      <c r="AT33" s="23">
        <f t="shared" si="70"/>
        <v>-0.11105329873243357</v>
      </c>
      <c r="AU33" s="46">
        <f t="shared" si="27"/>
        <v>1.4313834093368906E-2</v>
      </c>
      <c r="AV33" s="11">
        <f t="shared" si="28"/>
        <v>7.1167721705720976E-3</v>
      </c>
      <c r="AW33" s="159">
        <f t="shared" si="29"/>
        <v>-3.3835782149911732E-3</v>
      </c>
      <c r="AY33" s="11">
        <f t="shared" si="30"/>
        <v>0.74941106185849249</v>
      </c>
      <c r="AZ33" s="11">
        <f t="shared" si="71"/>
        <v>7.8680536350935928E-2</v>
      </c>
      <c r="BA33" s="23">
        <f t="shared" si="72"/>
        <v>-0.10439010080848754</v>
      </c>
      <c r="BB33" s="46">
        <f t="shared" si="32"/>
        <v>1.3455004047766771E-2</v>
      </c>
      <c r="BC33" s="11">
        <f t="shared" si="33"/>
        <v>6.689765840337771E-3</v>
      </c>
      <c r="BD33" s="159">
        <f t="shared" si="34"/>
        <v>-3.1805635220917027E-3</v>
      </c>
      <c r="BF33" s="11">
        <f t="shared" si="82"/>
        <v>0.74941106185849249</v>
      </c>
      <c r="BG33" s="11">
        <f t="shared" si="73"/>
        <v>5.668053635093593E-2</v>
      </c>
      <c r="BH33" s="23">
        <f t="shared" si="83"/>
        <v>-0.10439010080848754</v>
      </c>
      <c r="BI33" s="46">
        <f t="shared" si="36"/>
        <v>1.3455004047766771E-2</v>
      </c>
      <c r="BJ33" s="11">
        <f t="shared" si="37"/>
        <v>6.689765840337771E-3</v>
      </c>
      <c r="BK33" s="159">
        <f t="shared" si="38"/>
        <v>-3.1805635220917027E-3</v>
      </c>
      <c r="BM33" s="204">
        <f t="shared" si="74"/>
        <v>8.6220111813425486</v>
      </c>
      <c r="BN33" s="219">
        <f t="shared" si="39"/>
        <v>1.3455004047766771E-2</v>
      </c>
      <c r="BP33" s="11">
        <f t="shared" si="40"/>
        <v>0.74941106185849249</v>
      </c>
      <c r="BQ33" s="11">
        <f t="shared" si="75"/>
        <v>6.5104790445474028E-2</v>
      </c>
      <c r="BR33" s="23">
        <f t="shared" si="42"/>
        <v>-0.10439010080848754</v>
      </c>
      <c r="BS33" s="46">
        <f t="shared" si="43"/>
        <v>1.3455004047766771E-2</v>
      </c>
      <c r="BT33" s="11">
        <f t="shared" si="84"/>
        <v>7.0934159617707737E-3</v>
      </c>
      <c r="BU33" s="159">
        <f t="shared" si="45"/>
        <v>-3.1805635220917027E-3</v>
      </c>
      <c r="BW33" s="11">
        <f t="shared" si="85"/>
        <v>0.73595605781072571</v>
      </c>
      <c r="BX33" s="11">
        <f t="shared" si="86"/>
        <v>-0.10757066433057924</v>
      </c>
      <c r="BZ33" s="23">
        <f t="shared" si="76"/>
        <v>9.3110055906712752</v>
      </c>
      <c r="CA33" s="174">
        <f t="shared" si="87"/>
        <v>5.5838266798232099E-3</v>
      </c>
      <c r="CB33" s="1">
        <f t="shared" si="88"/>
        <v>1.0842829598798933</v>
      </c>
      <c r="CC33" s="1">
        <f t="shared" si="77"/>
        <v>0.10479996621202389</v>
      </c>
      <c r="CD33" s="1">
        <f t="shared" si="77"/>
        <v>-0.86637613158996796</v>
      </c>
      <c r="CE33" s="203">
        <f t="shared" si="78"/>
        <v>0.74941106185849249</v>
      </c>
      <c r="CF33" s="203">
        <f t="shared" si="78"/>
        <v>6.5104790445474028E-2</v>
      </c>
      <c r="CG33" s="204">
        <f t="shared" si="89"/>
        <v>-9.3504905134992933E-2</v>
      </c>
      <c r="CH33" s="205">
        <f t="shared" si="79"/>
        <v>1.3455004047766771E-2</v>
      </c>
      <c r="CI33" s="203">
        <f t="shared" si="79"/>
        <v>7.0934159617707737E-3</v>
      </c>
      <c r="CJ33" s="206">
        <f t="shared" si="90"/>
        <v>-2.0801408280885364E-3</v>
      </c>
      <c r="CL33" s="46">
        <f t="shared" si="50"/>
        <v>11.510843621962541</v>
      </c>
      <c r="CM33" s="159">
        <f t="shared" si="51"/>
        <v>1.4608173266281481</v>
      </c>
      <c r="CO33" s="46">
        <f t="shared" si="80"/>
        <v>0.56161693963587322</v>
      </c>
      <c r="CP33" s="159">
        <f t="shared" si="81"/>
        <v>2.0166657741494422E-2</v>
      </c>
    </row>
    <row r="34" spans="1:128" ht="14.45">
      <c r="A34" s="245"/>
      <c r="B34" s="20" t="s">
        <v>258</v>
      </c>
      <c r="C34" s="21">
        <f t="shared" si="91"/>
        <v>10</v>
      </c>
      <c r="D34" s="21">
        <v>9.1999999999999993</v>
      </c>
      <c r="E34" s="21">
        <v>1</v>
      </c>
      <c r="F34" s="11">
        <v>100100</v>
      </c>
      <c r="G34" s="11">
        <v>25.1</v>
      </c>
      <c r="H34" s="23">
        <v>370.4</v>
      </c>
      <c r="I34" s="46">
        <v>0.2</v>
      </c>
      <c r="J34" s="159">
        <f t="shared" si="53"/>
        <v>5.3995680345572358E-4</v>
      </c>
      <c r="K34" s="154">
        <v>25.02</v>
      </c>
      <c r="L34" s="3">
        <v>0.01</v>
      </c>
      <c r="M34" s="24">
        <v>-44.676299999999998</v>
      </c>
      <c r="N34" s="11">
        <v>5.0000000000000002E-5</v>
      </c>
      <c r="O34" s="25">
        <v>9.8450000000000006</v>
      </c>
      <c r="P34" s="11">
        <v>5.0000000000000002E-5</v>
      </c>
      <c r="Q34" s="25">
        <v>-4.7904999999999998</v>
      </c>
      <c r="R34" s="23">
        <v>5.0000000000000002E-5</v>
      </c>
      <c r="S34" s="46">
        <v>0.73050000000000004</v>
      </c>
      <c r="T34" s="11">
        <v>0.3306</v>
      </c>
      <c r="U34" s="28">
        <v>0.11990000000000001</v>
      </c>
      <c r="W34" s="11">
        <f t="shared" si="54"/>
        <v>-1.6350951175455444E-2</v>
      </c>
      <c r="X34" s="11">
        <f t="shared" si="55"/>
        <v>3.3580497714575927E-2</v>
      </c>
      <c r="Y34" s="11">
        <f t="shared" si="56"/>
        <v>-2.5028702640642941E-2</v>
      </c>
      <c r="AA34" s="46">
        <f t="shared" si="57"/>
        <v>44.676299999999998</v>
      </c>
      <c r="AB34" s="11">
        <f t="shared" si="58"/>
        <v>9.8450000000000006</v>
      </c>
      <c r="AC34" s="159">
        <f t="shared" si="59"/>
        <v>4.7904999999999998</v>
      </c>
      <c r="AD34" s="242"/>
      <c r="AF34" s="46">
        <f t="shared" si="60"/>
        <v>43.716022187698542</v>
      </c>
      <c r="AG34" s="11">
        <f t="shared" si="61"/>
        <v>-2.090130661195472</v>
      </c>
      <c r="AH34" s="159">
        <f t="shared" si="62"/>
        <v>3.8760236602390252</v>
      </c>
      <c r="AI34" s="242"/>
      <c r="AK34" s="46">
        <f t="shared" si="63"/>
        <v>43.487843438755661</v>
      </c>
      <c r="AL34" s="11">
        <f t="shared" si="64"/>
        <v>4.9261257741248148</v>
      </c>
      <c r="AM34" s="159">
        <f t="shared" si="65"/>
        <v>-0.92140451861480577</v>
      </c>
      <c r="AN34" s="46">
        <f t="shared" si="66"/>
        <v>0.77395976228673835</v>
      </c>
      <c r="AO34" s="11">
        <f t="shared" si="67"/>
        <v>0.4431404568420152</v>
      </c>
      <c r="AP34" s="159">
        <f t="shared" si="26"/>
        <v>-4.7350000000000864E-4</v>
      </c>
      <c r="AR34" s="11">
        <f t="shared" si="68"/>
        <v>0.91488248873512512</v>
      </c>
      <c r="AS34" s="11">
        <f t="shared" si="69"/>
        <v>0.10363416191011084</v>
      </c>
      <c r="AT34" s="23">
        <f t="shared" si="70"/>
        <v>-0.1226847816502081</v>
      </c>
      <c r="AU34" s="46">
        <f t="shared" si="27"/>
        <v>1.6776299789959828E-2</v>
      </c>
      <c r="AV34" s="11">
        <f t="shared" si="28"/>
        <v>9.3785964820780367E-3</v>
      </c>
      <c r="AW34" s="159">
        <f t="shared" si="29"/>
        <v>-1.2929088933622953E-4</v>
      </c>
      <c r="AY34" s="11">
        <f t="shared" si="30"/>
        <v>0.85998953941101752</v>
      </c>
      <c r="AZ34" s="11">
        <f t="shared" si="71"/>
        <v>9.7416112195504181E-2</v>
      </c>
      <c r="BA34" s="23">
        <f t="shared" si="72"/>
        <v>-0.11532369475119561</v>
      </c>
      <c r="BB34" s="46">
        <f t="shared" si="32"/>
        <v>1.5769721802562239E-2</v>
      </c>
      <c r="BC34" s="11">
        <f t="shared" si="33"/>
        <v>8.8158806931533541E-3</v>
      </c>
      <c r="BD34" s="159">
        <f t="shared" si="34"/>
        <v>-1.2153343597605574E-4</v>
      </c>
      <c r="BF34" s="11">
        <f t="shared" si="82"/>
        <v>0.85998953941101752</v>
      </c>
      <c r="BG34" s="11">
        <f t="shared" si="73"/>
        <v>7.5416112195504176E-2</v>
      </c>
      <c r="BH34" s="23">
        <f t="shared" si="83"/>
        <v>-0.11532369475119561</v>
      </c>
      <c r="BI34" s="46">
        <f t="shared" si="36"/>
        <v>1.5769721802562239E-2</v>
      </c>
      <c r="BJ34" s="11">
        <f t="shared" si="37"/>
        <v>8.8158806931533541E-3</v>
      </c>
      <c r="BK34" s="159">
        <f t="shared" si="38"/>
        <v>-1.2153343597605574E-4</v>
      </c>
      <c r="BM34" s="204">
        <f t="shared" si="74"/>
        <v>10.713791317711145</v>
      </c>
      <c r="BN34" s="219">
        <f t="shared" si="39"/>
        <v>1.5769721802562239E-2</v>
      </c>
      <c r="BP34" s="11">
        <f t="shared" si="40"/>
        <v>0.85998953941101752</v>
      </c>
      <c r="BQ34" s="11">
        <f t="shared" si="75"/>
        <v>8.6509842313949786E-2</v>
      </c>
      <c r="BR34" s="23">
        <f t="shared" si="42"/>
        <v>-0.11532369475119561</v>
      </c>
      <c r="BS34" s="46">
        <f t="shared" si="43"/>
        <v>1.5769721802562239E-2</v>
      </c>
      <c r="BT34" s="11">
        <f t="shared" si="84"/>
        <v>9.2889723472302215E-3</v>
      </c>
      <c r="BU34" s="159">
        <f t="shared" si="45"/>
        <v>-1.2153343597605574E-4</v>
      </c>
      <c r="BW34" s="11">
        <f t="shared" si="85"/>
        <v>0.84421981760845533</v>
      </c>
      <c r="BX34" s="11">
        <f t="shared" si="86"/>
        <v>-0.11544522818717166</v>
      </c>
      <c r="BZ34" s="23">
        <f t="shared" si="76"/>
        <v>11.356895658855573</v>
      </c>
      <c r="CA34" s="174">
        <f t="shared" si="87"/>
        <v>6.5444345480633291E-3</v>
      </c>
      <c r="CB34" s="1">
        <f t="shared" si="88"/>
        <v>1.2696849294227437</v>
      </c>
      <c r="CC34" s="1">
        <f t="shared" si="77"/>
        <v>0.15656701861127387</v>
      </c>
      <c r="CD34" s="1">
        <f t="shared" si="77"/>
        <v>-1.0479908441296446</v>
      </c>
      <c r="CE34" s="203">
        <f t="shared" si="78"/>
        <v>0.85998953941101752</v>
      </c>
      <c r="CF34" s="203">
        <f t="shared" si="78"/>
        <v>8.6509842313949786E-2</v>
      </c>
      <c r="CG34" s="204">
        <f t="shared" si="89"/>
        <v>-0.10283234669125058</v>
      </c>
      <c r="CH34" s="205">
        <f t="shared" si="79"/>
        <v>1.5769721802562239E-2</v>
      </c>
      <c r="CI34" s="203">
        <f t="shared" si="79"/>
        <v>9.2889723472302215E-3</v>
      </c>
      <c r="CJ34" s="206">
        <f t="shared" si="90"/>
        <v>1.136476600073281E-3</v>
      </c>
      <c r="CL34" s="46">
        <f t="shared" si="50"/>
        <v>9.9409444799362845</v>
      </c>
      <c r="CM34" s="159">
        <f t="shared" si="51"/>
        <v>1.2496945698929836</v>
      </c>
      <c r="CO34" s="46">
        <f t="shared" si="80"/>
        <v>0.73958200789637407</v>
      </c>
      <c r="CP34" s="159">
        <f t="shared" si="81"/>
        <v>2.7123591579250761E-2</v>
      </c>
    </row>
    <row r="35" spans="1:128" ht="15" thickBot="1">
      <c r="A35" s="245"/>
      <c r="B35" s="30" t="s">
        <v>259</v>
      </c>
      <c r="C35" s="31">
        <f>C34+2</f>
        <v>12</v>
      </c>
      <c r="D35" s="31">
        <v>11.2</v>
      </c>
      <c r="E35" s="31">
        <v>1</v>
      </c>
      <c r="F35" s="33">
        <v>100100</v>
      </c>
      <c r="G35" s="33">
        <v>25.2</v>
      </c>
      <c r="H35" s="34">
        <v>368.2</v>
      </c>
      <c r="I35" s="160">
        <v>0.5</v>
      </c>
      <c r="J35" s="162">
        <f t="shared" si="53"/>
        <v>1.3579576317218904E-3</v>
      </c>
      <c r="K35" s="155">
        <v>24.95</v>
      </c>
      <c r="L35" s="35">
        <v>0.01</v>
      </c>
      <c r="M35" s="36">
        <v>-49.613300000000002</v>
      </c>
      <c r="N35" s="33">
        <v>5.0000000000000002E-5</v>
      </c>
      <c r="O35" s="37">
        <v>11.0657</v>
      </c>
      <c r="P35" s="33">
        <v>5.0000000000000002E-5</v>
      </c>
      <c r="Q35" s="37">
        <v>-5.2615999999999996</v>
      </c>
      <c r="R35" s="34">
        <v>5.0000000000000002E-5</v>
      </c>
      <c r="S35" s="48">
        <v>0.65580000000000005</v>
      </c>
      <c r="T35" s="33">
        <v>0.28860000000000002</v>
      </c>
      <c r="U35" s="49">
        <v>0.1086</v>
      </c>
      <c r="W35" s="11">
        <f t="shared" si="54"/>
        <v>-1.3218229789189592E-2</v>
      </c>
      <c r="X35" s="11">
        <f t="shared" si="55"/>
        <v>2.6080591376957628E-2</v>
      </c>
      <c r="Y35" s="11">
        <f t="shared" si="56"/>
        <v>-2.0640109472403835E-2</v>
      </c>
      <c r="AA35" s="160">
        <f t="shared" si="57"/>
        <v>49.613300000000002</v>
      </c>
      <c r="AB35" s="161">
        <f t="shared" si="58"/>
        <v>11.0657</v>
      </c>
      <c r="AC35" s="162">
        <f t="shared" si="59"/>
        <v>5.2615999999999996</v>
      </c>
      <c r="AD35" s="243"/>
      <c r="AF35" s="160">
        <f t="shared" si="60"/>
        <v>48.191602346817149</v>
      </c>
      <c r="AG35" s="161">
        <f t="shared" si="61"/>
        <v>-3.4338943185709088</v>
      </c>
      <c r="AH35" s="162">
        <f t="shared" si="62"/>
        <v>4.1496524464064652</v>
      </c>
      <c r="AI35" s="243"/>
      <c r="AK35" s="160">
        <f t="shared" si="63"/>
        <v>47.940781001774049</v>
      </c>
      <c r="AL35" s="161">
        <f t="shared" si="64"/>
        <v>5.9919682813584743</v>
      </c>
      <c r="AM35" s="162">
        <f t="shared" si="65"/>
        <v>-1.014653448434707</v>
      </c>
      <c r="AN35" s="160">
        <f t="shared" si="66"/>
        <v>0.69936642464008381</v>
      </c>
      <c r="AO35" s="161">
        <f t="shared" si="67"/>
        <v>0.41048254536383433</v>
      </c>
      <c r="AP35" s="162">
        <f t="shared" si="26"/>
        <v>1.4369999999999869E-3</v>
      </c>
      <c r="AR35" s="11">
        <f t="shared" si="68"/>
        <v>1.0145880485941337</v>
      </c>
      <c r="AS35" s="11">
        <f t="shared" si="69"/>
        <v>0.12681018704297853</v>
      </c>
      <c r="AT35" s="23">
        <f t="shared" si="70"/>
        <v>-0.13590808281224157</v>
      </c>
      <c r="AU35" s="160">
        <f t="shared" si="27"/>
        <v>1.6178711606677252E-2</v>
      </c>
      <c r="AV35" s="161">
        <f t="shared" si="28"/>
        <v>8.8593930984811591E-3</v>
      </c>
      <c r="AW35" s="162">
        <f t="shared" si="29"/>
        <v>7.9220093660440881E-6</v>
      </c>
      <c r="AY35" s="11">
        <f t="shared" si="30"/>
        <v>0.95371276567848562</v>
      </c>
      <c r="AZ35" s="11">
        <f t="shared" si="71"/>
        <v>0.11920157582039981</v>
      </c>
      <c r="BA35" s="23">
        <f t="shared" si="72"/>
        <v>-0.12775359784350707</v>
      </c>
      <c r="BB35" s="160">
        <f t="shared" si="32"/>
        <v>1.5207988910276617E-2</v>
      </c>
      <c r="BC35" s="161">
        <f t="shared" si="33"/>
        <v>8.3278295125722886E-3</v>
      </c>
      <c r="BD35" s="162">
        <f t="shared" si="34"/>
        <v>7.446688804081442E-6</v>
      </c>
      <c r="BF35" s="11">
        <f t="shared" si="82"/>
        <v>0.95371276567848562</v>
      </c>
      <c r="BG35" s="11">
        <f t="shared" si="73"/>
        <v>9.7201575820399816E-2</v>
      </c>
      <c r="BH35" s="23">
        <f t="shared" si="83"/>
        <v>-0.12775359784350707</v>
      </c>
      <c r="BI35" s="160">
        <f t="shared" si="36"/>
        <v>1.5207988910276617E-2</v>
      </c>
      <c r="BJ35" s="161">
        <f t="shared" si="37"/>
        <v>8.3278295125722886E-3</v>
      </c>
      <c r="BK35" s="162">
        <f t="shared" si="38"/>
        <v>7.446688804081442E-6</v>
      </c>
      <c r="BM35" s="204">
        <f t="shared" si="74"/>
        <v>12.791581595513144</v>
      </c>
      <c r="BN35" s="220">
        <f t="shared" si="39"/>
        <v>1.5207988910276617E-2</v>
      </c>
      <c r="BP35" s="11">
        <f t="shared" si="40"/>
        <v>0.95371276567848562</v>
      </c>
      <c r="BQ35" s="11">
        <f t="shared" si="75"/>
        <v>0.11084509641167141</v>
      </c>
      <c r="BR35" s="23">
        <f t="shared" si="42"/>
        <v>-0.12775359784350707</v>
      </c>
      <c r="BS35" s="160">
        <f t="shared" si="43"/>
        <v>1.5207988910276617E-2</v>
      </c>
      <c r="BT35" s="161">
        <f t="shared" si="84"/>
        <v>8.7840691798805864E-3</v>
      </c>
      <c r="BU35" s="162">
        <f t="shared" si="45"/>
        <v>7.446688804081442E-6</v>
      </c>
      <c r="BW35" s="11">
        <f t="shared" si="85"/>
        <v>0.93850477676820898</v>
      </c>
      <c r="BX35" s="11">
        <f t="shared" si="86"/>
        <v>-0.12776104453231116</v>
      </c>
      <c r="BZ35" s="23">
        <f t="shared" si="76"/>
        <v>13.395790797756572</v>
      </c>
      <c r="CA35" s="175">
        <f t="shared" si="87"/>
        <v>6.3113153977647956E-3</v>
      </c>
      <c r="CB35" s="1">
        <f t="shared" si="88"/>
        <v>1.4081174807221812</v>
      </c>
      <c r="CC35" s="1">
        <f t="shared" si="77"/>
        <v>0.18487965015120295</v>
      </c>
      <c r="CD35" s="1">
        <f t="shared" si="77"/>
        <v>-1.2104732014316395</v>
      </c>
      <c r="CE35" s="203">
        <f t="shared" si="78"/>
        <v>0.95371276567848562</v>
      </c>
      <c r="CF35" s="203">
        <f t="shared" si="78"/>
        <v>0.11084509641167141</v>
      </c>
      <c r="CG35" s="204">
        <f t="shared" si="89"/>
        <v>-0.11390091992202706</v>
      </c>
      <c r="CH35" s="207">
        <f t="shared" si="79"/>
        <v>1.5207988910276617E-2</v>
      </c>
      <c r="CI35" s="208">
        <f t="shared" si="79"/>
        <v>8.7840691798805864E-3</v>
      </c>
      <c r="CJ35" s="209">
        <f t="shared" si="90"/>
        <v>1.4356789738680304E-3</v>
      </c>
      <c r="CL35" s="160">
        <f t="shared" si="50"/>
        <v>8.604014038983367</v>
      </c>
      <c r="CM35" s="162">
        <f t="shared" si="51"/>
        <v>0.81903707419041938</v>
      </c>
      <c r="CO35" s="160">
        <f t="shared" si="80"/>
        <v>0.90956803941810604</v>
      </c>
      <c r="CP35" s="162">
        <f t="shared" si="81"/>
        <v>2.90081063280553E-2</v>
      </c>
    </row>
    <row r="36" spans="1:128" ht="15" thickBot="1">
      <c r="C36" s="40"/>
      <c r="D36" s="40"/>
      <c r="E36" s="40"/>
      <c r="G36" s="41">
        <f>AVERAGE(G28:G35)</f>
        <v>25.062499999999996</v>
      </c>
      <c r="CE36" s="66"/>
      <c r="CF36" s="66"/>
      <c r="CG36" s="66"/>
      <c r="CJ36" s="66"/>
    </row>
    <row r="37" spans="1:128" ht="14.25" customHeight="1" thickBot="1">
      <c r="CE37" s="66"/>
      <c r="CF37" s="66"/>
      <c r="CG37" s="66"/>
      <c r="CJ37" s="66"/>
    </row>
    <row r="38" spans="1:128" ht="14.45" customHeight="1" thickBot="1">
      <c r="B38" s="246" t="s">
        <v>260</v>
      </c>
      <c r="C38" s="247"/>
      <c r="D38" s="247"/>
      <c r="E38" s="247"/>
      <c r="F38" s="247"/>
      <c r="G38" s="247"/>
      <c r="H38" s="247"/>
      <c r="I38" s="247"/>
      <c r="J38" s="247"/>
      <c r="K38" s="247"/>
      <c r="L38" s="247"/>
      <c r="M38" s="247"/>
      <c r="N38" s="247"/>
      <c r="O38" s="247"/>
      <c r="P38" s="247"/>
      <c r="Q38" s="247"/>
      <c r="R38" s="247"/>
      <c r="S38" s="247"/>
      <c r="T38" s="247"/>
      <c r="U38" s="248"/>
      <c r="V38" s="131"/>
      <c r="W38" s="240" t="s">
        <v>142</v>
      </c>
      <c r="X38" s="240"/>
      <c r="Y38" s="240"/>
      <c r="AA38" s="232" t="s">
        <v>143</v>
      </c>
      <c r="AB38" s="232"/>
      <c r="AC38" s="232"/>
      <c r="AD38" s="67"/>
      <c r="AF38" s="232" t="s">
        <v>144</v>
      </c>
      <c r="AG38" s="232"/>
      <c r="AH38" s="232"/>
      <c r="AI38" s="67"/>
      <c r="AK38" s="232" t="s">
        <v>145</v>
      </c>
      <c r="AL38" s="232"/>
      <c r="AM38" s="232"/>
      <c r="AR38" s="239" t="s">
        <v>147</v>
      </c>
      <c r="AS38" s="239"/>
      <c r="AT38" s="239"/>
      <c r="AY38" s="232" t="s">
        <v>149</v>
      </c>
      <c r="AZ38" s="232"/>
      <c r="BA38" s="232"/>
      <c r="BF38" s="232" t="s">
        <v>150</v>
      </c>
      <c r="BG38" s="232"/>
      <c r="BH38" s="232"/>
      <c r="BP38" s="232"/>
      <c r="BQ38" s="232"/>
      <c r="BR38" s="232"/>
      <c r="CE38" s="66"/>
      <c r="CF38" s="66"/>
      <c r="CG38" s="66"/>
      <c r="CH38" s="66" t="s">
        <v>155</v>
      </c>
      <c r="CI38" s="66" t="s">
        <v>155</v>
      </c>
      <c r="CJ38" s="66" t="s">
        <v>242</v>
      </c>
      <c r="CR38" s="69" t="s">
        <v>243</v>
      </c>
    </row>
    <row r="39" spans="1:128" ht="16.899999999999999" thickBot="1">
      <c r="A39" s="245" t="s">
        <v>261</v>
      </c>
      <c r="B39" s="12"/>
      <c r="C39" s="13" t="s">
        <v>262</v>
      </c>
      <c r="D39" s="13" t="s">
        <v>263</v>
      </c>
      <c r="E39" s="13" t="s">
        <v>170</v>
      </c>
      <c r="F39" s="13" t="s">
        <v>171</v>
      </c>
      <c r="G39" s="13" t="s">
        <v>264</v>
      </c>
      <c r="H39" s="50" t="s">
        <v>173</v>
      </c>
      <c r="I39" s="157" t="s">
        <v>174</v>
      </c>
      <c r="J39" s="158" t="s">
        <v>175</v>
      </c>
      <c r="K39" s="169" t="s">
        <v>176</v>
      </c>
      <c r="L39" s="42" t="s">
        <v>177</v>
      </c>
      <c r="M39" s="42" t="s">
        <v>178</v>
      </c>
      <c r="N39" s="42" t="s">
        <v>179</v>
      </c>
      <c r="O39" s="42" t="s">
        <v>180</v>
      </c>
      <c r="P39" s="42" t="s">
        <v>181</v>
      </c>
      <c r="Q39" s="42" t="s">
        <v>182</v>
      </c>
      <c r="R39" s="50" t="s">
        <v>183</v>
      </c>
      <c r="S39" s="17" t="s">
        <v>184</v>
      </c>
      <c r="T39" s="18" t="s">
        <v>185</v>
      </c>
      <c r="U39" s="19" t="s">
        <v>186</v>
      </c>
      <c r="W39" s="13" t="s">
        <v>184</v>
      </c>
      <c r="X39" s="13" t="s">
        <v>185</v>
      </c>
      <c r="Y39" s="13" t="s">
        <v>186</v>
      </c>
      <c r="AA39" s="157" t="s">
        <v>187</v>
      </c>
      <c r="AB39" s="72" t="s">
        <v>188</v>
      </c>
      <c r="AC39" s="158" t="s">
        <v>189</v>
      </c>
      <c r="AF39" s="157" t="s">
        <v>190</v>
      </c>
      <c r="AG39" s="72" t="s">
        <v>191</v>
      </c>
      <c r="AH39" s="158" t="s">
        <v>192</v>
      </c>
      <c r="AK39" s="157" t="s">
        <v>193</v>
      </c>
      <c r="AL39" s="72" t="s">
        <v>194</v>
      </c>
      <c r="AM39" s="158" t="s">
        <v>195</v>
      </c>
      <c r="AN39" s="157" t="s">
        <v>196</v>
      </c>
      <c r="AO39" s="72" t="s">
        <v>197</v>
      </c>
      <c r="AP39" s="158" t="s">
        <v>198</v>
      </c>
      <c r="AR39" s="13" t="s">
        <v>199</v>
      </c>
      <c r="AS39" s="13" t="s">
        <v>200</v>
      </c>
      <c r="AT39" s="14" t="s">
        <v>201</v>
      </c>
      <c r="AU39" s="157" t="s">
        <v>202</v>
      </c>
      <c r="AV39" s="72" t="s">
        <v>203</v>
      </c>
      <c r="AW39" s="158" t="s">
        <v>204</v>
      </c>
      <c r="AY39" s="13" t="s">
        <v>95</v>
      </c>
      <c r="AZ39" s="13" t="s">
        <v>205</v>
      </c>
      <c r="BA39" s="14" t="s">
        <v>206</v>
      </c>
      <c r="BB39" s="157" t="s">
        <v>207</v>
      </c>
      <c r="BC39" s="72" t="s">
        <v>208</v>
      </c>
      <c r="BD39" s="158" t="s">
        <v>209</v>
      </c>
      <c r="BF39" s="13" t="s">
        <v>95</v>
      </c>
      <c r="BG39" s="13" t="s">
        <v>205</v>
      </c>
      <c r="BH39" s="14" t="s">
        <v>206</v>
      </c>
      <c r="BI39" s="157" t="s">
        <v>207</v>
      </c>
      <c r="BJ39" s="72" t="s">
        <v>208</v>
      </c>
      <c r="BK39" s="158" t="s">
        <v>209</v>
      </c>
      <c r="BM39" s="14" t="s">
        <v>210</v>
      </c>
      <c r="BN39" s="168" t="s">
        <v>211</v>
      </c>
      <c r="BP39" s="64" t="s">
        <v>95</v>
      </c>
      <c r="BQ39" s="64" t="s">
        <v>205</v>
      </c>
      <c r="BR39" s="176" t="s">
        <v>206</v>
      </c>
      <c r="BS39" s="157" t="s">
        <v>207</v>
      </c>
      <c r="BT39" s="72" t="s">
        <v>208</v>
      </c>
      <c r="BU39" s="158" t="s">
        <v>209</v>
      </c>
      <c r="BW39" s="11" t="s">
        <v>265</v>
      </c>
      <c r="BX39" s="11" t="s">
        <v>266</v>
      </c>
      <c r="BZ39" s="14" t="s">
        <v>212</v>
      </c>
      <c r="CA39" s="168" t="s">
        <v>247</v>
      </c>
      <c r="CE39" s="64" t="s">
        <v>95</v>
      </c>
      <c r="CF39" s="64" t="s">
        <v>205</v>
      </c>
      <c r="CG39" s="176" t="s">
        <v>206</v>
      </c>
      <c r="CH39" s="179" t="s">
        <v>207</v>
      </c>
      <c r="CI39" s="180" t="s">
        <v>208</v>
      </c>
      <c r="CJ39" s="181" t="s">
        <v>209</v>
      </c>
      <c r="CL39" s="157" t="s">
        <v>77</v>
      </c>
      <c r="CM39" s="158" t="s">
        <v>78</v>
      </c>
      <c r="CO39" s="179" t="s">
        <v>213</v>
      </c>
      <c r="CP39" s="181" t="s">
        <v>80</v>
      </c>
      <c r="CR39" s="82" t="s">
        <v>267</v>
      </c>
      <c r="CT39" s="1" t="s">
        <v>249</v>
      </c>
      <c r="DW39" s="1">
        <v>-4</v>
      </c>
      <c r="DX39" s="1">
        <v>0.96650000000000003</v>
      </c>
    </row>
    <row r="40" spans="1:128" ht="15" thickBot="1">
      <c r="A40" s="245"/>
      <c r="B40" s="20" t="s">
        <v>268</v>
      </c>
      <c r="C40" s="21">
        <v>-2</v>
      </c>
      <c r="D40" s="21">
        <v>-2.8</v>
      </c>
      <c r="E40" s="21">
        <v>-2</v>
      </c>
      <c r="F40" s="11">
        <v>100100</v>
      </c>
      <c r="G40" s="11">
        <v>25.1</v>
      </c>
      <c r="H40" s="52">
        <v>372.9</v>
      </c>
      <c r="I40" s="46">
        <v>1</v>
      </c>
      <c r="J40" s="159">
        <f t="shared" ref="J40:J55" si="92">I40/H40</f>
        <v>2.6816840976133013E-3</v>
      </c>
      <c r="K40" s="55">
        <v>25.1</v>
      </c>
      <c r="L40" s="3">
        <v>0.01</v>
      </c>
      <c r="M40" s="51">
        <v>4.2226999999999997</v>
      </c>
      <c r="N40" s="3">
        <v>5.0000000000000002E-5</v>
      </c>
      <c r="O40" s="51">
        <v>-1.1507000000000001</v>
      </c>
      <c r="P40" s="3">
        <v>5.0000000000000002E-5</v>
      </c>
      <c r="Q40" s="51">
        <v>-0.68669999999999998</v>
      </c>
      <c r="R40" s="52">
        <v>5.0000000000000002E-5</v>
      </c>
      <c r="S40" s="12">
        <v>0.98499999999999999</v>
      </c>
      <c r="T40" s="11">
        <v>0.41370000000000001</v>
      </c>
      <c r="U40" s="28">
        <v>0.19370000000000001</v>
      </c>
      <c r="W40" s="11">
        <f t="shared" ref="W40:W55" si="93">S40/M40</f>
        <v>0.23326307812537003</v>
      </c>
      <c r="X40" s="11">
        <f t="shared" ref="X40:X55" si="94">T40/O40</f>
        <v>-0.35952029199617624</v>
      </c>
      <c r="Y40" s="11">
        <f t="shared" ref="Y40:Y55" si="95">U40/Q40</f>
        <v>-0.28207368574341052</v>
      </c>
      <c r="AA40" s="46">
        <f t="shared" ref="AA40:AA55" si="96">-1*M40</f>
        <v>-4.2226999999999997</v>
      </c>
      <c r="AB40" s="11">
        <f t="shared" ref="AB40:AB55" si="97">O40</f>
        <v>-1.1507000000000001</v>
      </c>
      <c r="AC40" s="159">
        <f t="shared" ref="AC40:AC55" si="98">-1*Q40</f>
        <v>0.68669999999999998</v>
      </c>
      <c r="AD40" s="241" t="s">
        <v>219</v>
      </c>
      <c r="AF40" s="46">
        <f t="shared" ref="AF40:AF55" si="99">AA40+$D$3*(COS(RADIANS(D40))-1)</f>
        <v>-4.3118218474619452</v>
      </c>
      <c r="AG40" s="11">
        <f t="shared" ref="AG40:AG55" si="100">AB40-$D$3*SIN(RADIANS(D40))</f>
        <v>2.4959353152425297</v>
      </c>
      <c r="AH40" s="159">
        <f t="shared" ref="AH40:AH55" si="101">AC40-$D$3*($D$5*SIN(RADIANS(D40)+$D$4*(COS(RADIANS(D40))-1)))</f>
        <v>0.96457898361518224</v>
      </c>
      <c r="AI40" s="241" t="s">
        <v>219</v>
      </c>
      <c r="AK40" s="46">
        <f t="shared" ref="AK40:AK55" si="102">AF40*COS(RADIANS(D40))-AG40*SIN(RADIANS(D40))</f>
        <v>-4.1847482587935323</v>
      </c>
      <c r="AL40" s="11">
        <f t="shared" ref="AL40:AL55" si="103">AG40*COS(RADIANS(D40))+AF40*SIN(RADIANS(D40))</f>
        <v>2.7035870159196778</v>
      </c>
      <c r="AM40" s="159">
        <f t="shared" si="65"/>
        <v>1.1858856113966276</v>
      </c>
      <c r="AN40" s="46">
        <f t="shared" ref="AN40:AN55" si="104">S40*COS(RADIANS(D40)) + T40*SIN(RADIANS(D40))</f>
        <v>0.9636148955168673</v>
      </c>
      <c r="AO40" s="11">
        <f t="shared" ref="AO40:AO55" si="105">T40*COS(RADIANS(D40))+S40*SIN(RADIANS(D40))</f>
        <v>0.36508907576947225</v>
      </c>
      <c r="AP40" s="159">
        <f t="shared" si="26"/>
        <v>3.4918000000000012E-2</v>
      </c>
      <c r="AR40" s="11">
        <f t="shared" ref="AR40:AR55" si="106">AK40/(H40*$C$10)</f>
        <v>-8.7447092737698351E-2</v>
      </c>
      <c r="AS40" s="11">
        <f t="shared" ref="AS40:AS55" si="107">AL40/(H40*$C$10)</f>
        <v>5.6495829589932274E-2</v>
      </c>
      <c r="AT40" s="23">
        <f t="shared" ref="AT40:AT55" si="108">AM40/(H40*$C$10*$C$9)</f>
        <v>0.1568417758345613</v>
      </c>
      <c r="AU40" s="46">
        <f t="shared" si="27"/>
        <v>1.9901788492543451E-2</v>
      </c>
      <c r="AV40" s="11">
        <f t="shared" si="28"/>
        <v>7.78063152624189E-3</v>
      </c>
      <c r="AW40" s="159">
        <f t="shared" si="29"/>
        <v>5.0387530410014765E-3</v>
      </c>
      <c r="AY40" s="11">
        <f t="shared" si="30"/>
        <v>-8.2200267173436439E-2</v>
      </c>
      <c r="AZ40" s="11">
        <f t="shared" ref="AZ40:AZ53" si="109">0.94*AS40</f>
        <v>5.3106079814536335E-2</v>
      </c>
      <c r="BA40" s="23">
        <f t="shared" ref="BA40:BA53" si="110">0.94*AT40</f>
        <v>0.1474312692844876</v>
      </c>
      <c r="BB40" s="46">
        <f t="shared" si="32"/>
        <v>1.8707681182990842E-2</v>
      </c>
      <c r="BC40" s="11">
        <f t="shared" si="33"/>
        <v>7.3137936346673758E-3</v>
      </c>
      <c r="BD40" s="159">
        <f t="shared" si="34"/>
        <v>4.7364278585413878E-3</v>
      </c>
      <c r="BF40" s="11">
        <f>AY40</f>
        <v>-8.2200267173436439E-2</v>
      </c>
      <c r="BG40" s="11">
        <f t="shared" ref="BG40:BG55" si="111">AZ40-0.022</f>
        <v>3.1106079814536336E-2</v>
      </c>
      <c r="BH40" s="23">
        <f>BA40</f>
        <v>0.1474312692844876</v>
      </c>
      <c r="BI40" s="46">
        <f t="shared" si="36"/>
        <v>1.8707681182990842E-2</v>
      </c>
      <c r="BJ40" s="11">
        <f t="shared" si="37"/>
        <v>7.3137936346673758E-3</v>
      </c>
      <c r="BK40" s="159">
        <f t="shared" si="38"/>
        <v>4.7364278585413878E-3</v>
      </c>
      <c r="BM40" s="204">
        <f t="shared" ref="BM40:BM55" si="112">C40+0.83*BF40</f>
        <v>-2.0682262217539522</v>
      </c>
      <c r="BN40" s="219">
        <f t="shared" si="39"/>
        <v>1.8707681182990842E-2</v>
      </c>
      <c r="BP40" s="11">
        <f t="shared" si="40"/>
        <v>-8.2200267173436439E-2</v>
      </c>
      <c r="BQ40" s="11">
        <f t="shared" ref="BQ40:BQ55" si="113">BG40+0.015*BF40^2</f>
        <v>3.1207433073387102E-2</v>
      </c>
      <c r="BR40" s="23">
        <f t="shared" si="42"/>
        <v>0.1474312692844876</v>
      </c>
      <c r="BS40" s="46">
        <f t="shared" si="43"/>
        <v>1.8707681182990842E-2</v>
      </c>
      <c r="BT40" s="11">
        <f t="shared" ref="BT40:BT55" si="114">BJ40 + 0.015*BF40*(2*BI40/BF40)</f>
        <v>7.8750240701571002E-3</v>
      </c>
      <c r="BU40" s="159">
        <f t="shared" si="45"/>
        <v>4.7364278585413878E-3</v>
      </c>
      <c r="BW40" s="11">
        <f>BP40+BS40</f>
        <v>-6.3492585990445605E-2</v>
      </c>
      <c r="BX40" s="11">
        <f>BR40+ABS(BU40)</f>
        <v>0.152167697143029</v>
      </c>
      <c r="BZ40" s="23">
        <f t="shared" ref="BZ40:BZ55" si="115">C40+E40+0.415*BP40</f>
        <v>-4.0341131108769765</v>
      </c>
      <c r="CA40" s="174">
        <f>0.415*BS40</f>
        <v>7.7636876909411992E-3</v>
      </c>
      <c r="CE40" s="210">
        <f t="shared" ref="CE40:CE53" si="116">BP40</f>
        <v>-8.2200267173436439E-2</v>
      </c>
      <c r="CF40" s="210">
        <f t="shared" ref="CF40:CF53" si="117">BQ40</f>
        <v>3.1207433073387102E-2</v>
      </c>
      <c r="CG40" s="211">
        <f>BR40-0.415*CE40*$CC$15</f>
        <v>0.14623731040379345</v>
      </c>
      <c r="CH40" s="205">
        <f t="shared" ref="CH40:CH55" si="118">BS40</f>
        <v>1.8707681182990842E-2</v>
      </c>
      <c r="CI40" s="203">
        <f t="shared" ref="CI40:CI55" si="119">BT40</f>
        <v>7.8750240701571002E-3</v>
      </c>
      <c r="CJ40" s="206">
        <f>BU40+0.415*BP40*$CC$15*(BS40/BP40 + $CC$18/$CC$15)</f>
        <v>4.3225608273710454E-3</v>
      </c>
      <c r="CL40" s="46">
        <f t="shared" si="50"/>
        <v>-2.6339964257917359</v>
      </c>
      <c r="CM40" s="159">
        <f t="shared" si="51"/>
        <v>-6.5212158463694131E-2</v>
      </c>
      <c r="CO40" s="46">
        <f t="shared" ref="CO40:CO55" si="120">CE40^2</f>
        <v>6.7568839233843325E-3</v>
      </c>
      <c r="CP40" s="159">
        <f t="shared" ref="CP40:CP55" si="121">2*CH40*CE40</f>
        <v>-3.0755527828746332E-3</v>
      </c>
      <c r="CR40" s="79">
        <f>-CG93</f>
        <v>0.24</v>
      </c>
      <c r="CT40" s="1">
        <v>0.46392</v>
      </c>
      <c r="DW40" s="1">
        <v>20</v>
      </c>
      <c r="DX40" s="1">
        <f>DX39</f>
        <v>0.96650000000000003</v>
      </c>
    </row>
    <row r="41" spans="1:128" ht="14.45">
      <c r="A41" s="245"/>
      <c r="B41" s="20" t="s">
        <v>269</v>
      </c>
      <c r="C41" s="21">
        <v>0</v>
      </c>
      <c r="D41" s="21">
        <v>-0.8</v>
      </c>
      <c r="E41" s="21">
        <v>-2</v>
      </c>
      <c r="F41" s="11">
        <v>100100</v>
      </c>
      <c r="G41" s="11">
        <v>25.1</v>
      </c>
      <c r="H41" s="52">
        <v>372.9</v>
      </c>
      <c r="I41" s="46">
        <v>1</v>
      </c>
      <c r="J41" s="159">
        <f t="shared" si="92"/>
        <v>2.6816840976133013E-3</v>
      </c>
      <c r="K41" s="55">
        <v>25.11</v>
      </c>
      <c r="L41" s="3">
        <v>0.01</v>
      </c>
      <c r="M41" s="51">
        <v>-3.9211</v>
      </c>
      <c r="N41" s="3">
        <v>5.0000000000000002E-5</v>
      </c>
      <c r="O41" s="51">
        <v>1.5711999999999999</v>
      </c>
      <c r="P41" s="3">
        <v>5.0000000000000002E-5</v>
      </c>
      <c r="Q41" s="51">
        <v>-1.5262</v>
      </c>
      <c r="R41" s="52">
        <v>5.0000000000000002E-5</v>
      </c>
      <c r="S41" s="12">
        <v>0.89929999999999999</v>
      </c>
      <c r="T41" s="11">
        <v>0.43430000000000002</v>
      </c>
      <c r="U41" s="28">
        <v>0.19980000000000001</v>
      </c>
      <c r="W41" s="11">
        <f t="shared" si="93"/>
        <v>-0.22934890719440973</v>
      </c>
      <c r="X41" s="11">
        <f t="shared" si="94"/>
        <v>0.27641293279022405</v>
      </c>
      <c r="Y41" s="11">
        <f t="shared" si="95"/>
        <v>-0.13091337963569649</v>
      </c>
      <c r="AA41" s="46">
        <f t="shared" si="96"/>
        <v>3.9211</v>
      </c>
      <c r="AB41" s="11">
        <f t="shared" si="97"/>
        <v>1.5711999999999999</v>
      </c>
      <c r="AC41" s="159">
        <f t="shared" si="98"/>
        <v>1.5262</v>
      </c>
      <c r="AD41" s="242"/>
      <c r="AF41" s="46">
        <f t="shared" si="99"/>
        <v>3.9138234172945614</v>
      </c>
      <c r="AG41" s="11">
        <f t="shared" si="100"/>
        <v>2.6134767623171946</v>
      </c>
      <c r="AH41" s="159">
        <f t="shared" si="101"/>
        <v>1.6056963495741627</v>
      </c>
      <c r="AI41" s="242"/>
      <c r="AK41" s="46">
        <f t="shared" si="102"/>
        <v>3.9499317473471902</v>
      </c>
      <c r="AL41" s="11">
        <f t="shared" si="103"/>
        <v>2.5585765027127909</v>
      </c>
      <c r="AM41" s="159">
        <f t="shared" si="65"/>
        <v>0.86812421273039664</v>
      </c>
      <c r="AN41" s="46">
        <f t="shared" si="104"/>
        <v>0.8931485649202765</v>
      </c>
      <c r="AO41" s="11">
        <f t="shared" si="105"/>
        <v>0.42170147739824754</v>
      </c>
      <c r="AP41" s="159">
        <f t="shared" si="26"/>
        <v>4.8607500000000005E-2</v>
      </c>
      <c r="AR41" s="11">
        <f t="shared" si="106"/>
        <v>8.2540221408068826E-2</v>
      </c>
      <c r="AS41" s="11">
        <f t="shared" si="107"/>
        <v>5.3465600048717352E-2</v>
      </c>
      <c r="AT41" s="23">
        <f t="shared" si="108"/>
        <v>0.11481557905847366</v>
      </c>
      <c r="AU41" s="46">
        <f t="shared" si="27"/>
        <v>1.8885132660357185E-2</v>
      </c>
      <c r="AV41" s="11">
        <f t="shared" si="28"/>
        <v>8.9555132327561789E-3</v>
      </c>
      <c r="AW41" s="159">
        <f t="shared" si="29"/>
        <v>6.7365854424765734E-3</v>
      </c>
      <c r="AY41" s="11">
        <f t="shared" si="30"/>
        <v>7.7587808123584692E-2</v>
      </c>
      <c r="AZ41" s="11">
        <f t="shared" si="109"/>
        <v>5.0257664045794306E-2</v>
      </c>
      <c r="BA41" s="23">
        <f t="shared" si="110"/>
        <v>0.10792664431496524</v>
      </c>
      <c r="BB41" s="46">
        <f t="shared" si="32"/>
        <v>1.7752024700735752E-2</v>
      </c>
      <c r="BC41" s="11">
        <f t="shared" si="33"/>
        <v>8.4181824387908073E-3</v>
      </c>
      <c r="BD41" s="159">
        <f t="shared" si="34"/>
        <v>6.3323903159279785E-3</v>
      </c>
      <c r="BF41" s="11">
        <f t="shared" ref="BF41:BF53" si="122">AY41</f>
        <v>7.7587808123584692E-2</v>
      </c>
      <c r="BG41" s="11">
        <f t="shared" si="111"/>
        <v>2.8257664045794308E-2</v>
      </c>
      <c r="BH41" s="23">
        <f t="shared" ref="BH41:BH53" si="123">BA41</f>
        <v>0.10792664431496524</v>
      </c>
      <c r="BI41" s="46">
        <f t="shared" si="36"/>
        <v>1.7752024700735752E-2</v>
      </c>
      <c r="BJ41" s="11">
        <f t="shared" si="37"/>
        <v>8.4181824387908073E-3</v>
      </c>
      <c r="BK41" s="159">
        <f t="shared" si="38"/>
        <v>6.3323903159279785E-3</v>
      </c>
      <c r="BM41" s="204">
        <f t="shared" si="112"/>
        <v>6.4397880742575297E-2</v>
      </c>
      <c r="BN41" s="219">
        <f t="shared" si="39"/>
        <v>1.7752024700735752E-2</v>
      </c>
      <c r="BP41" s="11">
        <f t="shared" si="40"/>
        <v>7.7587808123584692E-2</v>
      </c>
      <c r="BQ41" s="11">
        <f t="shared" si="113"/>
        <v>2.8347962065335641E-2</v>
      </c>
      <c r="BR41" s="23">
        <f t="shared" si="42"/>
        <v>0.10792664431496524</v>
      </c>
      <c r="BS41" s="46">
        <f t="shared" si="43"/>
        <v>1.7752024700735752E-2</v>
      </c>
      <c r="BT41" s="11">
        <f t="shared" si="114"/>
        <v>8.9507431798128805E-3</v>
      </c>
      <c r="BU41" s="159">
        <f t="shared" si="45"/>
        <v>6.3323903159279785E-3</v>
      </c>
      <c r="BW41" s="11">
        <f t="shared" ref="BW41:BW55" si="124">BP41+BS41</f>
        <v>9.5339832824320445E-2</v>
      </c>
      <c r="BX41" s="11">
        <f t="shared" ref="BX41:BX55" si="125">BR41+ABS(BU41)</f>
        <v>0.11425903463089321</v>
      </c>
      <c r="BZ41" s="23">
        <f t="shared" si="115"/>
        <v>-1.9678010596287123</v>
      </c>
      <c r="CA41" s="174">
        <f t="shared" ref="CA41:CA55" si="126">0.415*BS41</f>
        <v>7.3670902508053372E-3</v>
      </c>
      <c r="CE41" s="210">
        <f t="shared" si="116"/>
        <v>7.7587808123584692E-2</v>
      </c>
      <c r="CF41" s="210">
        <f t="shared" si="117"/>
        <v>2.8347962065335641E-2</v>
      </c>
      <c r="CG41" s="211">
        <f t="shared" ref="CG41:CG53" si="127">BR41-0.415*CE41*$CC$15</f>
        <v>0.1090536072279603</v>
      </c>
      <c r="CH41" s="205">
        <f t="shared" si="118"/>
        <v>1.7752024700735752E-2</v>
      </c>
      <c r="CI41" s="203">
        <f t="shared" si="119"/>
        <v>8.9507431798128805E-3</v>
      </c>
      <c r="CJ41" s="206">
        <f t="shared" ref="CJ41:CJ55" si="128">BU41+0.415*BP41*$CC$15*(BS41/BP41 + $CC$18/$CC$15)</f>
        <v>6.2087044086968236E-3</v>
      </c>
      <c r="CL41" s="46">
        <f t="shared" si="50"/>
        <v>2.7369801026529648</v>
      </c>
      <c r="CM41" s="159">
        <f t="shared" si="51"/>
        <v>1.4904080438115295</v>
      </c>
      <c r="CO41" s="46">
        <f t="shared" si="120"/>
        <v>6.0198679694221944E-3</v>
      </c>
      <c r="CP41" s="159">
        <f t="shared" si="121"/>
        <v>2.754681372571643E-3</v>
      </c>
    </row>
    <row r="42" spans="1:128" ht="14.45">
      <c r="A42" s="245"/>
      <c r="B42" s="20" t="s">
        <v>270</v>
      </c>
      <c r="C42" s="21">
        <v>2</v>
      </c>
      <c r="D42" s="21">
        <v>1.2</v>
      </c>
      <c r="E42" s="21">
        <v>-2</v>
      </c>
      <c r="F42" s="11">
        <v>100100</v>
      </c>
      <c r="G42" s="11">
        <v>25.2</v>
      </c>
      <c r="H42" s="52">
        <v>372.6</v>
      </c>
      <c r="I42" s="46">
        <v>0.5</v>
      </c>
      <c r="J42" s="159">
        <f t="shared" si="92"/>
        <v>1.3419216317767041E-3</v>
      </c>
      <c r="K42" s="55">
        <v>25.1</v>
      </c>
      <c r="L42" s="3">
        <v>0.01</v>
      </c>
      <c r="M42" s="51">
        <v>-12.601100000000001</v>
      </c>
      <c r="N42" s="3">
        <v>5.0000000000000002E-5</v>
      </c>
      <c r="O42" s="51">
        <v>3.8233999999999999</v>
      </c>
      <c r="P42" s="3">
        <v>5.0000000000000002E-5</v>
      </c>
      <c r="Q42" s="51">
        <v>-2.4456000000000002</v>
      </c>
      <c r="R42" s="52">
        <v>5.0000000000000002E-5</v>
      </c>
      <c r="S42" s="12">
        <v>0.75560000000000005</v>
      </c>
      <c r="T42" s="11">
        <v>0.3392</v>
      </c>
      <c r="U42" s="28">
        <v>0.1198</v>
      </c>
      <c r="W42" s="11">
        <f t="shared" si="93"/>
        <v>-5.996301910150701E-2</v>
      </c>
      <c r="X42" s="11">
        <f t="shared" si="94"/>
        <v>8.8716848877962023E-2</v>
      </c>
      <c r="Y42" s="11">
        <f t="shared" si="95"/>
        <v>-4.898593392214589E-2</v>
      </c>
      <c r="AA42" s="46">
        <f t="shared" si="96"/>
        <v>12.601100000000001</v>
      </c>
      <c r="AB42" s="11">
        <f t="shared" si="97"/>
        <v>3.8233999999999999</v>
      </c>
      <c r="AC42" s="159">
        <f t="shared" si="98"/>
        <v>2.4456000000000002</v>
      </c>
      <c r="AD42" s="242"/>
      <c r="AF42" s="46">
        <f t="shared" si="99"/>
        <v>12.584728021397217</v>
      </c>
      <c r="AG42" s="11">
        <f t="shared" si="100"/>
        <v>2.2600483557074029</v>
      </c>
      <c r="AH42" s="159">
        <f t="shared" si="101"/>
        <v>2.326250202315244</v>
      </c>
      <c r="AI42" s="242"/>
      <c r="AK42" s="46">
        <f t="shared" si="102"/>
        <v>12.534637100955633</v>
      </c>
      <c r="AL42" s="11">
        <f t="shared" si="103"/>
        <v>2.5231073480972968</v>
      </c>
      <c r="AM42" s="159">
        <f t="shared" si="65"/>
        <v>0.63040116072674968</v>
      </c>
      <c r="AN42" s="46">
        <f t="shared" si="104"/>
        <v>0.76253795325802798</v>
      </c>
      <c r="AO42" s="11">
        <f t="shared" si="105"/>
        <v>0.35494970029853212</v>
      </c>
      <c r="AP42" s="159">
        <f t="shared" si="26"/>
        <v>-4.4060000000000071E-3</v>
      </c>
      <c r="AR42" s="11">
        <f t="shared" si="106"/>
        <v>0.26214243904034412</v>
      </c>
      <c r="AS42" s="11">
        <f t="shared" si="107"/>
        <v>5.2766865834545311E-2</v>
      </c>
      <c r="AT42" s="23">
        <f t="shared" si="108"/>
        <v>8.3442150463202733E-2</v>
      </c>
      <c r="AU42" s="46">
        <f t="shared" si="27"/>
        <v>1.6299069877692512E-2</v>
      </c>
      <c r="AV42" s="11">
        <f t="shared" si="28"/>
        <v>7.494029904382072E-3</v>
      </c>
      <c r="AW42" s="159">
        <f t="shared" si="29"/>
        <v>-4.7122107876751743E-4</v>
      </c>
      <c r="AY42" s="11">
        <f t="shared" si="30"/>
        <v>0.24641389269792346</v>
      </c>
      <c r="AZ42" s="11">
        <f t="shared" si="109"/>
        <v>4.9600853884472593E-2</v>
      </c>
      <c r="BA42" s="23">
        <f t="shared" si="110"/>
        <v>7.8435621435410566E-2</v>
      </c>
      <c r="BB42" s="46">
        <f t="shared" si="32"/>
        <v>1.532112568503096E-2</v>
      </c>
      <c r="BC42" s="11">
        <f t="shared" si="33"/>
        <v>7.0443881101191468E-3</v>
      </c>
      <c r="BD42" s="159">
        <f t="shared" si="34"/>
        <v>-4.4294781404146636E-4</v>
      </c>
      <c r="BF42" s="11">
        <f t="shared" si="122"/>
        <v>0.24641389269792346</v>
      </c>
      <c r="BG42" s="11">
        <f t="shared" si="111"/>
        <v>2.7600853884472594E-2</v>
      </c>
      <c r="BH42" s="23">
        <f t="shared" si="123"/>
        <v>7.8435621435410566E-2</v>
      </c>
      <c r="BI42" s="46">
        <f t="shared" si="36"/>
        <v>1.532112568503096E-2</v>
      </c>
      <c r="BJ42" s="11">
        <f t="shared" si="37"/>
        <v>7.0443881101191468E-3</v>
      </c>
      <c r="BK42" s="159">
        <f t="shared" si="38"/>
        <v>-4.4294781404146636E-4</v>
      </c>
      <c r="BM42" s="204">
        <f t="shared" si="112"/>
        <v>2.2045235309392766</v>
      </c>
      <c r="BN42" s="219">
        <f t="shared" si="39"/>
        <v>1.532112568503096E-2</v>
      </c>
      <c r="BP42" s="11">
        <f t="shared" si="40"/>
        <v>0.24641389269792346</v>
      </c>
      <c r="BQ42" s="11">
        <f t="shared" si="113"/>
        <v>2.8511650982190752E-2</v>
      </c>
      <c r="BR42" s="23">
        <f t="shared" si="42"/>
        <v>7.8435621435410566E-2</v>
      </c>
      <c r="BS42" s="46">
        <f t="shared" si="43"/>
        <v>1.532112568503096E-2</v>
      </c>
      <c r="BT42" s="11">
        <f t="shared" si="114"/>
        <v>7.5040218806700755E-3</v>
      </c>
      <c r="BU42" s="159">
        <f t="shared" si="45"/>
        <v>-4.4294781404146636E-4</v>
      </c>
      <c r="BW42" s="11">
        <f t="shared" si="124"/>
        <v>0.26173501838295443</v>
      </c>
      <c r="BX42" s="11">
        <f t="shared" si="125"/>
        <v>7.8878569249452038E-2</v>
      </c>
      <c r="BZ42" s="23">
        <f t="shared" si="115"/>
        <v>0.10226176546963824</v>
      </c>
      <c r="CA42" s="174">
        <f t="shared" si="126"/>
        <v>6.3582671592878484E-3</v>
      </c>
      <c r="CE42" s="210">
        <f t="shared" si="116"/>
        <v>0.24641389269792346</v>
      </c>
      <c r="CF42" s="210">
        <f t="shared" si="117"/>
        <v>2.8511650982190752E-2</v>
      </c>
      <c r="CG42" s="211">
        <f t="shared" si="127"/>
        <v>8.2014783226847909E-2</v>
      </c>
      <c r="CH42" s="205">
        <f t="shared" si="118"/>
        <v>1.532112568503096E-2</v>
      </c>
      <c r="CI42" s="203">
        <f t="shared" si="119"/>
        <v>7.5040218806700755E-3</v>
      </c>
      <c r="CJ42" s="206">
        <f t="shared" si="128"/>
        <v>-2.3939647515971448E-4</v>
      </c>
      <c r="CL42" s="46">
        <f t="shared" si="50"/>
        <v>8.6425683609778012</v>
      </c>
      <c r="CM42" s="159">
        <f t="shared" si="51"/>
        <v>2.812013510584678</v>
      </c>
      <c r="CO42" s="46">
        <f t="shared" si="120"/>
        <v>6.0719806514543742E-2</v>
      </c>
      <c r="CP42" s="159">
        <f t="shared" si="121"/>
        <v>7.5506764411252363E-3</v>
      </c>
    </row>
    <row r="43" spans="1:128" ht="14.45">
      <c r="A43" s="245"/>
      <c r="B43" s="20" t="s">
        <v>271</v>
      </c>
      <c r="C43" s="21">
        <v>4</v>
      </c>
      <c r="D43" s="21">
        <v>3.2</v>
      </c>
      <c r="E43" s="21">
        <v>-2</v>
      </c>
      <c r="F43" s="11">
        <v>100100</v>
      </c>
      <c r="G43" s="11">
        <v>25.3</v>
      </c>
      <c r="H43" s="52">
        <v>372.2</v>
      </c>
      <c r="I43" s="46">
        <v>0.2</v>
      </c>
      <c r="J43" s="159">
        <f t="shared" si="92"/>
        <v>5.3734551316496511E-4</v>
      </c>
      <c r="K43" s="55">
        <v>25.09</v>
      </c>
      <c r="L43" s="3">
        <v>0.02</v>
      </c>
      <c r="M43" s="51">
        <v>-21.084399999999999</v>
      </c>
      <c r="N43" s="3">
        <v>5.0000000000000002E-5</v>
      </c>
      <c r="O43" s="51">
        <v>5.8803999999999998</v>
      </c>
      <c r="P43" s="3">
        <v>5.0000000000000002E-5</v>
      </c>
      <c r="Q43" s="51">
        <v>-3.3580999999999999</v>
      </c>
      <c r="R43" s="52">
        <v>5.0000000000000002E-5</v>
      </c>
      <c r="S43" s="12">
        <v>0.73699999999999999</v>
      </c>
      <c r="T43" s="11">
        <v>0.3417</v>
      </c>
      <c r="U43" s="28">
        <v>0.1542</v>
      </c>
      <c r="W43" s="11">
        <f t="shared" si="93"/>
        <v>-3.4954753277304552E-2</v>
      </c>
      <c r="X43" s="11">
        <f t="shared" si="94"/>
        <v>5.8108291952928375E-2</v>
      </c>
      <c r="Y43" s="11">
        <f t="shared" si="95"/>
        <v>-4.5918823144039785E-2</v>
      </c>
      <c r="AA43" s="46">
        <f t="shared" si="96"/>
        <v>21.084399999999999</v>
      </c>
      <c r="AB43" s="11">
        <f t="shared" si="97"/>
        <v>5.8803999999999998</v>
      </c>
      <c r="AC43" s="159">
        <f t="shared" si="98"/>
        <v>3.3580999999999999</v>
      </c>
      <c r="AD43" s="242"/>
      <c r="AF43" s="46">
        <f t="shared" si="99"/>
        <v>20.968003046184883</v>
      </c>
      <c r="AG43" s="11">
        <f t="shared" si="100"/>
        <v>1.7133246522603214</v>
      </c>
      <c r="AH43" s="159">
        <f t="shared" si="101"/>
        <v>3.0396830750606556</v>
      </c>
      <c r="AI43" s="242"/>
      <c r="AK43" s="46">
        <f t="shared" si="102"/>
        <v>20.839668624171882</v>
      </c>
      <c r="AL43" s="11">
        <f t="shared" si="103"/>
        <v>2.8811186618339053</v>
      </c>
      <c r="AM43" s="159">
        <f t="shared" si="65"/>
        <v>0.43989701300075856</v>
      </c>
      <c r="AN43" s="46">
        <f t="shared" si="104"/>
        <v>0.75492505145828415</v>
      </c>
      <c r="AO43" s="11">
        <f t="shared" si="105"/>
        <v>0.38230765830094465</v>
      </c>
      <c r="AP43" s="159">
        <f t="shared" si="26"/>
        <v>3.1858000000000004E-2</v>
      </c>
      <c r="AR43" s="11">
        <f t="shared" si="106"/>
        <v>0.43629763778991287</v>
      </c>
      <c r="AS43" s="11">
        <f t="shared" si="107"/>
        <v>6.0318870180716168E-2</v>
      </c>
      <c r="AT43" s="23">
        <f t="shared" si="108"/>
        <v>5.828891600198121E-2</v>
      </c>
      <c r="AU43" s="46">
        <f t="shared" si="27"/>
        <v>1.6039493157312817E-2</v>
      </c>
      <c r="AV43" s="11">
        <f t="shared" si="28"/>
        <v>8.0363746723999974E-3</v>
      </c>
      <c r="AW43" s="159">
        <f t="shared" si="29"/>
        <v>4.2526918153774412E-3</v>
      </c>
      <c r="AY43" s="11">
        <f t="shared" si="30"/>
        <v>0.4101197795225181</v>
      </c>
      <c r="AZ43" s="11">
        <f t="shared" si="109"/>
        <v>5.6699737969873196E-2</v>
      </c>
      <c r="BA43" s="23">
        <f t="shared" si="110"/>
        <v>5.4791581041862332E-2</v>
      </c>
      <c r="BB43" s="46">
        <f t="shared" si="32"/>
        <v>1.5077123567874048E-2</v>
      </c>
      <c r="BC43" s="11">
        <f t="shared" si="33"/>
        <v>7.5541921920559973E-3</v>
      </c>
      <c r="BD43" s="159">
        <f t="shared" si="34"/>
        <v>3.9975303064547947E-3</v>
      </c>
      <c r="BF43" s="11">
        <f t="shared" si="122"/>
        <v>0.4101197795225181</v>
      </c>
      <c r="BG43" s="11">
        <f t="shared" si="111"/>
        <v>3.4699737969873197E-2</v>
      </c>
      <c r="BH43" s="23">
        <f t="shared" si="123"/>
        <v>5.4791581041862332E-2</v>
      </c>
      <c r="BI43" s="46">
        <f t="shared" si="36"/>
        <v>1.5077123567874048E-2</v>
      </c>
      <c r="BJ43" s="11">
        <f t="shared" si="37"/>
        <v>7.5541921920559973E-3</v>
      </c>
      <c r="BK43" s="159">
        <f t="shared" si="38"/>
        <v>3.9975303064547947E-3</v>
      </c>
      <c r="BM43" s="204">
        <f t="shared" si="112"/>
        <v>4.3403994170036899</v>
      </c>
      <c r="BN43" s="219">
        <f t="shared" si="39"/>
        <v>1.5077123567874048E-2</v>
      </c>
      <c r="BP43" s="11">
        <f t="shared" si="40"/>
        <v>0.4101197795225181</v>
      </c>
      <c r="BQ43" s="11">
        <f t="shared" si="113"/>
        <v>3.722271147320718E-2</v>
      </c>
      <c r="BR43" s="23">
        <f t="shared" si="42"/>
        <v>5.4791581041862332E-2</v>
      </c>
      <c r="BS43" s="46">
        <f t="shared" si="43"/>
        <v>1.5077123567874048E-2</v>
      </c>
      <c r="BT43" s="11">
        <f t="shared" si="114"/>
        <v>8.0065058990922196E-3</v>
      </c>
      <c r="BU43" s="159">
        <f t="shared" si="45"/>
        <v>3.9975303064547947E-3</v>
      </c>
      <c r="BW43" s="11">
        <f t="shared" si="124"/>
        <v>0.42519690309039215</v>
      </c>
      <c r="BX43" s="11">
        <f t="shared" si="125"/>
        <v>5.878911134831713E-2</v>
      </c>
      <c r="BZ43" s="23">
        <f t="shared" si="115"/>
        <v>2.170199708501845</v>
      </c>
      <c r="CA43" s="174">
        <f t="shared" si="126"/>
        <v>6.2570062806677294E-3</v>
      </c>
      <c r="CE43" s="210">
        <f t="shared" si="116"/>
        <v>0.4101197795225181</v>
      </c>
      <c r="CF43" s="210">
        <f t="shared" si="117"/>
        <v>3.722271147320718E-2</v>
      </c>
      <c r="CG43" s="211">
        <f t="shared" si="127"/>
        <v>6.0748570839426905E-2</v>
      </c>
      <c r="CH43" s="205">
        <f t="shared" si="118"/>
        <v>1.5077123567874048E-2</v>
      </c>
      <c r="CI43" s="203">
        <f t="shared" si="119"/>
        <v>8.0065058990922196E-3</v>
      </c>
      <c r="CJ43" s="206">
        <f t="shared" si="128"/>
        <v>4.4877005387224458E-3</v>
      </c>
      <c r="CL43" s="46">
        <f t="shared" si="50"/>
        <v>11.017998509262856</v>
      </c>
      <c r="CM43" s="159">
        <f t="shared" si="51"/>
        <v>2.7749938019111342</v>
      </c>
      <c r="CO43" s="46">
        <f t="shared" si="120"/>
        <v>0.16819823355559885</v>
      </c>
      <c r="CP43" s="159">
        <f t="shared" si="121"/>
        <v>1.2366853186980532E-2</v>
      </c>
    </row>
    <row r="44" spans="1:128" ht="14.45">
      <c r="A44" s="245"/>
      <c r="B44" s="20" t="s">
        <v>272</v>
      </c>
      <c r="C44" s="21">
        <v>6</v>
      </c>
      <c r="D44" s="21">
        <v>5.2</v>
      </c>
      <c r="E44" s="21">
        <v>-2</v>
      </c>
      <c r="F44" s="11">
        <v>100100</v>
      </c>
      <c r="G44" s="11">
        <v>25.3</v>
      </c>
      <c r="H44" s="52">
        <v>371.4</v>
      </c>
      <c r="I44" s="46">
        <v>0.3</v>
      </c>
      <c r="J44" s="159">
        <f t="shared" si="92"/>
        <v>8.0775444264943462E-4</v>
      </c>
      <c r="K44" s="55">
        <v>25.06</v>
      </c>
      <c r="L44" s="3">
        <v>0.01</v>
      </c>
      <c r="M44" s="51">
        <v>-29.099399999999999</v>
      </c>
      <c r="N44" s="3">
        <v>5.0000000000000002E-5</v>
      </c>
      <c r="O44" s="51">
        <v>7.3667999999999996</v>
      </c>
      <c r="P44" s="3">
        <v>5.0000000000000002E-5</v>
      </c>
      <c r="Q44" s="51">
        <v>-4.2156000000000002</v>
      </c>
      <c r="R44" s="52">
        <v>5.0000000000000002E-5</v>
      </c>
      <c r="S44" s="12">
        <v>0.56540000000000001</v>
      </c>
      <c r="T44" s="11">
        <v>0.2422</v>
      </c>
      <c r="U44" s="28">
        <v>8.1100000000000005E-2</v>
      </c>
      <c r="W44" s="11">
        <f t="shared" si="93"/>
        <v>-1.9429953882210631E-2</v>
      </c>
      <c r="X44" s="11">
        <f t="shared" si="94"/>
        <v>3.2877232991258082E-2</v>
      </c>
      <c r="Y44" s="11">
        <f t="shared" si="95"/>
        <v>-1.9238068127905874E-2</v>
      </c>
      <c r="AA44" s="46">
        <f t="shared" si="96"/>
        <v>29.099399999999999</v>
      </c>
      <c r="AB44" s="11">
        <f t="shared" si="97"/>
        <v>7.3667999999999996</v>
      </c>
      <c r="AC44" s="159">
        <f t="shared" si="98"/>
        <v>4.2156000000000002</v>
      </c>
      <c r="AD44" s="242"/>
      <c r="AF44" s="46">
        <f t="shared" si="99"/>
        <v>28.792170356682185</v>
      </c>
      <c r="AG44" s="11">
        <f t="shared" si="100"/>
        <v>0.60107788823570996</v>
      </c>
      <c r="AH44" s="159">
        <f t="shared" si="101"/>
        <v>3.6981404569242478</v>
      </c>
      <c r="AI44" s="242"/>
      <c r="AK44" s="46">
        <f t="shared" si="102"/>
        <v>28.61919602060237</v>
      </c>
      <c r="AL44" s="11">
        <f t="shared" si="103"/>
        <v>3.2081127801671241</v>
      </c>
      <c r="AM44" s="159">
        <f t="shared" si="65"/>
        <v>0.32092229819986812</v>
      </c>
      <c r="AN44" s="46">
        <f t="shared" si="104"/>
        <v>0.58502424990137203</v>
      </c>
      <c r="AO44" s="11">
        <f t="shared" si="105"/>
        <v>0.29244686218861293</v>
      </c>
      <c r="AP44" s="159">
        <f t="shared" si="26"/>
        <v>-1.0563000000000003E-2</v>
      </c>
      <c r="AR44" s="11">
        <f t="shared" si="106"/>
        <v>0.60045981954727967</v>
      </c>
      <c r="AS44" s="11">
        <f t="shared" si="107"/>
        <v>6.7309466683820846E-2</v>
      </c>
      <c r="AT44" s="23">
        <f t="shared" si="108"/>
        <v>4.2615670788985593E-2</v>
      </c>
      <c r="AU44" s="46">
        <f t="shared" si="27"/>
        <v>1.2759427437464825E-2</v>
      </c>
      <c r="AV44" s="11">
        <f t="shared" si="28"/>
        <v>6.1902019169648298E-3</v>
      </c>
      <c r="AW44" s="159">
        <f t="shared" si="29"/>
        <v>-1.3682508992629455E-3</v>
      </c>
      <c r="AY44" s="11">
        <f t="shared" si="30"/>
        <v>0.5644322303744429</v>
      </c>
      <c r="AZ44" s="11">
        <f t="shared" si="109"/>
        <v>6.3270898682791593E-2</v>
      </c>
      <c r="BA44" s="23">
        <f t="shared" si="110"/>
        <v>4.0058730541646458E-2</v>
      </c>
      <c r="BB44" s="46">
        <f t="shared" si="32"/>
        <v>1.1993861791216935E-2</v>
      </c>
      <c r="BC44" s="11">
        <f t="shared" si="33"/>
        <v>5.8187898019469398E-3</v>
      </c>
      <c r="BD44" s="159">
        <f t="shared" si="34"/>
        <v>-1.2861558453071686E-3</v>
      </c>
      <c r="BF44" s="11">
        <f t="shared" si="122"/>
        <v>0.5644322303744429</v>
      </c>
      <c r="BG44" s="11">
        <f t="shared" si="111"/>
        <v>4.1270898682791594E-2</v>
      </c>
      <c r="BH44" s="23">
        <f t="shared" si="123"/>
        <v>4.0058730541646458E-2</v>
      </c>
      <c r="BI44" s="46">
        <f t="shared" si="36"/>
        <v>1.1993861791216935E-2</v>
      </c>
      <c r="BJ44" s="11">
        <f t="shared" si="37"/>
        <v>5.8187898019469398E-3</v>
      </c>
      <c r="BK44" s="159">
        <f t="shared" si="38"/>
        <v>-1.2861558453071686E-3</v>
      </c>
      <c r="BM44" s="204">
        <f t="shared" si="112"/>
        <v>6.468478751210788</v>
      </c>
      <c r="BN44" s="219">
        <f t="shared" si="39"/>
        <v>1.1993861791216935E-2</v>
      </c>
      <c r="BP44" s="11">
        <f t="shared" si="40"/>
        <v>0.5644322303744429</v>
      </c>
      <c r="BQ44" s="11">
        <f t="shared" si="113"/>
        <v>4.6049654823073619E-2</v>
      </c>
      <c r="BR44" s="23">
        <f t="shared" si="42"/>
        <v>4.0058730541646458E-2</v>
      </c>
      <c r="BS44" s="46">
        <f t="shared" si="43"/>
        <v>1.1993861791216935E-2</v>
      </c>
      <c r="BT44" s="11">
        <f t="shared" si="114"/>
        <v>6.1786056556834478E-3</v>
      </c>
      <c r="BU44" s="159">
        <f t="shared" si="45"/>
        <v>-1.2861558453071686E-3</v>
      </c>
      <c r="BW44" s="11">
        <f t="shared" si="124"/>
        <v>0.57642609216565988</v>
      </c>
      <c r="BX44" s="11">
        <f t="shared" si="125"/>
        <v>4.1344886386953626E-2</v>
      </c>
      <c r="BZ44" s="23">
        <f t="shared" si="115"/>
        <v>4.2342393756053935</v>
      </c>
      <c r="CA44" s="174">
        <f t="shared" si="126"/>
        <v>4.9774526433550284E-3</v>
      </c>
      <c r="CE44" s="210">
        <f t="shared" si="116"/>
        <v>0.5644322303744429</v>
      </c>
      <c r="CF44" s="210">
        <f t="shared" si="117"/>
        <v>4.6049654823073619E-2</v>
      </c>
      <c r="CG44" s="211">
        <f t="shared" si="127"/>
        <v>4.825710868783524E-2</v>
      </c>
      <c r="CH44" s="205">
        <f t="shared" si="118"/>
        <v>1.1993861791216935E-2</v>
      </c>
      <c r="CI44" s="203">
        <f t="shared" si="119"/>
        <v>6.1786056556834478E-3</v>
      </c>
      <c r="CJ44" s="206">
        <f t="shared" si="128"/>
        <v>-4.8436928946878576E-4</v>
      </c>
      <c r="CL44" s="46">
        <f t="shared" si="50"/>
        <v>12.257034988493089</v>
      </c>
      <c r="CM44" s="159">
        <f t="shared" si="51"/>
        <v>1.9050142249725326</v>
      </c>
      <c r="CO44" s="46">
        <f t="shared" si="120"/>
        <v>0.31858374268546819</v>
      </c>
      <c r="CP44" s="159">
        <f t="shared" si="121"/>
        <v>1.3539444323238772E-2</v>
      </c>
    </row>
    <row r="45" spans="1:128" ht="14.45">
      <c r="A45" s="245"/>
      <c r="B45" s="20" t="s">
        <v>273</v>
      </c>
      <c r="C45" s="21">
        <v>8</v>
      </c>
      <c r="D45" s="21">
        <v>7.2</v>
      </c>
      <c r="E45" s="21">
        <v>-2</v>
      </c>
      <c r="F45" s="11">
        <v>100100</v>
      </c>
      <c r="G45" s="11">
        <v>25.3</v>
      </c>
      <c r="H45" s="52">
        <v>371.1</v>
      </c>
      <c r="I45" s="46">
        <v>0.3</v>
      </c>
      <c r="J45" s="159">
        <f t="shared" si="92"/>
        <v>8.0840743734842356E-4</v>
      </c>
      <c r="K45" s="55">
        <v>25.05</v>
      </c>
      <c r="L45" s="3">
        <v>0.01</v>
      </c>
      <c r="M45" s="51">
        <v>-36.259799999999998</v>
      </c>
      <c r="N45" s="3">
        <v>5.0000000000000002E-5</v>
      </c>
      <c r="O45" s="51">
        <v>8.7897999999999996</v>
      </c>
      <c r="P45" s="3">
        <v>5.0000000000000002E-5</v>
      </c>
      <c r="Q45" s="51">
        <v>-4.8834999999999997</v>
      </c>
      <c r="R45" s="52">
        <v>5.0000000000000002E-5</v>
      </c>
      <c r="S45" s="12">
        <v>0.78439999999999999</v>
      </c>
      <c r="T45" s="11">
        <v>0.34899999999999998</v>
      </c>
      <c r="U45" s="28">
        <v>0.1196</v>
      </c>
      <c r="W45" s="11">
        <f t="shared" si="93"/>
        <v>-2.1632772381535475E-2</v>
      </c>
      <c r="X45" s="11">
        <f t="shared" si="94"/>
        <v>3.9705112744317275E-2</v>
      </c>
      <c r="Y45" s="11">
        <f t="shared" si="95"/>
        <v>-2.4490631719053958E-2</v>
      </c>
      <c r="AA45" s="46">
        <f t="shared" si="96"/>
        <v>36.259799999999998</v>
      </c>
      <c r="AB45" s="11">
        <f t="shared" si="97"/>
        <v>8.7897999999999996</v>
      </c>
      <c r="AC45" s="159">
        <f t="shared" si="98"/>
        <v>4.8834999999999997</v>
      </c>
      <c r="AD45" s="242"/>
      <c r="AF45" s="46">
        <f t="shared" si="99"/>
        <v>35.671162453125774</v>
      </c>
      <c r="AG45" s="11">
        <f t="shared" si="100"/>
        <v>-0.56632588557531349</v>
      </c>
      <c r="AH45" s="159">
        <f t="shared" si="101"/>
        <v>4.1672704917160166</v>
      </c>
      <c r="AI45" s="242"/>
      <c r="AK45" s="46">
        <f t="shared" si="102"/>
        <v>35.460864137213413</v>
      </c>
      <c r="AL45" s="11">
        <f t="shared" si="103"/>
        <v>3.9089218984336433</v>
      </c>
      <c r="AM45" s="159">
        <f t="shared" si="65"/>
        <v>0.12738265701983692</v>
      </c>
      <c r="AN45" s="46">
        <f t="shared" si="104"/>
        <v>0.8219560702250186</v>
      </c>
      <c r="AO45" s="11">
        <f t="shared" si="105"/>
        <v>0.44455941916659303</v>
      </c>
      <c r="AP45" s="159">
        <f t="shared" si="26"/>
        <v>-8.9960000000000109E-3</v>
      </c>
      <c r="AR45" s="11">
        <f t="shared" si="106"/>
        <v>0.74460642929417709</v>
      </c>
      <c r="AS45" s="11">
        <f t="shared" si="107"/>
        <v>8.2079454294178761E-2</v>
      </c>
      <c r="AT45" s="23">
        <f t="shared" si="108"/>
        <v>1.6928975779839026E-2</v>
      </c>
      <c r="AU45" s="46">
        <f t="shared" si="27"/>
        <v>1.7861360490512079E-2</v>
      </c>
      <c r="AV45" s="11">
        <f t="shared" si="28"/>
        <v>9.4012023475818877E-3</v>
      </c>
      <c r="AW45" s="159">
        <f t="shared" si="29"/>
        <v>-1.181870224883128E-3</v>
      </c>
      <c r="AY45" s="11">
        <f t="shared" si="30"/>
        <v>0.69993004353652644</v>
      </c>
      <c r="AZ45" s="11">
        <f t="shared" si="109"/>
        <v>7.715468703652803E-2</v>
      </c>
      <c r="BA45" s="23">
        <f t="shared" si="110"/>
        <v>1.5913237233048685E-2</v>
      </c>
      <c r="BB45" s="46">
        <f t="shared" si="32"/>
        <v>1.6789678861081354E-2</v>
      </c>
      <c r="BC45" s="11">
        <f t="shared" si="33"/>
        <v>8.8371302067269744E-3</v>
      </c>
      <c r="BD45" s="159">
        <f t="shared" si="34"/>
        <v>-1.1109580113901401E-3</v>
      </c>
      <c r="BF45" s="11">
        <f t="shared" si="122"/>
        <v>0.69993004353652644</v>
      </c>
      <c r="BG45" s="11">
        <f t="shared" si="111"/>
        <v>5.5154687036528031E-2</v>
      </c>
      <c r="BH45" s="23">
        <f t="shared" si="123"/>
        <v>1.5913237233048685E-2</v>
      </c>
      <c r="BI45" s="46">
        <f t="shared" si="36"/>
        <v>1.6789678861081354E-2</v>
      </c>
      <c r="BJ45" s="11">
        <f t="shared" si="37"/>
        <v>8.8371302067269744E-3</v>
      </c>
      <c r="BK45" s="159">
        <f t="shared" si="38"/>
        <v>-1.1109580113901401E-3</v>
      </c>
      <c r="BM45" s="204">
        <f t="shared" si="112"/>
        <v>8.5809419361353161</v>
      </c>
      <c r="BN45" s="219">
        <f t="shared" si="39"/>
        <v>1.6789678861081354E-2</v>
      </c>
      <c r="BP45" s="11">
        <f t="shared" si="40"/>
        <v>0.69993004353652644</v>
      </c>
      <c r="BQ45" s="11">
        <f t="shared" si="113"/>
        <v>6.2503218024203694E-2</v>
      </c>
      <c r="BR45" s="23">
        <f t="shared" si="42"/>
        <v>1.5913237233048685E-2</v>
      </c>
      <c r="BS45" s="46">
        <f t="shared" si="43"/>
        <v>1.6789678861081354E-2</v>
      </c>
      <c r="BT45" s="11">
        <f t="shared" si="114"/>
        <v>9.3408205725594145E-3</v>
      </c>
      <c r="BU45" s="159">
        <f t="shared" si="45"/>
        <v>-1.1109580113901401E-3</v>
      </c>
      <c r="BW45" s="11">
        <f t="shared" si="124"/>
        <v>0.71671972239760784</v>
      </c>
      <c r="BX45" s="11">
        <f t="shared" si="125"/>
        <v>1.7024195244438826E-2</v>
      </c>
      <c r="BZ45" s="23">
        <f t="shared" si="115"/>
        <v>6.290470968067658</v>
      </c>
      <c r="CA45" s="174">
        <f t="shared" si="126"/>
        <v>6.9677167273487616E-3</v>
      </c>
      <c r="CE45" s="210">
        <f t="shared" si="116"/>
        <v>0.69993004353652644</v>
      </c>
      <c r="CF45" s="210">
        <f t="shared" si="117"/>
        <v>6.2503218024203694E-2</v>
      </c>
      <c r="CG45" s="211">
        <f t="shared" si="127"/>
        <v>2.6079721115416732E-2</v>
      </c>
      <c r="CH45" s="205">
        <f t="shared" si="118"/>
        <v>1.6789678861081354E-2</v>
      </c>
      <c r="CI45" s="203">
        <f t="shared" si="119"/>
        <v>9.3408205725594145E-3</v>
      </c>
      <c r="CJ45" s="206">
        <f t="shared" si="128"/>
        <v>-1.4453239656543495E-4</v>
      </c>
      <c r="CL45" s="46">
        <f t="shared" si="50"/>
        <v>11.198304113965557</v>
      </c>
      <c r="CM45" s="159">
        <f t="shared" si="51"/>
        <v>1.9421564544017589</v>
      </c>
      <c r="CO45" s="46">
        <f t="shared" si="120"/>
        <v>0.48990206584504381</v>
      </c>
      <c r="CP45" s="159">
        <f t="shared" si="121"/>
        <v>2.3503201312401939E-2</v>
      </c>
    </row>
    <row r="46" spans="1:128" ht="14.45">
      <c r="A46" s="245"/>
      <c r="B46" s="20" t="s">
        <v>274</v>
      </c>
      <c r="C46" s="21">
        <v>10</v>
      </c>
      <c r="D46" s="21">
        <v>9.1999999999999993</v>
      </c>
      <c r="E46" s="21">
        <v>-2</v>
      </c>
      <c r="F46" s="11">
        <v>100100</v>
      </c>
      <c r="G46" s="11">
        <v>25.4</v>
      </c>
      <c r="H46" s="52">
        <v>370.4</v>
      </c>
      <c r="I46" s="46">
        <v>0.3</v>
      </c>
      <c r="J46" s="159">
        <f t="shared" si="92"/>
        <v>8.0993520518358531E-4</v>
      </c>
      <c r="K46" s="55">
        <v>25.03</v>
      </c>
      <c r="L46" s="3">
        <v>0.01</v>
      </c>
      <c r="M46" s="51">
        <v>-42.408000000000001</v>
      </c>
      <c r="N46" s="3">
        <v>5.0000000000000002E-5</v>
      </c>
      <c r="O46" s="51">
        <v>10.014699999999999</v>
      </c>
      <c r="P46" s="3">
        <v>5.0000000000000002E-5</v>
      </c>
      <c r="Q46" s="51">
        <v>-5.3849999999999998</v>
      </c>
      <c r="R46" s="52">
        <v>5.0000000000000002E-5</v>
      </c>
      <c r="S46" s="12">
        <v>0.82569999999999999</v>
      </c>
      <c r="T46" s="11">
        <v>0.31309999999999999</v>
      </c>
      <c r="U46" s="28">
        <v>0.12130000000000001</v>
      </c>
      <c r="W46" s="11">
        <f t="shared" si="93"/>
        <v>-1.9470382946613844E-2</v>
      </c>
      <c r="X46" s="11">
        <f t="shared" si="94"/>
        <v>3.1264041858468053E-2</v>
      </c>
      <c r="Y46" s="11">
        <f t="shared" si="95"/>
        <v>-2.2525533890436399E-2</v>
      </c>
      <c r="AA46" s="46">
        <f t="shared" si="96"/>
        <v>42.408000000000001</v>
      </c>
      <c r="AB46" s="11">
        <f t="shared" si="97"/>
        <v>10.014699999999999</v>
      </c>
      <c r="AC46" s="159">
        <f t="shared" si="98"/>
        <v>5.3849999999999998</v>
      </c>
      <c r="AD46" s="242"/>
      <c r="AF46" s="46">
        <f t="shared" si="99"/>
        <v>41.447722187698545</v>
      </c>
      <c r="AG46" s="11">
        <f t="shared" si="100"/>
        <v>-1.9204306611954731</v>
      </c>
      <c r="AH46" s="159">
        <f t="shared" si="101"/>
        <v>4.4705236602390253</v>
      </c>
      <c r="AI46" s="242"/>
      <c r="AK46" s="46">
        <f t="shared" si="102"/>
        <v>41.221590411139296</v>
      </c>
      <c r="AL46" s="11">
        <f t="shared" si="103"/>
        <v>4.7309843002663108</v>
      </c>
      <c r="AM46" s="159">
        <f t="shared" si="65"/>
        <v>-8.4717018614805878E-2</v>
      </c>
      <c r="AN46" s="46">
        <f t="shared" si="104"/>
        <v>0.86513721393707954</v>
      </c>
      <c r="AO46" s="11">
        <f t="shared" si="105"/>
        <v>0.44108626127150052</v>
      </c>
      <c r="AP46" s="159">
        <f t="shared" si="26"/>
        <v>-8.0964999999999926E-3</v>
      </c>
      <c r="AR46" s="11">
        <f t="shared" si="106"/>
        <v>0.86720582679788516</v>
      </c>
      <c r="AS46" s="11">
        <f t="shared" si="107"/>
        <v>9.9528841821968583E-2</v>
      </c>
      <c r="AT46" s="23">
        <f t="shared" si="108"/>
        <v>-1.1280049881282473E-2</v>
      </c>
      <c r="AU46" s="46">
        <f t="shared" si="27"/>
        <v>1.8902843573581216E-2</v>
      </c>
      <c r="AV46" s="11">
        <f t="shared" si="28"/>
        <v>9.3600349550714036E-3</v>
      </c>
      <c r="AW46" s="159">
        <f t="shared" si="29"/>
        <v>-1.0871830634460323E-3</v>
      </c>
      <c r="AY46" s="11">
        <f t="shared" si="30"/>
        <v>0.81517347719001199</v>
      </c>
      <c r="AZ46" s="11">
        <f t="shared" si="109"/>
        <v>9.3557111312650459E-2</v>
      </c>
      <c r="BA46" s="23">
        <f t="shared" si="110"/>
        <v>-1.0603246888405523E-2</v>
      </c>
      <c r="BB46" s="46">
        <f t="shared" si="32"/>
        <v>1.7768672959166343E-2</v>
      </c>
      <c r="BC46" s="11">
        <f t="shared" si="33"/>
        <v>8.7984328577671196E-3</v>
      </c>
      <c r="BD46" s="159">
        <f t="shared" si="34"/>
        <v>-1.0219520796392702E-3</v>
      </c>
      <c r="BF46" s="11">
        <f t="shared" si="122"/>
        <v>0.81517347719001199</v>
      </c>
      <c r="BG46" s="11">
        <f t="shared" si="111"/>
        <v>7.1557111312650468E-2</v>
      </c>
      <c r="BH46" s="23">
        <f t="shared" si="123"/>
        <v>-1.0603246888405523E-2</v>
      </c>
      <c r="BI46" s="46">
        <f t="shared" si="36"/>
        <v>1.7768672959166343E-2</v>
      </c>
      <c r="BJ46" s="11">
        <f t="shared" si="37"/>
        <v>8.7984328577671196E-3</v>
      </c>
      <c r="BK46" s="159">
        <f t="shared" si="38"/>
        <v>-1.0219520796392702E-3</v>
      </c>
      <c r="BM46" s="204">
        <f t="shared" si="112"/>
        <v>10.67659398606771</v>
      </c>
      <c r="BN46" s="219">
        <f t="shared" si="39"/>
        <v>1.7768672959166343E-2</v>
      </c>
      <c r="BP46" s="11">
        <f t="shared" si="40"/>
        <v>0.81517347719001199</v>
      </c>
      <c r="BQ46" s="11">
        <f t="shared" si="113"/>
        <v>8.1524728281361286E-2</v>
      </c>
      <c r="BR46" s="23">
        <f t="shared" si="42"/>
        <v>-1.0603246888405523E-2</v>
      </c>
      <c r="BS46" s="46">
        <f t="shared" si="43"/>
        <v>1.7768672959166343E-2</v>
      </c>
      <c r="BT46" s="11">
        <f t="shared" si="114"/>
        <v>9.3314930465421102E-3</v>
      </c>
      <c r="BU46" s="159">
        <f t="shared" si="45"/>
        <v>-1.0219520796392702E-3</v>
      </c>
      <c r="BW46" s="11">
        <f t="shared" si="124"/>
        <v>0.83294215014917827</v>
      </c>
      <c r="BX46" s="11">
        <f t="shared" si="125"/>
        <v>-9.5812948087662525E-3</v>
      </c>
      <c r="BZ46" s="23">
        <f t="shared" si="115"/>
        <v>8.3382969930338557</v>
      </c>
      <c r="CA46" s="174">
        <f t="shared" si="126"/>
        <v>7.3739992780540321E-3</v>
      </c>
      <c r="CE46" s="210">
        <f t="shared" si="116"/>
        <v>0.81517347719001199</v>
      </c>
      <c r="CF46" s="210">
        <f t="shared" si="117"/>
        <v>8.1524728281361286E-2</v>
      </c>
      <c r="CG46" s="211">
        <f t="shared" si="127"/>
        <v>1.2371478677794014E-3</v>
      </c>
      <c r="CH46" s="205">
        <f t="shared" si="118"/>
        <v>1.7768672959166343E-2</v>
      </c>
      <c r="CI46" s="203">
        <f t="shared" si="119"/>
        <v>9.3314930465421102E-3</v>
      </c>
      <c r="CJ46" s="206">
        <f t="shared" si="128"/>
        <v>1.2952874993656972E-4</v>
      </c>
      <c r="CL46" s="46">
        <f t="shared" si="50"/>
        <v>9.9990946842123023</v>
      </c>
      <c r="CM46" s="159">
        <f t="shared" si="51"/>
        <v>1.3624719495324507</v>
      </c>
      <c r="CO46" s="46">
        <f t="shared" si="120"/>
        <v>0.66450779791405501</v>
      </c>
      <c r="CP46" s="159">
        <f t="shared" si="121"/>
        <v>2.8969101842351536E-2</v>
      </c>
    </row>
    <row r="47" spans="1:128" ht="14.45">
      <c r="A47" s="245"/>
      <c r="B47" s="20" t="s">
        <v>275</v>
      </c>
      <c r="C47" s="21">
        <v>11</v>
      </c>
      <c r="D47" s="21">
        <v>10.199999999999999</v>
      </c>
      <c r="E47" s="21">
        <v>-1</v>
      </c>
      <c r="F47" s="11">
        <v>100100</v>
      </c>
      <c r="G47" s="11">
        <v>25.4</v>
      </c>
      <c r="H47" s="52">
        <v>369.6</v>
      </c>
      <c r="I47" s="46">
        <v>0.2</v>
      </c>
      <c r="J47" s="159">
        <f t="shared" si="92"/>
        <v>5.4112554112554113E-4</v>
      </c>
      <c r="K47" s="55">
        <v>25</v>
      </c>
      <c r="L47" s="3">
        <v>0.01</v>
      </c>
      <c r="M47" s="51">
        <v>-45.393999999999998</v>
      </c>
      <c r="N47" s="3">
        <v>5.0000000000000002E-5</v>
      </c>
      <c r="O47" s="51">
        <v>10.521800000000001</v>
      </c>
      <c r="P47" s="3">
        <v>5.0000000000000002E-5</v>
      </c>
      <c r="Q47" s="51">
        <v>-5.5914000000000001</v>
      </c>
      <c r="R47" s="52">
        <v>5.0000000000000002E-5</v>
      </c>
      <c r="S47" s="12">
        <v>0.94010000000000005</v>
      </c>
      <c r="T47" s="11">
        <v>0.29459999999999997</v>
      </c>
      <c r="U47" s="28">
        <v>0.1356</v>
      </c>
      <c r="W47" s="11">
        <f t="shared" si="93"/>
        <v>-2.0709785434198352E-2</v>
      </c>
      <c r="X47" s="11">
        <f t="shared" si="94"/>
        <v>2.7999011575966085E-2</v>
      </c>
      <c r="Y47" s="11">
        <f t="shared" si="95"/>
        <v>-2.4251529134027255E-2</v>
      </c>
      <c r="AA47" s="46">
        <f t="shared" si="96"/>
        <v>45.393999999999998</v>
      </c>
      <c r="AB47" s="11">
        <f t="shared" si="97"/>
        <v>10.521800000000001</v>
      </c>
      <c r="AC47" s="159">
        <f t="shared" si="98"/>
        <v>5.5914000000000001</v>
      </c>
      <c r="AD47" s="242"/>
      <c r="AF47" s="46">
        <f t="shared" si="99"/>
        <v>44.214202134903907</v>
      </c>
      <c r="AG47" s="11">
        <f t="shared" si="100"/>
        <v>-2.6975758648568924</v>
      </c>
      <c r="AH47" s="159">
        <f t="shared" si="101"/>
        <v>4.5780752520811276</v>
      </c>
      <c r="AI47" s="242"/>
      <c r="AK47" s="46">
        <f t="shared" si="102"/>
        <v>43.99312307255726</v>
      </c>
      <c r="AL47" s="11">
        <f t="shared" si="103"/>
        <v>5.1747181851410406</v>
      </c>
      <c r="AM47" s="159">
        <f t="shared" si="65"/>
        <v>-0.20982464829856401</v>
      </c>
      <c r="AN47" s="46">
        <f t="shared" si="104"/>
        <v>0.97741145555003361</v>
      </c>
      <c r="AO47" s="11">
        <f t="shared" si="105"/>
        <v>0.45642139048217889</v>
      </c>
      <c r="AP47" s="159">
        <f t="shared" si="26"/>
        <v>-4.9175000000000121E-3</v>
      </c>
      <c r="AR47" s="11">
        <f t="shared" si="106"/>
        <v>0.9275156637305122</v>
      </c>
      <c r="AS47" s="11">
        <f t="shared" si="107"/>
        <v>0.1090996009579378</v>
      </c>
      <c r="AT47" s="23">
        <f t="shared" si="108"/>
        <v>-2.7998571620923302E-2</v>
      </c>
      <c r="AU47" s="46">
        <f t="shared" si="27"/>
        <v>2.1108860312860672E-2</v>
      </c>
      <c r="AV47" s="11">
        <f t="shared" si="28"/>
        <v>9.6818584983777711E-3</v>
      </c>
      <c r="AW47" s="159">
        <f t="shared" si="29"/>
        <v>-6.7133187757352042E-4</v>
      </c>
      <c r="AY47" s="11">
        <f t="shared" si="30"/>
        <v>0.87186472390668146</v>
      </c>
      <c r="AZ47" s="11">
        <f t="shared" si="109"/>
        <v>0.10255362490046153</v>
      </c>
      <c r="BA47" s="23">
        <f t="shared" si="110"/>
        <v>-2.6318657323667904E-2</v>
      </c>
      <c r="BB47" s="46">
        <f t="shared" si="32"/>
        <v>1.9842328694089029E-2</v>
      </c>
      <c r="BC47" s="11">
        <f t="shared" si="33"/>
        <v>9.1009469884751042E-3</v>
      </c>
      <c r="BD47" s="159">
        <f t="shared" si="34"/>
        <v>-6.3105196491910912E-4</v>
      </c>
      <c r="BF47" s="11">
        <f t="shared" si="122"/>
        <v>0.87186472390668146</v>
      </c>
      <c r="BG47" s="11">
        <f t="shared" si="111"/>
        <v>8.0553624900461529E-2</v>
      </c>
      <c r="BH47" s="23">
        <f t="shared" si="123"/>
        <v>-2.6318657323667904E-2</v>
      </c>
      <c r="BI47" s="46">
        <f t="shared" si="36"/>
        <v>1.9842328694089029E-2</v>
      </c>
      <c r="BJ47" s="11">
        <f t="shared" si="37"/>
        <v>9.1009469884751042E-3</v>
      </c>
      <c r="BK47" s="159">
        <f t="shared" si="38"/>
        <v>-6.3105196491910912E-4</v>
      </c>
      <c r="BM47" s="204">
        <f t="shared" si="112"/>
        <v>11.723647720842546</v>
      </c>
      <c r="BN47" s="219">
        <f t="shared" si="39"/>
        <v>1.9842328694089029E-2</v>
      </c>
      <c r="BP47" s="11">
        <f t="shared" si="40"/>
        <v>0.87186472390668146</v>
      </c>
      <c r="BQ47" s="11">
        <f t="shared" si="113"/>
        <v>9.1955846352354639E-2</v>
      </c>
      <c r="BR47" s="23">
        <f t="shared" si="42"/>
        <v>-2.6318657323667904E-2</v>
      </c>
      <c r="BS47" s="46">
        <f t="shared" si="43"/>
        <v>1.9842328694089029E-2</v>
      </c>
      <c r="BT47" s="11">
        <f t="shared" si="114"/>
        <v>9.696216849297775E-3</v>
      </c>
      <c r="BU47" s="159">
        <f t="shared" si="45"/>
        <v>-6.3105196491910912E-4</v>
      </c>
      <c r="BW47" s="11">
        <f t="shared" si="124"/>
        <v>0.89170705260077043</v>
      </c>
      <c r="BX47" s="11">
        <f t="shared" si="125"/>
        <v>-2.5687605358748793E-2</v>
      </c>
      <c r="BZ47" s="23">
        <f t="shared" si="115"/>
        <v>10.361823860421273</v>
      </c>
      <c r="CA47" s="174">
        <f t="shared" si="126"/>
        <v>8.2345664080469456E-3</v>
      </c>
      <c r="CE47" s="210">
        <f t="shared" si="116"/>
        <v>0.87186472390668146</v>
      </c>
      <c r="CF47" s="210">
        <f t="shared" si="117"/>
        <v>9.1955846352354639E-2</v>
      </c>
      <c r="CG47" s="211">
        <f t="shared" si="127"/>
        <v>-1.3654822208923355E-2</v>
      </c>
      <c r="CH47" s="205">
        <f t="shared" si="118"/>
        <v>1.9842328694089029E-2</v>
      </c>
      <c r="CI47" s="203">
        <f t="shared" si="119"/>
        <v>9.696216849297775E-3</v>
      </c>
      <c r="CJ47" s="206">
        <f t="shared" si="128"/>
        <v>5.8833762922121981E-4</v>
      </c>
      <c r="CL47" s="46">
        <f t="shared" si="50"/>
        <v>9.4813408662010144</v>
      </c>
      <c r="CM47" s="159">
        <f>CL47*(CH47/CE47+CI47/CF47)</f>
        <v>1.2155340871594373</v>
      </c>
      <c r="CO47" s="46">
        <f t="shared" si="120"/>
        <v>0.76014809679287387</v>
      </c>
      <c r="CP47" s="159">
        <f t="shared" si="121"/>
        <v>3.4599652857075107E-2</v>
      </c>
    </row>
    <row r="48" spans="1:128" ht="14.45">
      <c r="A48" s="245"/>
      <c r="B48" s="20" t="s">
        <v>276</v>
      </c>
      <c r="C48" s="21">
        <f>C47+1</f>
        <v>12</v>
      </c>
      <c r="D48" s="21">
        <f>C48-0.8</f>
        <v>11.2</v>
      </c>
      <c r="E48" s="21">
        <v>-1</v>
      </c>
      <c r="F48" s="11">
        <v>100100</v>
      </c>
      <c r="G48" s="11">
        <v>25.4</v>
      </c>
      <c r="H48" s="52">
        <v>368.5</v>
      </c>
      <c r="I48" s="46">
        <v>0.3</v>
      </c>
      <c r="J48" s="159">
        <f t="shared" si="92"/>
        <v>8.1411126187245586E-4</v>
      </c>
      <c r="K48" s="55">
        <v>24.97</v>
      </c>
      <c r="L48" s="3">
        <v>0.01</v>
      </c>
      <c r="M48" s="51">
        <v>-47.840699999999998</v>
      </c>
      <c r="N48" s="3">
        <v>5.0000000000000002E-5</v>
      </c>
      <c r="O48" s="51">
        <v>11.197800000000001</v>
      </c>
      <c r="P48" s="3">
        <v>5.0000000000000002E-5</v>
      </c>
      <c r="Q48" s="51">
        <v>-5.7778</v>
      </c>
      <c r="R48" s="52">
        <v>5.0000000000000002E-5</v>
      </c>
      <c r="S48" s="12">
        <v>1.0209999999999999</v>
      </c>
      <c r="T48" s="11">
        <v>0.3145</v>
      </c>
      <c r="U48" s="28">
        <v>0.112</v>
      </c>
      <c r="W48" s="11">
        <f t="shared" si="93"/>
        <v>-2.1341660970679775E-2</v>
      </c>
      <c r="X48" s="11">
        <f t="shared" si="94"/>
        <v>2.8085874010966436E-2</v>
      </c>
      <c r="Y48" s="11">
        <f t="shared" si="95"/>
        <v>-1.938454082868912E-2</v>
      </c>
      <c r="AA48" s="46">
        <f t="shared" si="96"/>
        <v>47.840699999999998</v>
      </c>
      <c r="AB48" s="11">
        <f t="shared" si="97"/>
        <v>11.197800000000001</v>
      </c>
      <c r="AC48" s="159">
        <f t="shared" si="98"/>
        <v>5.7778</v>
      </c>
      <c r="AD48" s="242"/>
      <c r="AF48" s="46">
        <f t="shared" si="99"/>
        <v>46.419002346817145</v>
      </c>
      <c r="AG48" s="11">
        <f t="shared" si="100"/>
        <v>-3.3017943185709075</v>
      </c>
      <c r="AH48" s="159">
        <f t="shared" si="101"/>
        <v>4.6658524464064657</v>
      </c>
      <c r="AI48" s="242"/>
      <c r="AK48" s="46">
        <f t="shared" si="102"/>
        <v>46.176281535605909</v>
      </c>
      <c r="AL48" s="11">
        <f t="shared" si="103"/>
        <v>5.7772526464075806</v>
      </c>
      <c r="AM48" s="159">
        <f t="shared" si="65"/>
        <v>-0.30913544843470675</v>
      </c>
      <c r="AN48" s="46">
        <f t="shared" si="104"/>
        <v>1.0626419170702057</v>
      </c>
      <c r="AO48" s="11">
        <f t="shared" si="105"/>
        <v>0.50682366895291209</v>
      </c>
      <c r="AP48" s="159">
        <f t="shared" si="26"/>
        <v>-4.000999999999999E-2</v>
      </c>
      <c r="AR48" s="11">
        <f t="shared" si="106"/>
        <v>0.97644972322951096</v>
      </c>
      <c r="AS48" s="11">
        <f t="shared" si="107"/>
        <v>0.12216654438192021</v>
      </c>
      <c r="AT48" s="23">
        <f t="shared" si="108"/>
        <v>-4.1373537058669294E-2</v>
      </c>
      <c r="AU48" s="46">
        <f t="shared" si="27"/>
        <v>2.3265704471154666E-2</v>
      </c>
      <c r="AV48" s="11">
        <f t="shared" si="28"/>
        <v>1.0816817129217358E-2</v>
      </c>
      <c r="AW48" s="159">
        <f t="shared" si="29"/>
        <v>-5.3884720471782154E-3</v>
      </c>
      <c r="AY48" s="11">
        <f t="shared" si="30"/>
        <v>0.91786273983574029</v>
      </c>
      <c r="AZ48" s="11">
        <f t="shared" si="109"/>
        <v>0.11483655171900499</v>
      </c>
      <c r="BA48" s="23">
        <f t="shared" si="110"/>
        <v>-3.8891124835149136E-2</v>
      </c>
      <c r="BB48" s="46">
        <f t="shared" si="32"/>
        <v>2.1869762202885383E-2</v>
      </c>
      <c r="BC48" s="11">
        <f t="shared" si="33"/>
        <v>1.0167808101464317E-2</v>
      </c>
      <c r="BD48" s="159">
        <f t="shared" si="34"/>
        <v>-5.0651637243475222E-3</v>
      </c>
      <c r="BF48" s="11">
        <f t="shared" si="122"/>
        <v>0.91786273983574029</v>
      </c>
      <c r="BG48" s="11">
        <f t="shared" si="111"/>
        <v>9.2836551719004984E-2</v>
      </c>
      <c r="BH48" s="23">
        <f t="shared" si="123"/>
        <v>-3.8891124835149136E-2</v>
      </c>
      <c r="BI48" s="46">
        <f t="shared" si="36"/>
        <v>2.1869762202885383E-2</v>
      </c>
      <c r="BJ48" s="11">
        <f t="shared" si="37"/>
        <v>1.0167808101464317E-2</v>
      </c>
      <c r="BK48" s="159">
        <f t="shared" si="38"/>
        <v>-5.0651637243475222E-3</v>
      </c>
      <c r="BM48" s="204">
        <f t="shared" si="112"/>
        <v>12.761826074063665</v>
      </c>
      <c r="BN48" s="219">
        <f t="shared" si="39"/>
        <v>2.1869762202885383E-2</v>
      </c>
      <c r="BP48" s="11">
        <f t="shared" si="40"/>
        <v>0.91786273983574029</v>
      </c>
      <c r="BQ48" s="11">
        <f t="shared" si="113"/>
        <v>0.10547363185668657</v>
      </c>
      <c r="BR48" s="23">
        <f t="shared" si="42"/>
        <v>-3.8891124835149136E-2</v>
      </c>
      <c r="BS48" s="46">
        <f t="shared" si="43"/>
        <v>2.1869762202885383E-2</v>
      </c>
      <c r="BT48" s="11">
        <f t="shared" si="114"/>
        <v>1.0823900967550879E-2</v>
      </c>
      <c r="BU48" s="159">
        <f t="shared" si="45"/>
        <v>-5.0651637243475222E-3</v>
      </c>
      <c r="BW48" s="11">
        <f t="shared" si="124"/>
        <v>0.93973250203862568</v>
      </c>
      <c r="BX48" s="11">
        <f t="shared" si="125"/>
        <v>-3.3825961110801613E-2</v>
      </c>
      <c r="BZ48" s="23">
        <f t="shared" si="115"/>
        <v>11.380913037031831</v>
      </c>
      <c r="CA48" s="174">
        <f t="shared" si="126"/>
        <v>9.0759513141974342E-3</v>
      </c>
      <c r="CE48" s="210">
        <f t="shared" si="116"/>
        <v>0.91786273983574029</v>
      </c>
      <c r="CF48" s="210">
        <f t="shared" si="117"/>
        <v>0.10547363185668657</v>
      </c>
      <c r="CG48" s="211">
        <f t="shared" si="127"/>
        <v>-2.5559168539035008E-2</v>
      </c>
      <c r="CH48" s="205">
        <f t="shared" si="118"/>
        <v>2.1869762202885383E-2</v>
      </c>
      <c r="CI48" s="203">
        <f t="shared" si="119"/>
        <v>1.0823900967550879E-2</v>
      </c>
      <c r="CJ48" s="206">
        <f t="shared" si="128"/>
        <v>-3.7956843660451297E-3</v>
      </c>
      <c r="CL48" s="46">
        <f t="shared" si="50"/>
        <v>8.7022957650960215</v>
      </c>
      <c r="CM48" s="159">
        <f t="shared" si="51"/>
        <v>1.10039398199849</v>
      </c>
      <c r="CO48" s="46">
        <f t="shared" si="120"/>
        <v>0.84247200917877185</v>
      </c>
      <c r="CP48" s="159">
        <f t="shared" si="121"/>
        <v>4.0146879710192984E-2</v>
      </c>
    </row>
    <row r="49" spans="1:134" ht="14.45">
      <c r="A49" s="245"/>
      <c r="B49" s="20" t="s">
        <v>277</v>
      </c>
      <c r="C49" s="21">
        <f t="shared" ref="C49:C54" si="129">C48+1</f>
        <v>13</v>
      </c>
      <c r="D49" s="21">
        <f t="shared" ref="D49:D54" si="130">C49-0.8</f>
        <v>12.2</v>
      </c>
      <c r="E49" s="21">
        <v>-1</v>
      </c>
      <c r="F49" s="11">
        <v>100100</v>
      </c>
      <c r="G49" s="11">
        <v>25.5</v>
      </c>
      <c r="H49" s="52">
        <v>367.9</v>
      </c>
      <c r="I49" s="46">
        <v>0.7</v>
      </c>
      <c r="J49" s="159">
        <f t="shared" si="92"/>
        <v>1.9026909486273443E-3</v>
      </c>
      <c r="K49" s="55">
        <v>24.95</v>
      </c>
      <c r="L49" s="3">
        <v>0.01</v>
      </c>
      <c r="M49" s="51">
        <v>-50.071899999999999</v>
      </c>
      <c r="N49" s="3">
        <v>5.0000000000000002E-5</v>
      </c>
      <c r="O49" s="51">
        <v>11.7699</v>
      </c>
      <c r="P49" s="3">
        <v>5.0000000000000002E-5</v>
      </c>
      <c r="Q49" s="51">
        <v>-5.9226000000000001</v>
      </c>
      <c r="R49" s="52">
        <v>5.0000000000000002E-5</v>
      </c>
      <c r="S49" s="12">
        <v>0.93520000000000003</v>
      </c>
      <c r="T49" s="11">
        <v>0.32040000000000002</v>
      </c>
      <c r="U49" s="28">
        <v>0.1081</v>
      </c>
      <c r="W49" s="11">
        <f t="shared" si="93"/>
        <v>-1.867714226941658E-2</v>
      </c>
      <c r="X49" s="11">
        <f t="shared" si="94"/>
        <v>2.7221981495169884E-2</v>
      </c>
      <c r="Y49" s="11">
        <f t="shared" si="95"/>
        <v>-1.8252119001789753E-2</v>
      </c>
      <c r="AA49" s="46">
        <f t="shared" si="96"/>
        <v>50.071899999999999</v>
      </c>
      <c r="AB49" s="11">
        <f t="shared" si="97"/>
        <v>11.7699</v>
      </c>
      <c r="AC49" s="159">
        <f t="shared" si="98"/>
        <v>5.9226000000000001</v>
      </c>
      <c r="AD49" s="242"/>
      <c r="AF49" s="46">
        <f t="shared" si="99"/>
        <v>48.385996508457055</v>
      </c>
      <c r="AG49" s="11">
        <f t="shared" si="100"/>
        <v>-4.0054960553947652</v>
      </c>
      <c r="AH49" s="159">
        <f t="shared" si="101"/>
        <v>4.7122870593245327</v>
      </c>
      <c r="AI49" s="242"/>
      <c r="AK49" s="46">
        <f t="shared" si="102"/>
        <v>48.139702686846626</v>
      </c>
      <c r="AL49" s="11">
        <f t="shared" si="103"/>
        <v>6.3101253543977283</v>
      </c>
      <c r="AM49" s="159">
        <f t="shared" si="65"/>
        <v>-0.41149797305460462</v>
      </c>
      <c r="AN49" s="46">
        <f t="shared" si="104"/>
        <v>0.98178780912066332</v>
      </c>
      <c r="AO49" s="11">
        <f t="shared" si="105"/>
        <v>0.51079500217434459</v>
      </c>
      <c r="AP49" s="159">
        <f t="shared" si="26"/>
        <v>-3.4692000000000008E-2</v>
      </c>
      <c r="AR49" s="11">
        <f t="shared" si="106"/>
        <v>1.0196286675179755</v>
      </c>
      <c r="AS49" s="11">
        <f t="shared" si="107"/>
        <v>0.13365235653468066</v>
      </c>
      <c r="AT49" s="23">
        <f t="shared" si="108"/>
        <v>-5.5163174032028854E-2</v>
      </c>
      <c r="AU49" s="46">
        <f t="shared" si="27"/>
        <v>2.2734911069807164E-2</v>
      </c>
      <c r="AV49" s="11">
        <f t="shared" si="28"/>
        <v>1.1073253097865289E-2</v>
      </c>
      <c r="AW49" s="159">
        <f t="shared" si="29"/>
        <v>-4.7555787880220529E-3</v>
      </c>
      <c r="AY49" s="11">
        <f t="shared" si="30"/>
        <v>0.95845094746689696</v>
      </c>
      <c r="AZ49" s="11">
        <f t="shared" si="109"/>
        <v>0.12563321514259981</v>
      </c>
      <c r="BA49" s="23">
        <f t="shared" si="110"/>
        <v>-5.1853383590107119E-2</v>
      </c>
      <c r="BB49" s="46">
        <f t="shared" si="32"/>
        <v>2.1370816405618734E-2</v>
      </c>
      <c r="BC49" s="11">
        <f t="shared" si="33"/>
        <v>1.040885791199337E-2</v>
      </c>
      <c r="BD49" s="159">
        <f t="shared" si="34"/>
        <v>-4.4702440607407292E-3</v>
      </c>
      <c r="BF49" s="11">
        <f t="shared" si="122"/>
        <v>0.95845094746689696</v>
      </c>
      <c r="BG49" s="11">
        <f t="shared" si="111"/>
        <v>0.10363321514259982</v>
      </c>
      <c r="BH49" s="23">
        <f t="shared" si="123"/>
        <v>-5.1853383590107119E-2</v>
      </c>
      <c r="BI49" s="46">
        <f t="shared" si="36"/>
        <v>2.1370816405618734E-2</v>
      </c>
      <c r="BJ49" s="11">
        <f t="shared" si="37"/>
        <v>1.040885791199337E-2</v>
      </c>
      <c r="BK49" s="159">
        <f t="shared" si="38"/>
        <v>-4.4702440607407292E-3</v>
      </c>
      <c r="BM49" s="204">
        <f t="shared" si="112"/>
        <v>13.795514286397525</v>
      </c>
      <c r="BN49" s="219">
        <f t="shared" si="39"/>
        <v>2.1370816405618734E-2</v>
      </c>
      <c r="BP49" s="11">
        <f t="shared" si="40"/>
        <v>0.95845094746689696</v>
      </c>
      <c r="BQ49" s="11">
        <f t="shared" si="113"/>
        <v>0.11741263842310271</v>
      </c>
      <c r="BR49" s="23">
        <f t="shared" si="42"/>
        <v>-5.1853383590107119E-2</v>
      </c>
      <c r="BS49" s="46">
        <f t="shared" si="43"/>
        <v>2.1370816405618734E-2</v>
      </c>
      <c r="BT49" s="11">
        <f t="shared" si="114"/>
        <v>1.1049982404161933E-2</v>
      </c>
      <c r="BU49" s="159">
        <f t="shared" si="45"/>
        <v>-4.4702440607407292E-3</v>
      </c>
      <c r="BW49" s="11">
        <f t="shared" si="124"/>
        <v>0.97982176387251574</v>
      </c>
      <c r="BX49" s="11">
        <f t="shared" si="125"/>
        <v>-4.7383139529366389E-2</v>
      </c>
      <c r="BZ49" s="23">
        <f t="shared" si="115"/>
        <v>12.397757143198762</v>
      </c>
      <c r="CA49" s="174">
        <f t="shared" si="126"/>
        <v>8.8688888083317749E-3</v>
      </c>
      <c r="CE49" s="210">
        <f t="shared" si="116"/>
        <v>0.95845094746689696</v>
      </c>
      <c r="CF49" s="210">
        <f t="shared" si="117"/>
        <v>0.11741263842310271</v>
      </c>
      <c r="CG49" s="211">
        <f t="shared" si="127"/>
        <v>-3.7931883578150444E-2</v>
      </c>
      <c r="CH49" s="205">
        <f t="shared" si="118"/>
        <v>2.1370816405618734E-2</v>
      </c>
      <c r="CI49" s="203">
        <f t="shared" si="119"/>
        <v>1.1049982404161933E-2</v>
      </c>
      <c r="CJ49" s="206">
        <f t="shared" si="128"/>
        <v>-3.1233337390374964E-3</v>
      </c>
      <c r="CL49" s="46">
        <f t="shared" si="50"/>
        <v>8.1630986266833379</v>
      </c>
      <c r="CM49" s="159">
        <f t="shared" si="51"/>
        <v>0.95026322627934745</v>
      </c>
      <c r="CO49" s="46">
        <f t="shared" si="120"/>
        <v>0.91862821870019251</v>
      </c>
      <c r="CP49" s="159">
        <f t="shared" si="121"/>
        <v>4.0965758464212763E-2</v>
      </c>
      <c r="EA49" s="1" t="s">
        <v>278</v>
      </c>
      <c r="ED49" s="1" t="s">
        <v>279</v>
      </c>
    </row>
    <row r="50" spans="1:134" ht="14.45">
      <c r="A50" s="245"/>
      <c r="B50" s="20" t="s">
        <v>280</v>
      </c>
      <c r="C50" s="21">
        <f t="shared" si="129"/>
        <v>14</v>
      </c>
      <c r="D50" s="21">
        <f t="shared" si="130"/>
        <v>13.2</v>
      </c>
      <c r="E50" s="21">
        <v>-1</v>
      </c>
      <c r="F50" s="11">
        <v>100100</v>
      </c>
      <c r="G50" s="11">
        <v>25.5</v>
      </c>
      <c r="H50" s="52">
        <v>367.1</v>
      </c>
      <c r="I50" s="46">
        <v>0.2</v>
      </c>
      <c r="J50" s="159">
        <f t="shared" si="92"/>
        <v>5.4481067828929448E-4</v>
      </c>
      <c r="K50" s="55">
        <v>24.92</v>
      </c>
      <c r="L50" s="3">
        <v>0.01</v>
      </c>
      <c r="M50" s="51">
        <v>-48.954599999999999</v>
      </c>
      <c r="N50" s="3">
        <v>5.0000000000000002E-5</v>
      </c>
      <c r="O50" s="51">
        <v>14.5547</v>
      </c>
      <c r="P50" s="3">
        <v>5.0000000000000002E-5</v>
      </c>
      <c r="Q50" s="51">
        <v>-5.7582000000000004</v>
      </c>
      <c r="R50" s="52">
        <v>5.0000000000000002E-5</v>
      </c>
      <c r="S50" s="12">
        <v>1.5749</v>
      </c>
      <c r="T50" s="11">
        <v>1.1839</v>
      </c>
      <c r="U50" s="28">
        <v>0.54169999999999996</v>
      </c>
      <c r="W50" s="11">
        <f t="shared" si="93"/>
        <v>-3.2170623393920079E-2</v>
      </c>
      <c r="X50" s="11">
        <f t="shared" si="94"/>
        <v>8.1341422358413434E-2</v>
      </c>
      <c r="Y50" s="11">
        <f t="shared" si="95"/>
        <v>-9.4074537181758178E-2</v>
      </c>
      <c r="AA50" s="46">
        <f t="shared" si="96"/>
        <v>48.954599999999999</v>
      </c>
      <c r="AB50" s="11">
        <f t="shared" si="97"/>
        <v>14.5547</v>
      </c>
      <c r="AC50" s="159">
        <f t="shared" si="98"/>
        <v>5.7582000000000004</v>
      </c>
      <c r="AD50" s="242"/>
      <c r="AF50" s="46">
        <f t="shared" si="99"/>
        <v>46.982265099481417</v>
      </c>
      <c r="AG50" s="11">
        <f t="shared" si="100"/>
        <v>-2.4916924537604501</v>
      </c>
      <c r="AH50" s="159">
        <f t="shared" si="101"/>
        <v>4.4498109875941712</v>
      </c>
      <c r="AI50" s="242"/>
      <c r="AK50" s="46">
        <f t="shared" si="102"/>
        <v>46.309922249913441</v>
      </c>
      <c r="AL50" s="11">
        <f t="shared" si="103"/>
        <v>8.3025819098066442</v>
      </c>
      <c r="AM50" s="159">
        <f t="shared" si="65"/>
        <v>-0.67906332893254218</v>
      </c>
      <c r="AN50" s="46">
        <f t="shared" si="104"/>
        <v>1.8036340092589453</v>
      </c>
      <c r="AO50" s="11">
        <f t="shared" si="105"/>
        <v>1.5122498484488061</v>
      </c>
      <c r="AP50" s="159">
        <f t="shared" si="26"/>
        <v>0.23035749999999994</v>
      </c>
      <c r="AR50" s="11">
        <f t="shared" si="106"/>
        <v>0.98301034638940821</v>
      </c>
      <c r="AS50" s="11">
        <f t="shared" si="107"/>
        <v>0.17623704645931937</v>
      </c>
      <c r="AT50" s="23">
        <f t="shared" si="108"/>
        <v>-9.122990617841692E-2</v>
      </c>
      <c r="AU50" s="46">
        <f t="shared" si="27"/>
        <v>3.8820889642402177E-2</v>
      </c>
      <c r="AV50" s="11">
        <f t="shared" si="28"/>
        <v>3.2196204620836069E-2</v>
      </c>
      <c r="AW50" s="159">
        <f t="shared" si="29"/>
        <v>3.0898063134199929E-2</v>
      </c>
      <c r="AY50" s="11">
        <f t="shared" si="30"/>
        <v>0.92402972560604368</v>
      </c>
      <c r="AZ50" s="11">
        <f t="shared" si="109"/>
        <v>0.16566282367176019</v>
      </c>
      <c r="BA50" s="23">
        <f t="shared" si="110"/>
        <v>-8.5756111807711893E-2</v>
      </c>
      <c r="BB50" s="46">
        <f t="shared" si="32"/>
        <v>3.6491636263858047E-2</v>
      </c>
      <c r="BC50" s="11">
        <f t="shared" si="33"/>
        <v>3.0264432343585904E-2</v>
      </c>
      <c r="BD50" s="159">
        <f t="shared" si="34"/>
        <v>2.9044179346147933E-2</v>
      </c>
      <c r="BF50" s="11">
        <f t="shared" si="122"/>
        <v>0.92402972560604368</v>
      </c>
      <c r="BG50" s="11">
        <f t="shared" si="111"/>
        <v>0.1436628236717602</v>
      </c>
      <c r="BH50" s="23">
        <f t="shared" si="123"/>
        <v>-8.5756111807711893E-2</v>
      </c>
      <c r="BI50" s="46">
        <f t="shared" si="36"/>
        <v>3.6491636263858047E-2</v>
      </c>
      <c r="BJ50" s="11">
        <f t="shared" si="37"/>
        <v>3.0264432343585904E-2</v>
      </c>
      <c r="BK50" s="159">
        <f t="shared" si="38"/>
        <v>2.9044179346147933E-2</v>
      </c>
      <c r="BM50" s="204">
        <f t="shared" si="112"/>
        <v>14.766944672253016</v>
      </c>
      <c r="BN50" s="219">
        <f t="shared" si="39"/>
        <v>3.6491636263858047E-2</v>
      </c>
      <c r="BP50" s="11">
        <f t="shared" si="40"/>
        <v>0.92402972560604368</v>
      </c>
      <c r="BQ50" s="11">
        <f t="shared" si="113"/>
        <v>0.15647028767881391</v>
      </c>
      <c r="BR50" s="23">
        <f t="shared" si="42"/>
        <v>-8.5756111807711893E-2</v>
      </c>
      <c r="BS50" s="46">
        <f t="shared" si="43"/>
        <v>3.6491636263858047E-2</v>
      </c>
      <c r="BT50" s="11">
        <f t="shared" si="114"/>
        <v>3.1359181431501647E-2</v>
      </c>
      <c r="BU50" s="159">
        <f t="shared" si="45"/>
        <v>2.9044179346147933E-2</v>
      </c>
      <c r="BW50" s="11">
        <f t="shared" si="124"/>
        <v>0.96052136186990178</v>
      </c>
      <c r="BX50" s="11">
        <f t="shared" si="125"/>
        <v>-5.671193246156396E-2</v>
      </c>
      <c r="BZ50" s="23">
        <f t="shared" si="115"/>
        <v>13.383472336126507</v>
      </c>
      <c r="CA50" s="174">
        <f t="shared" si="126"/>
        <v>1.5144029049501089E-2</v>
      </c>
      <c r="CE50" s="210">
        <f t="shared" si="116"/>
        <v>0.92402972560604368</v>
      </c>
      <c r="CF50" s="210">
        <f t="shared" si="117"/>
        <v>0.15647028767881391</v>
      </c>
      <c r="CG50" s="211">
        <f t="shared" si="127"/>
        <v>-7.2334580043284108E-2</v>
      </c>
      <c r="CH50" s="205">
        <f t="shared" si="118"/>
        <v>3.6491636263858047E-2</v>
      </c>
      <c r="CI50" s="203">
        <f t="shared" si="119"/>
        <v>3.1359181431501647E-2</v>
      </c>
      <c r="CJ50" s="206">
        <f t="shared" si="128"/>
        <v>3.0111939729942513E-2</v>
      </c>
      <c r="CL50" s="46">
        <f t="shared" si="50"/>
        <v>5.9054644770820435</v>
      </c>
      <c r="CM50" s="159">
        <f t="shared" si="51"/>
        <v>1.4167684582584024</v>
      </c>
      <c r="CO50" s="46">
        <f t="shared" si="120"/>
        <v>0.85383093380358033</v>
      </c>
      <c r="CP50" s="159">
        <f t="shared" si="121"/>
        <v>6.7438713287616608E-2</v>
      </c>
      <c r="EA50" s="1" t="s">
        <v>281</v>
      </c>
    </row>
    <row r="51" spans="1:134" ht="14.45">
      <c r="A51" s="245"/>
      <c r="B51" s="20" t="s">
        <v>282</v>
      </c>
      <c r="C51" s="21">
        <f t="shared" si="129"/>
        <v>15</v>
      </c>
      <c r="D51" s="21">
        <f t="shared" si="130"/>
        <v>14.2</v>
      </c>
      <c r="E51" s="21">
        <v>-1</v>
      </c>
      <c r="F51" s="11">
        <v>100100</v>
      </c>
      <c r="G51" s="11">
        <v>25.5</v>
      </c>
      <c r="H51" s="52">
        <v>365.8</v>
      </c>
      <c r="I51" s="46">
        <v>0.2</v>
      </c>
      <c r="J51" s="159">
        <f t="shared" si="92"/>
        <v>5.4674685620557679E-4</v>
      </c>
      <c r="K51" s="171">
        <v>24.88</v>
      </c>
      <c r="L51" s="53">
        <v>0.02</v>
      </c>
      <c r="M51" s="51">
        <v>-50.242199999999997</v>
      </c>
      <c r="N51" s="3">
        <v>5.0000000000000002E-5</v>
      </c>
      <c r="O51" s="51">
        <v>15.6624</v>
      </c>
      <c r="P51" s="3">
        <v>5.0000000000000002E-5</v>
      </c>
      <c r="Q51" s="51">
        <v>-5.9057000000000004</v>
      </c>
      <c r="R51" s="52">
        <v>5.0000000000000002E-5</v>
      </c>
      <c r="S51" s="12">
        <v>1.5651999999999999</v>
      </c>
      <c r="T51" s="11">
        <v>0.91069999999999995</v>
      </c>
      <c r="U51" s="28">
        <v>0.33300000000000002</v>
      </c>
      <c r="W51" s="11">
        <f t="shared" si="93"/>
        <v>-3.1153094410674691E-2</v>
      </c>
      <c r="X51" s="11">
        <f t="shared" si="94"/>
        <v>5.8145622637654507E-2</v>
      </c>
      <c r="Y51" s="11">
        <f t="shared" si="95"/>
        <v>-5.6386203159659309E-2</v>
      </c>
      <c r="AA51" s="46">
        <f t="shared" si="96"/>
        <v>50.242199999999997</v>
      </c>
      <c r="AB51" s="11">
        <f t="shared" si="97"/>
        <v>15.6624</v>
      </c>
      <c r="AC51" s="159">
        <f t="shared" si="98"/>
        <v>5.9057000000000004</v>
      </c>
      <c r="AD51" s="242"/>
      <c r="AF51" s="46">
        <f t="shared" si="99"/>
        <v>47.961295369672115</v>
      </c>
      <c r="AG51" s="11">
        <f t="shared" si="100"/>
        <v>-2.6497963558526134</v>
      </c>
      <c r="AH51" s="159">
        <f t="shared" si="101"/>
        <v>4.499556196871298</v>
      </c>
      <c r="AI51" s="242"/>
      <c r="AK51" s="46">
        <f t="shared" si="102"/>
        <v>47.145869388241266</v>
      </c>
      <c r="AL51" s="11">
        <f t="shared" si="103"/>
        <v>9.1964272351449825</v>
      </c>
      <c r="AM51" s="159">
        <f t="shared" si="65"/>
        <v>-0.72451517149720779</v>
      </c>
      <c r="AN51" s="46">
        <f t="shared" si="104"/>
        <v>1.7407772979756968</v>
      </c>
      <c r="AO51" s="11">
        <f t="shared" si="105"/>
        <v>1.2668290005270046</v>
      </c>
      <c r="AP51" s="159">
        <f t="shared" si="26"/>
        <v>5.2825000000000025E-2</v>
      </c>
      <c r="AR51" s="11">
        <f t="shared" si="106"/>
        <v>1.0043113460932922</v>
      </c>
      <c r="AS51" s="11">
        <f t="shared" si="107"/>
        <v>0.19590425069308523</v>
      </c>
      <c r="AT51" s="23">
        <f t="shared" si="108"/>
        <v>-9.7682129225301062E-2</v>
      </c>
      <c r="AU51" s="46">
        <f t="shared" si="27"/>
        <v>3.7631512648254865E-2</v>
      </c>
      <c r="AV51" s="11">
        <f t="shared" si="28"/>
        <v>2.7093371084223359E-2</v>
      </c>
      <c r="AW51" s="159">
        <f t="shared" si="29"/>
        <v>7.068677383666227E-3</v>
      </c>
      <c r="AY51" s="11">
        <f t="shared" si="30"/>
        <v>0.94405266532769461</v>
      </c>
      <c r="AZ51" s="11">
        <f t="shared" si="109"/>
        <v>0.18414999565150011</v>
      </c>
      <c r="BA51" s="23">
        <f t="shared" si="110"/>
        <v>-9.1821201471782993E-2</v>
      </c>
      <c r="BB51" s="46">
        <f t="shared" si="32"/>
        <v>3.5373621889359573E-2</v>
      </c>
      <c r="BC51" s="11">
        <f t="shared" si="33"/>
        <v>2.5467768819169956E-2</v>
      </c>
      <c r="BD51" s="159">
        <f t="shared" si="34"/>
        <v>6.6445567406462529E-3</v>
      </c>
      <c r="BF51" s="11">
        <f t="shared" si="122"/>
        <v>0.94405266532769461</v>
      </c>
      <c r="BG51" s="11">
        <f t="shared" si="111"/>
        <v>0.16214999565150012</v>
      </c>
      <c r="BH51" s="23">
        <f t="shared" si="123"/>
        <v>-9.1821201471782993E-2</v>
      </c>
      <c r="BI51" s="46">
        <f t="shared" si="36"/>
        <v>3.5373621889359573E-2</v>
      </c>
      <c r="BJ51" s="11">
        <f t="shared" si="37"/>
        <v>2.5467768819169956E-2</v>
      </c>
      <c r="BK51" s="159">
        <f t="shared" si="38"/>
        <v>6.6445567406462529E-3</v>
      </c>
      <c r="BM51" s="204">
        <f t="shared" si="112"/>
        <v>15.783563712221987</v>
      </c>
      <c r="BN51" s="219">
        <f t="shared" si="39"/>
        <v>3.5373621889359573E-2</v>
      </c>
      <c r="BP51" s="11">
        <f t="shared" si="40"/>
        <v>0.94405266532769461</v>
      </c>
      <c r="BQ51" s="11">
        <f t="shared" si="113"/>
        <v>0.17551852717518499</v>
      </c>
      <c r="BR51" s="23">
        <f t="shared" si="42"/>
        <v>-9.1821201471782993E-2</v>
      </c>
      <c r="BS51" s="46">
        <f t="shared" si="43"/>
        <v>3.5373621889359573E-2</v>
      </c>
      <c r="BT51" s="11">
        <f t="shared" si="114"/>
        <v>2.6528977475850743E-2</v>
      </c>
      <c r="BU51" s="159">
        <f t="shared" si="45"/>
        <v>6.6445567406462529E-3</v>
      </c>
      <c r="BW51" s="11">
        <f t="shared" si="124"/>
        <v>0.97942628721705416</v>
      </c>
      <c r="BX51" s="11">
        <f t="shared" si="125"/>
        <v>-8.5176644731136744E-2</v>
      </c>
      <c r="BZ51" s="23">
        <f t="shared" si="115"/>
        <v>14.391781856110994</v>
      </c>
      <c r="CA51" s="174">
        <f t="shared" si="126"/>
        <v>1.4680053084084222E-2</v>
      </c>
      <c r="CE51" s="210">
        <f t="shared" si="116"/>
        <v>0.94405266532769461</v>
      </c>
      <c r="CF51" s="210">
        <f t="shared" si="117"/>
        <v>0.17551852717518499</v>
      </c>
      <c r="CG51" s="211">
        <f t="shared" si="127"/>
        <v>-7.8108836507898224E-2</v>
      </c>
      <c r="CH51" s="205">
        <f t="shared" si="118"/>
        <v>3.5373621889359573E-2</v>
      </c>
      <c r="CI51" s="203">
        <f t="shared" si="119"/>
        <v>2.6528977475850743E-2</v>
      </c>
      <c r="CJ51" s="206">
        <f t="shared" si="128"/>
        <v>7.7631792831657793E-3</v>
      </c>
      <c r="CL51" s="46">
        <f t="shared" si="50"/>
        <v>5.3786496532382362</v>
      </c>
      <c r="CM51" s="159">
        <f t="shared" si="51"/>
        <v>1.0145008635634449</v>
      </c>
      <c r="CO51" s="46">
        <f t="shared" si="120"/>
        <v>0.89123543491232415</v>
      </c>
      <c r="CP51" s="159">
        <f t="shared" si="121"/>
        <v>6.6789124053887969E-2</v>
      </c>
      <c r="EA51" s="1" t="s">
        <v>283</v>
      </c>
    </row>
    <row r="52" spans="1:134" ht="14.45">
      <c r="A52" s="245"/>
      <c r="B52" s="20" t="s">
        <v>284</v>
      </c>
      <c r="C52" s="21">
        <f t="shared" si="129"/>
        <v>16</v>
      </c>
      <c r="D52" s="21">
        <f t="shared" si="130"/>
        <v>15.2</v>
      </c>
      <c r="E52" s="21">
        <v>-1</v>
      </c>
      <c r="F52" s="11">
        <v>100100</v>
      </c>
      <c r="G52" s="11">
        <v>25.6</v>
      </c>
      <c r="H52" s="52">
        <v>368.1</v>
      </c>
      <c r="I52" s="46">
        <v>0.1</v>
      </c>
      <c r="J52" s="159">
        <f t="shared" si="92"/>
        <v>2.7166530834012495E-4</v>
      </c>
      <c r="K52" s="171">
        <v>24.96</v>
      </c>
      <c r="L52" s="3">
        <v>0.02</v>
      </c>
      <c r="M52" s="54">
        <v>-49.928899999999999</v>
      </c>
      <c r="N52" s="3">
        <v>5.0000000000000002E-5</v>
      </c>
      <c r="O52" s="51">
        <v>18.229700000000001</v>
      </c>
      <c r="P52" s="3">
        <v>5.0000000000000002E-5</v>
      </c>
      <c r="Q52" s="51">
        <v>-5.9374000000000002</v>
      </c>
      <c r="R52" s="52">
        <v>5.0000000000000002E-5</v>
      </c>
      <c r="S52" s="12">
        <v>1.9384999999999999</v>
      </c>
      <c r="T52" s="11">
        <v>0.87229999999999996</v>
      </c>
      <c r="U52" s="28">
        <v>0.28000000000000003</v>
      </c>
      <c r="W52" s="11">
        <f t="shared" si="93"/>
        <v>-3.8825209447834817E-2</v>
      </c>
      <c r="X52" s="11">
        <f t="shared" si="94"/>
        <v>4.7850485745788464E-2</v>
      </c>
      <c r="Y52" s="11">
        <f t="shared" si="95"/>
        <v>-4.7158688988446121E-2</v>
      </c>
      <c r="AA52" s="46">
        <f t="shared" si="96"/>
        <v>49.928899999999999</v>
      </c>
      <c r="AB52" s="11">
        <f t="shared" si="97"/>
        <v>18.229700000000001</v>
      </c>
      <c r="AC52" s="159">
        <f t="shared" si="98"/>
        <v>5.9374000000000002</v>
      </c>
      <c r="AD52" s="242"/>
      <c r="AF52" s="46">
        <f t="shared" si="99"/>
        <v>47.317381312358044</v>
      </c>
      <c r="AG52" s="11">
        <f t="shared" si="100"/>
        <v>-1.342722185540552</v>
      </c>
      <c r="AH52" s="159">
        <f t="shared" si="101"/>
        <v>4.4338547097323362</v>
      </c>
      <c r="AI52" s="242"/>
      <c r="AK52" s="46">
        <f t="shared" si="102"/>
        <v>46.014100668631166</v>
      </c>
      <c r="AL52" s="11">
        <f t="shared" si="103"/>
        <v>11.110356285183213</v>
      </c>
      <c r="AM52" s="159">
        <f t="shared" si="65"/>
        <v>-0.85994470077937857</v>
      </c>
      <c r="AN52" s="46">
        <f t="shared" si="104"/>
        <v>2.0993920950630018</v>
      </c>
      <c r="AO52" s="11">
        <f t="shared" si="105"/>
        <v>1.3500376109235135</v>
      </c>
      <c r="AP52" s="159">
        <f t="shared" si="26"/>
        <v>-3.8880499999999971E-2</v>
      </c>
      <c r="AR52" s="11">
        <f t="shared" si="106"/>
        <v>0.97407756864181183</v>
      </c>
      <c r="AS52" s="11">
        <f t="shared" si="107"/>
        <v>0.23519635676359904</v>
      </c>
      <c r="AT52" s="23">
        <f t="shared" si="108"/>
        <v>-0.11521686172332167</v>
      </c>
      <c r="AU52" s="46">
        <f t="shared" si="27"/>
        <v>4.4706885734465782E-2</v>
      </c>
      <c r="AV52" s="11">
        <f t="shared" si="28"/>
        <v>2.8642989675024676E-2</v>
      </c>
      <c r="AW52" s="159">
        <f t="shared" si="29"/>
        <v>-5.2405763093009887E-3</v>
      </c>
      <c r="AY52" s="11">
        <f t="shared" si="30"/>
        <v>0.91563291452330309</v>
      </c>
      <c r="AZ52" s="11">
        <f t="shared" si="109"/>
        <v>0.22108457535778309</v>
      </c>
      <c r="BA52" s="23">
        <f t="shared" si="110"/>
        <v>-0.10830385001992236</v>
      </c>
      <c r="BB52" s="46">
        <f t="shared" si="32"/>
        <v>4.2024472590397835E-2</v>
      </c>
      <c r="BC52" s="11">
        <f t="shared" si="33"/>
        <v>2.6924410294523193E-2</v>
      </c>
      <c r="BD52" s="159">
        <f t="shared" si="34"/>
        <v>-4.926141730742929E-3</v>
      </c>
      <c r="BF52" s="11">
        <f t="shared" si="122"/>
        <v>0.91563291452330309</v>
      </c>
      <c r="BG52" s="11">
        <f t="shared" si="111"/>
        <v>0.19908457535778309</v>
      </c>
      <c r="BH52" s="23">
        <f t="shared" si="123"/>
        <v>-0.10830385001992236</v>
      </c>
      <c r="BI52" s="46">
        <f t="shared" si="36"/>
        <v>4.2024472590397835E-2</v>
      </c>
      <c r="BJ52" s="11">
        <f t="shared" si="37"/>
        <v>2.6924410294523193E-2</v>
      </c>
      <c r="BK52" s="159">
        <f t="shared" si="38"/>
        <v>-4.926141730742929E-3</v>
      </c>
      <c r="BM52" s="204">
        <f t="shared" si="112"/>
        <v>16.759975319054341</v>
      </c>
      <c r="BN52" s="219">
        <f t="shared" si="39"/>
        <v>4.2024472590397835E-2</v>
      </c>
      <c r="BP52" s="11">
        <f t="shared" si="40"/>
        <v>0.91563291452330309</v>
      </c>
      <c r="BQ52" s="11">
        <f t="shared" si="113"/>
        <v>0.21166032987015967</v>
      </c>
      <c r="BR52" s="23">
        <f t="shared" si="42"/>
        <v>-0.10830385001992236</v>
      </c>
      <c r="BS52" s="46">
        <f t="shared" si="43"/>
        <v>4.2024472590397835E-2</v>
      </c>
      <c r="BT52" s="11">
        <f t="shared" si="114"/>
        <v>2.8185144472235128E-2</v>
      </c>
      <c r="BU52" s="159">
        <f t="shared" si="45"/>
        <v>-4.926141730742929E-3</v>
      </c>
      <c r="BW52" s="11">
        <f t="shared" si="124"/>
        <v>0.95765738711370096</v>
      </c>
      <c r="BX52" s="11">
        <f t="shared" si="125"/>
        <v>-0.10337770828917943</v>
      </c>
      <c r="BZ52" s="23">
        <f t="shared" si="115"/>
        <v>15.379987659527171</v>
      </c>
      <c r="CA52" s="174">
        <f t="shared" si="126"/>
        <v>1.7440156125015101E-2</v>
      </c>
      <c r="CE52" s="210">
        <f t="shared" si="116"/>
        <v>0.91563291452330309</v>
      </c>
      <c r="CF52" s="210">
        <f t="shared" si="117"/>
        <v>0.21166032987015967</v>
      </c>
      <c r="CG52" s="211">
        <f t="shared" si="127"/>
        <v>-9.5004281936471383E-2</v>
      </c>
      <c r="CH52" s="205">
        <f t="shared" si="118"/>
        <v>4.2024472590397835E-2</v>
      </c>
      <c r="CI52" s="203">
        <f t="shared" si="119"/>
        <v>2.8185144472235128E-2</v>
      </c>
      <c r="CJ52" s="206">
        <f t="shared" si="128"/>
        <v>-3.9532652804219106E-3</v>
      </c>
      <c r="CL52" s="46">
        <f t="shared" si="50"/>
        <v>4.3259543018050968</v>
      </c>
      <c r="CM52" s="159">
        <f t="shared" si="51"/>
        <v>0.77460013252193205</v>
      </c>
      <c r="CO52" s="46">
        <f t="shared" si="120"/>
        <v>0.83838363415843842</v>
      </c>
      <c r="CP52" s="159">
        <f t="shared" si="121"/>
        <v>7.6957980638501275E-2</v>
      </c>
      <c r="EA52" s="1" t="s">
        <v>285</v>
      </c>
    </row>
    <row r="53" spans="1:134" ht="14.45">
      <c r="A53" s="245"/>
      <c r="B53" s="20" t="s">
        <v>286</v>
      </c>
      <c r="C53" s="21">
        <f t="shared" si="129"/>
        <v>17</v>
      </c>
      <c r="D53" s="21">
        <f t="shared" si="130"/>
        <v>16.2</v>
      </c>
      <c r="E53" s="21">
        <v>-1</v>
      </c>
      <c r="F53" s="11">
        <v>100100</v>
      </c>
      <c r="G53" s="11">
        <v>25.6</v>
      </c>
      <c r="H53" s="52">
        <v>369.8</v>
      </c>
      <c r="I53" s="46">
        <v>0.2</v>
      </c>
      <c r="J53" s="159">
        <f t="shared" si="92"/>
        <v>5.4083288263926451E-4</v>
      </c>
      <c r="K53" s="55">
        <v>25.02</v>
      </c>
      <c r="L53" s="55">
        <v>0.01</v>
      </c>
      <c r="M53" s="54">
        <v>-44.764800000000001</v>
      </c>
      <c r="N53" s="3">
        <v>5.0000000000000002E-5</v>
      </c>
      <c r="O53" s="51">
        <v>21.459800000000001</v>
      </c>
      <c r="P53" s="3">
        <v>5.0000000000000002E-5</v>
      </c>
      <c r="Q53" s="51">
        <v>-5.0178000000000003</v>
      </c>
      <c r="R53" s="52">
        <v>5.0000000000000002E-5</v>
      </c>
      <c r="S53" s="56">
        <v>1.9462999999999999</v>
      </c>
      <c r="T53" s="57">
        <v>1.6066</v>
      </c>
      <c r="U53" s="58">
        <v>0.45550000000000002</v>
      </c>
      <c r="W53" s="11">
        <f t="shared" si="93"/>
        <v>-4.3478357995567943E-2</v>
      </c>
      <c r="X53" s="11">
        <f t="shared" si="94"/>
        <v>7.4865562586790182E-2</v>
      </c>
      <c r="Y53" s="11">
        <f t="shared" si="95"/>
        <v>-9.077683446928933E-2</v>
      </c>
      <c r="AA53" s="46">
        <f t="shared" si="96"/>
        <v>44.764800000000001</v>
      </c>
      <c r="AB53" s="11">
        <f t="shared" si="97"/>
        <v>21.459800000000001</v>
      </c>
      <c r="AC53" s="159">
        <f t="shared" si="98"/>
        <v>5.0178000000000003</v>
      </c>
      <c r="AD53" s="242"/>
      <c r="AF53" s="46">
        <f t="shared" si="99"/>
        <v>41.800723635783804</v>
      </c>
      <c r="AG53" s="11">
        <f t="shared" si="100"/>
        <v>0.63311393417153283</v>
      </c>
      <c r="AH53" s="159">
        <f t="shared" si="101"/>
        <v>3.4172385934788352</v>
      </c>
      <c r="AI53" s="242"/>
      <c r="AK53" s="46">
        <f t="shared" si="102"/>
        <v>39.964337807426773</v>
      </c>
      <c r="AL53" s="11">
        <f t="shared" si="103"/>
        <v>12.270005433686489</v>
      </c>
      <c r="AM53" s="159">
        <f t="shared" si="65"/>
        <v>-1.4594871573951713</v>
      </c>
      <c r="AN53" s="46">
        <f t="shared" si="104"/>
        <v>2.3172467113956601</v>
      </c>
      <c r="AO53" s="11">
        <f t="shared" si="105"/>
        <v>2.0858082250927286</v>
      </c>
      <c r="AP53" s="159">
        <f t="shared" si="26"/>
        <v>5.4949500000000012E-2</v>
      </c>
      <c r="AR53" s="11">
        <f t="shared" si="106"/>
        <v>0.8421202990376434</v>
      </c>
      <c r="AS53" s="11">
        <f t="shared" si="107"/>
        <v>0.25855102853948392</v>
      </c>
      <c r="AT53" s="23">
        <f t="shared" si="108"/>
        <v>-0.19464565141748663</v>
      </c>
      <c r="AU53" s="46">
        <f t="shared" si="27"/>
        <v>4.9283992012433421E-2</v>
      </c>
      <c r="AV53" s="11">
        <f t="shared" si="28"/>
        <v>4.4091554423254867E-2</v>
      </c>
      <c r="AW53" s="159">
        <f t="shared" si="29"/>
        <v>7.2231124707814549E-3</v>
      </c>
      <c r="AY53" s="11">
        <f t="shared" si="30"/>
        <v>0.79159308109538473</v>
      </c>
      <c r="AZ53" s="11">
        <f t="shared" si="109"/>
        <v>0.24303796682711487</v>
      </c>
      <c r="BA53" s="23">
        <f t="shared" si="110"/>
        <v>-0.18296691233243742</v>
      </c>
      <c r="BB53" s="46">
        <f t="shared" si="32"/>
        <v>4.6326952491687411E-2</v>
      </c>
      <c r="BC53" s="11">
        <f t="shared" si="33"/>
        <v>4.1446061157859572E-2</v>
      </c>
      <c r="BD53" s="159">
        <f t="shared" si="34"/>
        <v>6.7897257225345668E-3</v>
      </c>
      <c r="BF53" s="11">
        <f t="shared" si="122"/>
        <v>0.79159308109538473</v>
      </c>
      <c r="BG53" s="11">
        <f t="shared" si="111"/>
        <v>0.22103796682711488</v>
      </c>
      <c r="BH53" s="23">
        <f t="shared" si="123"/>
        <v>-0.18296691233243742</v>
      </c>
      <c r="BI53" s="46">
        <f t="shared" si="36"/>
        <v>4.6326952491687411E-2</v>
      </c>
      <c r="BJ53" s="11">
        <f t="shared" si="37"/>
        <v>4.1446061157859572E-2</v>
      </c>
      <c r="BK53" s="159">
        <f t="shared" si="38"/>
        <v>6.7897257225345668E-3</v>
      </c>
      <c r="BM53" s="204">
        <f t="shared" si="112"/>
        <v>17.657022257309169</v>
      </c>
      <c r="BN53" s="219">
        <f t="shared" si="39"/>
        <v>4.6326952491687411E-2</v>
      </c>
      <c r="BP53" s="11">
        <f t="shared" si="40"/>
        <v>0.79159308109538473</v>
      </c>
      <c r="BQ53" s="11">
        <f t="shared" si="113"/>
        <v>0.23043726091768615</v>
      </c>
      <c r="BR53" s="23">
        <f t="shared" si="42"/>
        <v>-0.18296691233243742</v>
      </c>
      <c r="BS53" s="46">
        <f t="shared" si="43"/>
        <v>4.6326952491687411E-2</v>
      </c>
      <c r="BT53" s="11">
        <f t="shared" si="114"/>
        <v>4.2835869732610193E-2</v>
      </c>
      <c r="BU53" s="159">
        <f t="shared" si="45"/>
        <v>6.7897257225345668E-3</v>
      </c>
      <c r="BW53" s="11">
        <f t="shared" si="124"/>
        <v>0.83792003358707212</v>
      </c>
      <c r="BX53" s="11">
        <f t="shared" si="125"/>
        <v>-0.17617718660990286</v>
      </c>
      <c r="BZ53" s="23">
        <f t="shared" si="115"/>
        <v>16.328511128654586</v>
      </c>
      <c r="CA53" s="174">
        <f t="shared" si="126"/>
        <v>1.9225685284050276E-2</v>
      </c>
      <c r="CE53" s="210">
        <f t="shared" si="116"/>
        <v>0.79159308109538473</v>
      </c>
      <c r="CF53" s="210">
        <f t="shared" si="117"/>
        <v>0.23043726091768615</v>
      </c>
      <c r="CG53" s="211">
        <f t="shared" si="127"/>
        <v>-0.17146902282952695</v>
      </c>
      <c r="CH53" s="205">
        <f t="shared" si="118"/>
        <v>4.6326952491687411E-2</v>
      </c>
      <c r="CI53" s="203">
        <f t="shared" si="119"/>
        <v>4.2835869732610193E-2</v>
      </c>
      <c r="CJ53" s="206">
        <f t="shared" si="128"/>
        <v>7.4856231069869118E-3</v>
      </c>
      <c r="CL53" s="46">
        <f t="shared" si="50"/>
        <v>3.4351783124958573</v>
      </c>
      <c r="CM53" s="159">
        <f t="shared" si="51"/>
        <v>0.83960294625771736</v>
      </c>
      <c r="CO53" s="46">
        <f t="shared" si="120"/>
        <v>0.62661960603808431</v>
      </c>
      <c r="CP53" s="159">
        <f t="shared" si="121"/>
        <v>7.3344190121308703E-2</v>
      </c>
      <c r="DW53" s="142"/>
      <c r="EA53" s="1" t="s">
        <v>287</v>
      </c>
    </row>
    <row r="54" spans="1:134" s="142" customFormat="1" ht="14.1" customHeight="1">
      <c r="A54" s="245"/>
      <c r="B54" s="132" t="s">
        <v>288</v>
      </c>
      <c r="C54" s="133">
        <f t="shared" si="129"/>
        <v>18</v>
      </c>
      <c r="D54" s="133">
        <f t="shared" si="130"/>
        <v>17.2</v>
      </c>
      <c r="E54" s="134">
        <v>-1</v>
      </c>
      <c r="F54" s="135">
        <v>100100</v>
      </c>
      <c r="G54" s="135">
        <v>25.6</v>
      </c>
      <c r="H54" s="137">
        <v>371.8</v>
      </c>
      <c r="I54" s="163">
        <v>0.2</v>
      </c>
      <c r="J54" s="164">
        <f t="shared" si="92"/>
        <v>5.3792361484669184E-4</v>
      </c>
      <c r="K54" s="173">
        <v>25.09</v>
      </c>
      <c r="L54" s="136">
        <v>0.01</v>
      </c>
      <c r="M54" s="138">
        <v>-39.271000000000001</v>
      </c>
      <c r="N54" s="136">
        <v>5.0000000000000002E-5</v>
      </c>
      <c r="O54" s="139">
        <v>25.3353</v>
      </c>
      <c r="P54" s="136">
        <v>5.0000000000000002E-5</v>
      </c>
      <c r="Q54" s="139">
        <v>-4.3213999999999997</v>
      </c>
      <c r="R54" s="137">
        <v>5.0000000000000002E-5</v>
      </c>
      <c r="S54" s="140">
        <v>2.2854000000000001</v>
      </c>
      <c r="T54" s="136">
        <v>1.6830000000000001</v>
      </c>
      <c r="U54" s="141">
        <v>0.57410000000000005</v>
      </c>
      <c r="W54" s="135">
        <f t="shared" si="93"/>
        <v>-5.8195615084922721E-2</v>
      </c>
      <c r="X54" s="135">
        <f t="shared" si="94"/>
        <v>6.6429053534001969E-2</v>
      </c>
      <c r="Y54" s="135">
        <f t="shared" si="95"/>
        <v>-0.13285046512704218</v>
      </c>
      <c r="AA54" s="163">
        <f t="shared" si="96"/>
        <v>39.271000000000001</v>
      </c>
      <c r="AB54" s="135">
        <f t="shared" si="97"/>
        <v>25.3353</v>
      </c>
      <c r="AC54" s="164">
        <f t="shared" si="98"/>
        <v>4.3213999999999997</v>
      </c>
      <c r="AD54" s="242"/>
      <c r="AF54" s="163">
        <f t="shared" si="99"/>
        <v>35.932529732432954</v>
      </c>
      <c r="AG54" s="135">
        <f t="shared" si="100"/>
        <v>3.2606940642119149</v>
      </c>
      <c r="AH54" s="164">
        <f t="shared" si="101"/>
        <v>2.624239947729154</v>
      </c>
      <c r="AI54" s="242"/>
      <c r="AK54" s="163">
        <f t="shared" si="102"/>
        <v>33.361354666192668</v>
      </c>
      <c r="AL54" s="135">
        <f t="shared" si="103"/>
        <v>13.740408785369885</v>
      </c>
      <c r="AM54" s="164">
        <f t="shared" ref="AM54:AM55" si="131">AH54-0.115*AF54-0.11*AG54</f>
        <v>-1.866677318563946</v>
      </c>
      <c r="AN54" s="163">
        <f t="shared" si="104"/>
        <v>2.680869817018535</v>
      </c>
      <c r="AO54" s="135">
        <f t="shared" si="105"/>
        <v>2.2835446610225687</v>
      </c>
      <c r="AP54" s="164">
        <f t="shared" si="26"/>
        <v>0.12614900000000001</v>
      </c>
      <c r="AR54" s="135">
        <f t="shared" si="106"/>
        <v>0.69920208282569707</v>
      </c>
      <c r="AS54" s="135">
        <f t="shared" si="107"/>
        <v>0.28797758777292354</v>
      </c>
      <c r="AT54" s="156">
        <f t="shared" si="108"/>
        <v>-0.24761172156629563</v>
      </c>
      <c r="AU54" s="163">
        <f t="shared" si="27"/>
        <v>5.6562977186133394E-2</v>
      </c>
      <c r="AV54" s="135">
        <f t="shared" si="28"/>
        <v>4.8014452795962399E-2</v>
      </c>
      <c r="AW54" s="164">
        <f t="shared" si="29"/>
        <v>1.6600264247352125E-2</v>
      </c>
      <c r="AY54" s="135">
        <f t="shared" ref="AY54:AY55" si="132">0.94*AR54</f>
        <v>0.65724995785615525</v>
      </c>
      <c r="AZ54" s="135">
        <f t="shared" ref="AZ54:AZ55" si="133">0.94*AS54</f>
        <v>0.27069893250654808</v>
      </c>
      <c r="BA54" s="156">
        <f t="shared" ref="BA54:BA55" si="134">0.94*AT54</f>
        <v>-0.23275501827231787</v>
      </c>
      <c r="BB54" s="163">
        <f t="shared" si="32"/>
        <v>5.3169198554965387E-2</v>
      </c>
      <c r="BC54" s="135">
        <f t="shared" si="33"/>
        <v>4.5133585628204652E-2</v>
      </c>
      <c r="BD54" s="164">
        <f t="shared" si="34"/>
        <v>1.5604248392510997E-2</v>
      </c>
      <c r="BF54" s="135">
        <f t="shared" ref="BF54:BF55" si="135">AY54</f>
        <v>0.65724995785615525</v>
      </c>
      <c r="BG54" s="135">
        <f t="shared" si="111"/>
        <v>0.24869893250654809</v>
      </c>
      <c r="BH54" s="156">
        <f t="shared" ref="BH54:BH55" si="136">BA54</f>
        <v>-0.23275501827231787</v>
      </c>
      <c r="BI54" s="163">
        <f t="shared" si="36"/>
        <v>5.3169198554965387E-2</v>
      </c>
      <c r="BJ54" s="135">
        <f t="shared" si="37"/>
        <v>4.5133585628204652E-2</v>
      </c>
      <c r="BK54" s="164">
        <f t="shared" si="38"/>
        <v>1.5604248392510997E-2</v>
      </c>
      <c r="BM54" s="213">
        <f t="shared" si="112"/>
        <v>18.545517465020609</v>
      </c>
      <c r="BN54" s="221">
        <f t="shared" si="39"/>
        <v>5.3169198554965387E-2</v>
      </c>
      <c r="BP54" s="135">
        <f t="shared" ref="BP54:BP55" si="137">BF54</f>
        <v>0.65724995785615525</v>
      </c>
      <c r="BQ54" s="135">
        <f t="shared" si="113"/>
        <v>0.25517859511307683</v>
      </c>
      <c r="BR54" s="156">
        <f t="shared" ref="BR54:BR55" si="138">BH54</f>
        <v>-0.23275501827231787</v>
      </c>
      <c r="BS54" s="163">
        <f t="shared" si="43"/>
        <v>5.3169198554965387E-2</v>
      </c>
      <c r="BT54" s="135">
        <f t="shared" si="114"/>
        <v>4.6728661584853615E-2</v>
      </c>
      <c r="BU54" s="164">
        <f t="shared" si="45"/>
        <v>1.5604248392510997E-2</v>
      </c>
      <c r="BW54" s="135">
        <f t="shared" si="124"/>
        <v>0.71041915641112063</v>
      </c>
      <c r="BX54" s="135">
        <f t="shared" si="125"/>
        <v>-0.21715076987980686</v>
      </c>
      <c r="BZ54" s="156">
        <f t="shared" si="115"/>
        <v>17.272758732510304</v>
      </c>
      <c r="CA54" s="177">
        <f t="shared" si="126"/>
        <v>2.2065217400310633E-2</v>
      </c>
      <c r="CE54" s="212">
        <f t="shared" ref="CE54:CE55" si="139">BP54</f>
        <v>0.65724995785615525</v>
      </c>
      <c r="CF54" s="212">
        <f t="shared" ref="CF54:CF55" si="140">BQ54</f>
        <v>0.25517859511307683</v>
      </c>
      <c r="CG54" s="213">
        <f t="shared" ref="CG54:CG55" si="141">BR54-0.415*CE54*$CC$15</f>
        <v>-0.22320846263445721</v>
      </c>
      <c r="CH54" s="214">
        <f t="shared" si="118"/>
        <v>5.3169198554965387E-2</v>
      </c>
      <c r="CI54" s="212">
        <f t="shared" si="119"/>
        <v>4.6728661584853615E-2</v>
      </c>
      <c r="CJ54" s="215">
        <f t="shared" si="128"/>
        <v>1.5968460502293062E-2</v>
      </c>
      <c r="CL54" s="46">
        <f t="shared" si="50"/>
        <v>2.5756469015941925</v>
      </c>
      <c r="CM54" s="159">
        <f t="shared" si="51"/>
        <v>0.68001679727385844</v>
      </c>
      <c r="CO54" s="197">
        <f t="shared" si="120"/>
        <v>0.43197750710191785</v>
      </c>
      <c r="CP54" s="198">
        <f t="shared" si="121"/>
        <v>6.9890907018993101E-2</v>
      </c>
    </row>
    <row r="55" spans="1:134" s="142" customFormat="1" ht="14.25" customHeight="1" thickBot="1">
      <c r="A55" s="245"/>
      <c r="B55" s="143" t="s">
        <v>289</v>
      </c>
      <c r="C55" s="144">
        <f>C54+1</f>
        <v>19</v>
      </c>
      <c r="D55" s="144">
        <f>C55-0.8</f>
        <v>18.2</v>
      </c>
      <c r="E55" s="145">
        <v>-1</v>
      </c>
      <c r="F55" s="146">
        <v>100100</v>
      </c>
      <c r="G55" s="146">
        <v>25.6</v>
      </c>
      <c r="H55" s="150">
        <v>371.5</v>
      </c>
      <c r="I55" s="165">
        <v>0.3</v>
      </c>
      <c r="J55" s="167">
        <f t="shared" si="92"/>
        <v>8.0753701211305512E-4</v>
      </c>
      <c r="K55" s="172">
        <v>25.08</v>
      </c>
      <c r="L55" s="148">
        <v>0.01</v>
      </c>
      <c r="M55" s="149">
        <v>-41.390500000000003</v>
      </c>
      <c r="N55" s="147">
        <v>5.0000000000000002E-5</v>
      </c>
      <c r="O55" s="149">
        <v>26.0762</v>
      </c>
      <c r="P55" s="147">
        <v>5.0000000000000002E-5</v>
      </c>
      <c r="Q55" s="149">
        <v>-4.5711000000000004</v>
      </c>
      <c r="R55" s="150">
        <v>5.0000000000000002E-5</v>
      </c>
      <c r="S55" s="151">
        <v>2.7052</v>
      </c>
      <c r="T55" s="146">
        <v>1.7553000000000001</v>
      </c>
      <c r="U55" s="152">
        <v>0.47599999999999998</v>
      </c>
      <c r="W55" s="135">
        <f t="shared" si="93"/>
        <v>-6.5357992776120116E-2</v>
      </c>
      <c r="X55" s="135">
        <f t="shared" si="94"/>
        <v>6.7314255911520848E-2</v>
      </c>
      <c r="Y55" s="135">
        <f t="shared" si="95"/>
        <v>-0.10413248452232503</v>
      </c>
      <c r="AA55" s="165">
        <f t="shared" si="96"/>
        <v>41.390500000000003</v>
      </c>
      <c r="AB55" s="166">
        <f t="shared" si="97"/>
        <v>26.0762</v>
      </c>
      <c r="AC55" s="167">
        <f t="shared" si="98"/>
        <v>4.5711000000000004</v>
      </c>
      <c r="AD55" s="243"/>
      <c r="AF55" s="165">
        <f t="shared" si="99"/>
        <v>37.655913646315312</v>
      </c>
      <c r="AG55" s="166">
        <f t="shared" si="100"/>
        <v>2.7603983330618398</v>
      </c>
      <c r="AH55" s="167">
        <f t="shared" si="101"/>
        <v>2.7777908918033649</v>
      </c>
      <c r="AI55" s="243"/>
      <c r="AK55" s="165">
        <f t="shared" si="102"/>
        <v>34.909896750207139</v>
      </c>
      <c r="AL55" s="166">
        <f t="shared" si="103"/>
        <v>14.383557987709546</v>
      </c>
      <c r="AM55" s="167">
        <f t="shared" si="131"/>
        <v>-1.8562829941596983</v>
      </c>
      <c r="AN55" s="165">
        <f t="shared" si="104"/>
        <v>3.1181058762490119</v>
      </c>
      <c r="AO55" s="166">
        <f t="shared" si="105"/>
        <v>2.5124143636005138</v>
      </c>
      <c r="AP55" s="167">
        <f t="shared" si="26"/>
        <v>-2.8181000000000067E-2</v>
      </c>
      <c r="AR55" s="135">
        <f t="shared" si="106"/>
        <v>0.73224795554302358</v>
      </c>
      <c r="AS55" s="135">
        <f t="shared" si="107"/>
        <v>0.30170043198057717</v>
      </c>
      <c r="AT55" s="156">
        <f t="shared" si="108"/>
        <v>-0.24643177348251616</v>
      </c>
      <c r="AU55" s="165">
        <f t="shared" si="27"/>
        <v>6.5994737719718158E-2</v>
      </c>
      <c r="AV55" s="166">
        <f t="shared" si="28"/>
        <v>5.2942451863945486E-2</v>
      </c>
      <c r="AW55" s="167">
        <f t="shared" si="29"/>
        <v>-3.9401854696742523E-3</v>
      </c>
      <c r="AY55" s="135">
        <f t="shared" si="132"/>
        <v>0.68831307821044208</v>
      </c>
      <c r="AZ55" s="135">
        <f t="shared" si="133"/>
        <v>0.28359840606174253</v>
      </c>
      <c r="BA55" s="156">
        <f t="shared" si="134"/>
        <v>-0.23164586707356519</v>
      </c>
      <c r="BB55" s="165">
        <f t="shared" si="32"/>
        <v>6.2035053456535066E-2</v>
      </c>
      <c r="BC55" s="166">
        <f t="shared" si="33"/>
        <v>4.9765904752108757E-2</v>
      </c>
      <c r="BD55" s="167">
        <f t="shared" si="34"/>
        <v>-3.7037743414937972E-3</v>
      </c>
      <c r="BF55" s="135">
        <f t="shared" si="135"/>
        <v>0.68831307821044208</v>
      </c>
      <c r="BG55" s="135">
        <f t="shared" si="111"/>
        <v>0.26159840606174251</v>
      </c>
      <c r="BH55" s="156">
        <f t="shared" si="136"/>
        <v>-0.23164586707356519</v>
      </c>
      <c r="BI55" s="165">
        <f t="shared" si="36"/>
        <v>6.2035053456535066E-2</v>
      </c>
      <c r="BJ55" s="166">
        <f t="shared" si="37"/>
        <v>4.9765904752108757E-2</v>
      </c>
      <c r="BK55" s="167">
        <f t="shared" si="38"/>
        <v>-3.7037743414937972E-3</v>
      </c>
      <c r="BM55" s="213">
        <f t="shared" si="112"/>
        <v>19.571299854914667</v>
      </c>
      <c r="BN55" s="222">
        <f t="shared" si="39"/>
        <v>6.2035053456535066E-2</v>
      </c>
      <c r="BP55" s="135">
        <f t="shared" si="137"/>
        <v>0.68831307821044208</v>
      </c>
      <c r="BQ55" s="135">
        <f t="shared" si="113"/>
        <v>0.2687050294662755</v>
      </c>
      <c r="BR55" s="156">
        <f t="shared" si="138"/>
        <v>-0.23164586707356519</v>
      </c>
      <c r="BS55" s="165">
        <f t="shared" si="43"/>
        <v>6.2035053456535066E-2</v>
      </c>
      <c r="BT55" s="166">
        <f t="shared" si="114"/>
        <v>5.1626956355804811E-2</v>
      </c>
      <c r="BU55" s="167">
        <f t="shared" si="45"/>
        <v>-3.7037743414937972E-3</v>
      </c>
      <c r="BW55" s="135">
        <f t="shared" si="124"/>
        <v>0.75034813166697711</v>
      </c>
      <c r="BX55" s="135">
        <f t="shared" si="125"/>
        <v>-0.22794209273207139</v>
      </c>
      <c r="BZ55" s="156">
        <f t="shared" si="115"/>
        <v>18.285649927457335</v>
      </c>
      <c r="CA55" s="178">
        <f t="shared" si="126"/>
        <v>2.5744547184462053E-2</v>
      </c>
      <c r="CE55" s="212">
        <f t="shared" si="139"/>
        <v>0.68831307821044208</v>
      </c>
      <c r="CF55" s="212">
        <f t="shared" si="140"/>
        <v>0.2687050294662755</v>
      </c>
      <c r="CG55" s="213">
        <f t="shared" si="141"/>
        <v>-0.22164811961255851</v>
      </c>
      <c r="CH55" s="216">
        <f t="shared" si="118"/>
        <v>6.2035053456535066E-2</v>
      </c>
      <c r="CI55" s="217">
        <f t="shared" si="119"/>
        <v>5.1626956355804811E-2</v>
      </c>
      <c r="CJ55" s="218">
        <f t="shared" si="128"/>
        <v>-3.4146254618777445E-3</v>
      </c>
      <c r="CL55" s="160">
        <f t="shared" si="50"/>
        <v>2.5615935793149363</v>
      </c>
      <c r="CM55" s="162">
        <f t="shared" si="51"/>
        <v>0.72303199446261579</v>
      </c>
      <c r="CO55" s="199">
        <f t="shared" si="120"/>
        <v>0.47377489363553416</v>
      </c>
      <c r="CP55" s="200">
        <f t="shared" si="121"/>
        <v>8.5399077203233947E-2</v>
      </c>
    </row>
    <row r="56" spans="1:134" ht="14.25" customHeight="1" thickBot="1">
      <c r="C56" s="40"/>
      <c r="D56" s="40"/>
      <c r="E56" s="40"/>
      <c r="G56" s="41">
        <f>AVERAGE(G40:G55)</f>
        <v>25.400000000000006</v>
      </c>
    </row>
    <row r="57" spans="1:134" ht="14.25" customHeight="1">
      <c r="C57" s="40"/>
      <c r="D57" s="40"/>
      <c r="E57" s="40"/>
    </row>
    <row r="58" spans="1:134" ht="14.25" customHeight="1">
      <c r="C58" s="40"/>
      <c r="D58" s="40"/>
      <c r="E58" s="40"/>
    </row>
    <row r="59" spans="1:134" ht="14.25" customHeight="1">
      <c r="C59" s="40"/>
      <c r="D59" s="40"/>
      <c r="E59" s="40"/>
      <c r="X59" s="21">
        <v>-2</v>
      </c>
      <c r="Y59" s="1">
        <v>-0.13634810673418352</v>
      </c>
      <c r="Z59" s="1">
        <v>4.3628523871819973E-2</v>
      </c>
      <c r="AA59" s="1">
        <v>0.27270903523436357</v>
      </c>
    </row>
    <row r="60" spans="1:134" ht="14.25" customHeight="1">
      <c r="X60" s="21">
        <f>X59+2</f>
        <v>0</v>
      </c>
      <c r="Y60" s="1">
        <v>0.1458170016736613</v>
      </c>
      <c r="Z60" s="1">
        <v>4.6002558974628335E-2</v>
      </c>
      <c r="AA60" s="1">
        <v>5.9472621960491294E-2</v>
      </c>
    </row>
    <row r="61" spans="1:134" ht="14.25" customHeight="1">
      <c r="X61" s="21">
        <f t="shared" ref="X61:X65" si="142">X60+2</f>
        <v>2</v>
      </c>
      <c r="Y61" s="1">
        <v>0.3792664374595906</v>
      </c>
      <c r="Z61" s="1">
        <v>5.137702226023444E-2</v>
      </c>
      <c r="AA61" s="1">
        <v>-0.15921656315231938</v>
      </c>
    </row>
    <row r="62" spans="1:134" ht="14.25" customHeight="1">
      <c r="X62" s="21">
        <f t="shared" si="142"/>
        <v>4</v>
      </c>
      <c r="Y62" s="1">
        <v>0.62835458718783332</v>
      </c>
      <c r="Z62" s="1">
        <v>6.2204281546837277E-2</v>
      </c>
      <c r="AA62" s="1">
        <v>-0.39320850836309795</v>
      </c>
    </row>
    <row r="63" spans="1:134" ht="14.25" customHeight="1">
      <c r="X63" s="21">
        <f t="shared" si="142"/>
        <v>6</v>
      </c>
      <c r="Y63" s="1">
        <v>0.89882681170149747</v>
      </c>
      <c r="Z63" s="1">
        <v>8.5252460594423915E-2</v>
      </c>
      <c r="AA63" s="1">
        <v>-0.62620071025859725</v>
      </c>
    </row>
    <row r="64" spans="1:134" ht="14.25" customHeight="1">
      <c r="X64" s="21">
        <f t="shared" si="142"/>
        <v>8</v>
      </c>
      <c r="Y64" s="1">
        <v>1.0842829598798933</v>
      </c>
      <c r="Z64" s="1">
        <v>0.10479996621202389</v>
      </c>
      <c r="AA64" s="1">
        <v>-0.86637613158996796</v>
      </c>
    </row>
    <row r="65" spans="24:76" ht="14.25" customHeight="1">
      <c r="X65" s="21">
        <f t="shared" si="142"/>
        <v>10</v>
      </c>
      <c r="Y65" s="1">
        <v>1.2696849294227437</v>
      </c>
      <c r="Z65" s="1">
        <v>0.15656701861127387</v>
      </c>
      <c r="AA65" s="1">
        <v>-1.0479908441296446</v>
      </c>
      <c r="AX65" s="1" t="s">
        <v>95</v>
      </c>
      <c r="AY65" s="1" t="s">
        <v>205</v>
      </c>
      <c r="AZ65" s="1" t="s">
        <v>206</v>
      </c>
      <c r="BA65" s="1" t="s">
        <v>290</v>
      </c>
    </row>
    <row r="66" spans="24:76" ht="15" thickBot="1">
      <c r="X66" s="31">
        <f>X65+2</f>
        <v>12</v>
      </c>
      <c r="Y66" s="1">
        <v>1.4081174807221812</v>
      </c>
      <c r="Z66" s="1">
        <v>0.18487965015120295</v>
      </c>
      <c r="AA66" s="1">
        <v>-1.2104732014316395</v>
      </c>
      <c r="AW66" s="21">
        <v>-2</v>
      </c>
      <c r="AX66" s="1">
        <v>-3.2113904546517726E-2</v>
      </c>
      <c r="AY66" s="1">
        <v>2.6956112712433488E-2</v>
      </c>
      <c r="AZ66" s="1">
        <v>2.1662351355030814E-2</v>
      </c>
      <c r="BA66" s="1">
        <f>AZ66/AX66</f>
        <v>-0.67454741679425501</v>
      </c>
    </row>
    <row r="67" spans="24:76" ht="14.25" customHeight="1">
      <c r="AW67" s="21">
        <f>AW66+2</f>
        <v>0</v>
      </c>
      <c r="AX67" s="1">
        <v>0.13559953144760767</v>
      </c>
      <c r="AY67" s="1">
        <v>2.639970638136184E-2</v>
      </c>
      <c r="AZ67" s="1">
        <v>-7.5846689633636442E-3</v>
      </c>
      <c r="BA67" s="1">
        <f t="shared" ref="BA67:BA93" si="143">AZ67/AX67</f>
        <v>-5.5934330173509295E-2</v>
      </c>
    </row>
    <row r="68" spans="24:76" ht="14.25" customHeight="1">
      <c r="AW68" s="21">
        <f t="shared" ref="AW68:AW72" si="144">AW67+2</f>
        <v>2</v>
      </c>
      <c r="AX68" s="1">
        <v>0.29633501544875313</v>
      </c>
      <c r="AY68" s="1">
        <v>2.9727485529569567E-2</v>
      </c>
      <c r="AZ68" s="1">
        <v>-3.1835234122176356E-2</v>
      </c>
      <c r="BA68" s="1">
        <f t="shared" si="143"/>
        <v>-0.10742987653337849</v>
      </c>
    </row>
    <row r="69" spans="24:76" ht="14.25" customHeight="1">
      <c r="AW69" s="21">
        <f t="shared" si="144"/>
        <v>4</v>
      </c>
      <c r="AX69" s="1">
        <v>0.45954974019438349</v>
      </c>
      <c r="AY69" s="1">
        <v>3.8063760025211224E-2</v>
      </c>
      <c r="AZ69" s="1">
        <v>-5.9512450855139357E-2</v>
      </c>
      <c r="BA69" s="1">
        <f t="shared" si="143"/>
        <v>-0.12950165270459379</v>
      </c>
    </row>
    <row r="70" spans="24:76" ht="14.25" customHeight="1">
      <c r="AW70" s="21">
        <f t="shared" si="144"/>
        <v>6</v>
      </c>
      <c r="AX70" s="1">
        <v>0.62111021400848543</v>
      </c>
      <c r="AY70" s="1">
        <v>5.0115161613790635E-2</v>
      </c>
      <c r="AZ70" s="1">
        <v>-8.2657002435307839E-2</v>
      </c>
      <c r="BA70" s="1">
        <f t="shared" si="143"/>
        <v>-0.13307944479267347</v>
      </c>
    </row>
    <row r="71" spans="24:76" ht="14.25" customHeight="1">
      <c r="AW71" s="21">
        <f t="shared" si="144"/>
        <v>8</v>
      </c>
      <c r="AX71" s="1">
        <v>0.74941106185849249</v>
      </c>
      <c r="AY71" s="1">
        <v>6.5104790445474028E-2</v>
      </c>
      <c r="AZ71" s="1">
        <v>-0.10439010080848754</v>
      </c>
      <c r="BA71" s="1">
        <f t="shared" si="143"/>
        <v>-0.13929618352524265</v>
      </c>
    </row>
    <row r="72" spans="24:76" ht="14.25" customHeight="1">
      <c r="AW72" s="21">
        <f t="shared" si="144"/>
        <v>10</v>
      </c>
      <c r="AX72" s="1">
        <v>0.85998953941101752</v>
      </c>
      <c r="AY72" s="1">
        <v>8.6509842313949786E-2</v>
      </c>
      <c r="AZ72" s="1">
        <v>-0.11532369475119561</v>
      </c>
      <c r="BA72" s="1">
        <f t="shared" si="143"/>
        <v>-0.13409895058744267</v>
      </c>
    </row>
    <row r="73" spans="24:76" ht="14.25" customHeight="1" thickBot="1">
      <c r="AW73" s="31">
        <f>AW72+2</f>
        <v>12</v>
      </c>
      <c r="AX73" s="1">
        <v>0.95371276567848562</v>
      </c>
      <c r="AY73" s="1">
        <v>0.11084509641167141</v>
      </c>
      <c r="AZ73" s="1">
        <v>-0.12775359784350707</v>
      </c>
      <c r="BA73" s="1">
        <f t="shared" si="143"/>
        <v>-0.13395395599284154</v>
      </c>
    </row>
    <row r="74" spans="24:76" ht="14.25" customHeight="1">
      <c r="BS74" s="80"/>
      <c r="BT74" s="80"/>
      <c r="BU74" s="80"/>
      <c r="BV74" s="80"/>
      <c r="BW74" s="80"/>
      <c r="BX74" s="80"/>
    </row>
    <row r="77" spans="24:76" ht="14.25" customHeight="1">
      <c r="AX77" s="1" t="s">
        <v>95</v>
      </c>
      <c r="AY77" s="1" t="s">
        <v>205</v>
      </c>
      <c r="AZ77" s="1" t="s">
        <v>206</v>
      </c>
      <c r="BA77" s="1" t="s">
        <v>290</v>
      </c>
    </row>
    <row r="78" spans="24:76" ht="14.25" customHeight="1">
      <c r="AW78" s="21">
        <v>-2</v>
      </c>
      <c r="AX78" s="1">
        <v>-8.2200267173436439E-2</v>
      </c>
      <c r="AY78" s="1">
        <v>3.1207433073387102E-2</v>
      </c>
      <c r="AZ78" s="1">
        <v>0.1474312692844876</v>
      </c>
    </row>
    <row r="79" spans="24:76" ht="14.25" customHeight="1">
      <c r="AW79" s="21">
        <v>0</v>
      </c>
      <c r="AX79" s="1">
        <v>7.7587808123584692E-2</v>
      </c>
      <c r="AY79" s="1">
        <v>2.8347962065335641E-2</v>
      </c>
      <c r="AZ79" s="1">
        <v>0.10792664431496524</v>
      </c>
      <c r="BA79" s="1">
        <f t="shared" si="143"/>
        <v>1.3910258186834681</v>
      </c>
    </row>
    <row r="80" spans="24:76" ht="14.25" customHeight="1">
      <c r="AW80" s="21">
        <v>2</v>
      </c>
      <c r="AX80" s="1">
        <v>0.24641389269792346</v>
      </c>
      <c r="AY80" s="1">
        <v>2.8511650982190752E-2</v>
      </c>
      <c r="AZ80" s="1">
        <v>7.8435621435410566E-2</v>
      </c>
      <c r="BA80" s="1">
        <f t="shared" si="143"/>
        <v>0.31830843860562713</v>
      </c>
    </row>
    <row r="81" spans="49:87" ht="14.25" customHeight="1">
      <c r="AW81" s="21">
        <v>4</v>
      </c>
      <c r="AX81" s="1">
        <v>0.4101197795225181</v>
      </c>
      <c r="AY81" s="1">
        <v>3.722271147320718E-2</v>
      </c>
      <c r="AZ81" s="1">
        <v>5.4791581041862332E-2</v>
      </c>
      <c r="BA81" s="1">
        <f t="shared" si="143"/>
        <v>0.13359897224575079</v>
      </c>
      <c r="BP81" s="1" t="s">
        <v>95</v>
      </c>
      <c r="BQ81" s="1">
        <v>0.16</v>
      </c>
      <c r="BR81" s="1">
        <v>0.16</v>
      </c>
      <c r="BV81" s="1" t="s">
        <v>95</v>
      </c>
      <c r="BW81" s="1">
        <v>0.16</v>
      </c>
      <c r="BX81" s="1">
        <v>0.16</v>
      </c>
    </row>
    <row r="82" spans="49:87" ht="14.25" customHeight="1">
      <c r="AW82" s="21">
        <v>6</v>
      </c>
      <c r="AX82" s="1">
        <v>0.5644322303744429</v>
      </c>
      <c r="AY82" s="1">
        <v>4.6049654823073619E-2</v>
      </c>
      <c r="AZ82" s="1">
        <v>4.0058730541646458E-2</v>
      </c>
      <c r="BA82" s="1">
        <f t="shared" si="143"/>
        <v>7.0971727668832085E-2</v>
      </c>
      <c r="BP82" s="1" t="s">
        <v>291</v>
      </c>
      <c r="BQ82" s="1">
        <v>9.2499999999999999E-2</v>
      </c>
      <c r="BV82" s="1" t="s">
        <v>291</v>
      </c>
      <c r="BW82" s="1">
        <v>0.1</v>
      </c>
    </row>
    <row r="83" spans="49:87" ht="15" thickBot="1">
      <c r="AW83" s="21">
        <v>8</v>
      </c>
      <c r="AX83" s="1">
        <v>0.69993004353652644</v>
      </c>
      <c r="AY83" s="1">
        <v>6.2503218024203694E-2</v>
      </c>
      <c r="AZ83" s="1">
        <v>1.5913237233048685E-2</v>
      </c>
      <c r="BA83" s="1">
        <f t="shared" si="143"/>
        <v>2.2735468179997106E-2</v>
      </c>
      <c r="BP83" s="1" t="s">
        <v>292</v>
      </c>
      <c r="BQ83" s="1">
        <v>-1.2500000000000001E-2</v>
      </c>
      <c r="BV83" s="1" t="s">
        <v>292</v>
      </c>
      <c r="BW83" s="1">
        <v>-1.7500000000000002E-2</v>
      </c>
    </row>
    <row r="84" spans="49:87" ht="15" thickBot="1">
      <c r="AW84" s="21">
        <v>10</v>
      </c>
      <c r="AX84" s="1">
        <v>0.81517347719001199</v>
      </c>
      <c r="AY84" s="1">
        <v>8.1524728281361286E-2</v>
      </c>
      <c r="AZ84" s="1">
        <v>-1.0603246888405523E-2</v>
      </c>
      <c r="BA84" s="1">
        <f t="shared" si="143"/>
        <v>-1.3007350196127603E-2</v>
      </c>
      <c r="BP84" s="1" t="s">
        <v>158</v>
      </c>
      <c r="BQ84" s="79">
        <f>(BQ82-BQ83)/(-2-1)</f>
        <v>-3.4999999999999996E-2</v>
      </c>
      <c r="BR84" s="80" t="s">
        <v>293</v>
      </c>
      <c r="BV84" s="1" t="s">
        <v>294</v>
      </c>
      <c r="BW84" s="79">
        <f>(BW82-BW83)/(-2-1)</f>
        <v>-3.9166666666666669E-2</v>
      </c>
      <c r="BX84" s="80"/>
    </row>
    <row r="85" spans="49:87" ht="14.25" customHeight="1">
      <c r="AW85" s="21">
        <v>11</v>
      </c>
      <c r="AX85" s="1">
        <v>0.87186472390668146</v>
      </c>
      <c r="AY85" s="1">
        <v>9.1955846352354639E-2</v>
      </c>
      <c r="AZ85" s="1">
        <v>-2.6318657323667904E-2</v>
      </c>
      <c r="BA85" s="1">
        <f t="shared" si="143"/>
        <v>-3.0186629418539102E-2</v>
      </c>
    </row>
    <row r="86" spans="49:87" ht="14.25" customHeight="1">
      <c r="AW86" s="21">
        <f>AW85+1</f>
        <v>12</v>
      </c>
      <c r="AX86" s="1">
        <v>0.91786273983574029</v>
      </c>
      <c r="AY86" s="1">
        <v>0.10547363185668657</v>
      </c>
      <c r="AZ86" s="1">
        <v>-3.8891124835149136E-2</v>
      </c>
      <c r="BA86" s="1">
        <f t="shared" si="143"/>
        <v>-4.2371395141401043E-2</v>
      </c>
      <c r="BP86" s="1" t="s">
        <v>95</v>
      </c>
      <c r="BQ86" s="1">
        <v>0.5</v>
      </c>
      <c r="BR86" s="1">
        <v>0.5</v>
      </c>
      <c r="BV86" s="1" t="s">
        <v>95</v>
      </c>
      <c r="BW86" s="1">
        <v>0.5</v>
      </c>
      <c r="BX86" s="1">
        <v>0.5</v>
      </c>
    </row>
    <row r="87" spans="49:87" ht="14.25" customHeight="1">
      <c r="AW87" s="21">
        <f t="shared" ref="AW87:AW92" si="145">AW86+1</f>
        <v>13</v>
      </c>
      <c r="AX87" s="1">
        <v>0.95845094746689696</v>
      </c>
      <c r="AY87" s="1">
        <v>0.11741263842310271</v>
      </c>
      <c r="AZ87" s="1">
        <v>-5.1853383590107119E-2</v>
      </c>
      <c r="BA87" s="1">
        <f t="shared" si="143"/>
        <v>-5.4101238803249276E-2</v>
      </c>
      <c r="BP87" s="1" t="s">
        <v>291</v>
      </c>
      <c r="BQ87" s="1">
        <v>4.7E-2</v>
      </c>
      <c r="BV87" s="1" t="s">
        <v>291</v>
      </c>
      <c r="BW87" s="1">
        <v>5.0999999999999997E-2</v>
      </c>
    </row>
    <row r="88" spans="49:87" ht="15" thickBot="1">
      <c r="AW88" s="21">
        <f t="shared" si="145"/>
        <v>14</v>
      </c>
      <c r="AX88" s="1">
        <v>0.92402972560604368</v>
      </c>
      <c r="AY88" s="1">
        <v>0.15647028767881391</v>
      </c>
      <c r="AZ88" s="1">
        <v>-8.5756111807711893E-2</v>
      </c>
      <c r="BA88" s="1">
        <f t="shared" si="143"/>
        <v>-9.2806659170479616E-2</v>
      </c>
      <c r="BP88" s="1" t="s">
        <v>292</v>
      </c>
      <c r="BQ88" s="1">
        <v>-6.5000000000000002E-2</v>
      </c>
      <c r="BV88" s="1" t="s">
        <v>292</v>
      </c>
      <c r="BW88" s="1">
        <v>-7.0000000000000007E-2</v>
      </c>
    </row>
    <row r="89" spans="49:87" ht="15" thickBot="1">
      <c r="AW89" s="21">
        <f t="shared" si="145"/>
        <v>15</v>
      </c>
      <c r="AX89" s="1">
        <v>0.94405266532769461</v>
      </c>
      <c r="AY89" s="1">
        <v>0.17551852717518499</v>
      </c>
      <c r="AZ89" s="1">
        <v>-9.1821201471782993E-2</v>
      </c>
      <c r="BA89" s="1">
        <f t="shared" si="143"/>
        <v>-9.7262795651247375E-2</v>
      </c>
      <c r="BP89" s="1" t="s">
        <v>158</v>
      </c>
      <c r="BQ89" s="70">
        <f>(BQ87-BQ88)/(-2-1)</f>
        <v>-3.7333333333333336E-2</v>
      </c>
      <c r="BV89" s="1" t="s">
        <v>294</v>
      </c>
      <c r="BW89" s="70">
        <f>(BW87-BW88)/(-2-1)</f>
        <v>-4.0333333333333332E-2</v>
      </c>
    </row>
    <row r="90" spans="49:87" ht="15" thickBot="1">
      <c r="AW90" s="21">
        <f t="shared" si="145"/>
        <v>16</v>
      </c>
      <c r="AX90" s="1">
        <v>0.91563291452330309</v>
      </c>
      <c r="AY90" s="1">
        <v>0.21166032987015967</v>
      </c>
      <c r="AZ90" s="1">
        <v>-0.10830385001992236</v>
      </c>
      <c r="BA90" s="1">
        <f t="shared" si="143"/>
        <v>-0.11828304586047732</v>
      </c>
    </row>
    <row r="91" spans="49:87" ht="14.25" customHeight="1">
      <c r="AW91" s="21">
        <f t="shared" si="145"/>
        <v>17</v>
      </c>
      <c r="AX91" s="1">
        <v>0.79159308109538473</v>
      </c>
      <c r="AY91" s="1">
        <v>0.23043726091768615</v>
      </c>
      <c r="AZ91" s="1">
        <v>-0.18296691233243742</v>
      </c>
      <c r="BA91" s="1">
        <f t="shared" si="143"/>
        <v>-0.23113758407192347</v>
      </c>
      <c r="BP91" s="71" t="s">
        <v>295</v>
      </c>
      <c r="BQ91" s="72" t="s">
        <v>296</v>
      </c>
      <c r="BR91" s="73">
        <v>-3.8598871391098299E-2</v>
      </c>
      <c r="CE91" s="1" t="s">
        <v>297</v>
      </c>
      <c r="CF91" s="1" t="s">
        <v>298</v>
      </c>
      <c r="CG91" s="1" t="s">
        <v>299</v>
      </c>
    </row>
    <row r="92" spans="49:87" ht="14.25" customHeight="1">
      <c r="AW92" s="133">
        <f t="shared" si="145"/>
        <v>18</v>
      </c>
      <c r="AX92" s="1">
        <v>0.65724995785615525</v>
      </c>
      <c r="AY92" s="1">
        <v>0.25517859511307683</v>
      </c>
      <c r="AZ92" s="1">
        <v>-0.23275501827231787</v>
      </c>
      <c r="BA92" s="1">
        <f t="shared" si="143"/>
        <v>-0.35413470246773038</v>
      </c>
      <c r="BP92" s="74"/>
      <c r="BR92" s="75"/>
      <c r="CE92" s="1">
        <v>1</v>
      </c>
      <c r="CF92" s="1">
        <v>0.1</v>
      </c>
      <c r="CG92" s="81">
        <v>-0.16</v>
      </c>
      <c r="CI92" s="1" t="s">
        <v>300</v>
      </c>
    </row>
    <row r="93" spans="49:87" ht="14.25" customHeight="1" thickBot="1">
      <c r="AW93" s="144">
        <f>AW92+1</f>
        <v>19</v>
      </c>
      <c r="AX93" s="1">
        <v>0.68831307821044208</v>
      </c>
      <c r="AY93" s="1">
        <v>0.2687050294662755</v>
      </c>
      <c r="AZ93" s="1">
        <v>-0.23164586707356519</v>
      </c>
      <c r="BA93" s="1">
        <f t="shared" si="143"/>
        <v>-0.33654142919356633</v>
      </c>
      <c r="BP93" s="74"/>
      <c r="BR93" s="75"/>
      <c r="CE93" s="1">
        <v>-2</v>
      </c>
      <c r="CF93" s="1">
        <v>0.82</v>
      </c>
      <c r="CG93" s="81">
        <v>-0.24</v>
      </c>
    </row>
    <row r="94" spans="49:87" ht="14.25" customHeight="1">
      <c r="BP94" s="74"/>
      <c r="BR94" s="75"/>
      <c r="CG94" s="1" t="s">
        <v>301</v>
      </c>
    </row>
    <row r="95" spans="49:87" ht="14.25" customHeight="1">
      <c r="BP95" s="74"/>
      <c r="BR95" s="75"/>
    </row>
    <row r="96" spans="49:87" ht="14.25" customHeight="1">
      <c r="BP96" s="74"/>
      <c r="BR96" s="75"/>
      <c r="CE96" s="232" t="s">
        <v>302</v>
      </c>
      <c r="CF96" s="232"/>
      <c r="CG96" s="232"/>
      <c r="CH96" s="232"/>
    </row>
    <row r="97" spans="68:86" ht="14.25" customHeight="1">
      <c r="BP97" s="74"/>
      <c r="BR97" s="75"/>
      <c r="CE97" s="1" t="s">
        <v>303</v>
      </c>
      <c r="CF97" s="1" t="s">
        <v>304</v>
      </c>
      <c r="CG97" s="1" t="s">
        <v>305</v>
      </c>
      <c r="CH97" s="1" t="s">
        <v>306</v>
      </c>
    </row>
    <row r="98" spans="68:86" ht="14.25" customHeight="1">
      <c r="BP98" s="74"/>
      <c r="BR98" s="75"/>
      <c r="CE98" s="1">
        <f>CF92-0.05</f>
        <v>0.05</v>
      </c>
      <c r="CF98" s="1">
        <f>CF92+0.05</f>
        <v>0.15000000000000002</v>
      </c>
      <c r="CG98" s="1">
        <f>(CE98-CF92)*CG92</f>
        <v>8.0000000000000002E-3</v>
      </c>
      <c r="CH98" s="1">
        <f>(CF98-CF92)*CG92</f>
        <v>-8.0000000000000036E-3</v>
      </c>
    </row>
    <row r="99" spans="68:86" ht="14.25" customHeight="1">
      <c r="BP99" s="74"/>
      <c r="BR99" s="75"/>
      <c r="CE99" s="1">
        <f>CF93-0.05</f>
        <v>0.76999999999999991</v>
      </c>
      <c r="CF99" s="1">
        <f>CF93+0.05</f>
        <v>0.87</v>
      </c>
      <c r="CG99" s="1">
        <f>(CE99-CF93)*CG93</f>
        <v>1.2000000000000011E-2</v>
      </c>
      <c r="CH99" s="1">
        <f>(CF99-CF93)*CG93</f>
        <v>-1.2000000000000011E-2</v>
      </c>
    </row>
    <row r="100" spans="68:86" ht="14.25" customHeight="1">
      <c r="BP100" s="74"/>
      <c r="BR100" s="75"/>
    </row>
    <row r="101" spans="68:86" ht="14.25" customHeight="1">
      <c r="BP101" s="74"/>
      <c r="BR101" s="75"/>
    </row>
    <row r="102" spans="68:86" ht="14.25" customHeight="1">
      <c r="BP102" s="74"/>
      <c r="BR102" s="75"/>
    </row>
    <row r="103" spans="68:86" ht="14.25" customHeight="1" thickBot="1">
      <c r="BP103" s="76"/>
      <c r="BQ103" s="77"/>
      <c r="BR103" s="78"/>
    </row>
    <row r="131" spans="82:85" ht="14.25" customHeight="1">
      <c r="CE131" s="1" t="s">
        <v>307</v>
      </c>
      <c r="CF131" s="1" t="s">
        <v>308</v>
      </c>
      <c r="CG131" s="1" t="s">
        <v>309</v>
      </c>
    </row>
    <row r="132" spans="82:85" ht="14.25" customHeight="1">
      <c r="CD132" s="1" t="s">
        <v>310</v>
      </c>
      <c r="CE132" s="1">
        <v>0.1</v>
      </c>
      <c r="CF132" s="1">
        <v>0.82</v>
      </c>
    </row>
    <row r="133" spans="82:85" ht="14.25" customHeight="1">
      <c r="CD133" s="1" t="s">
        <v>311</v>
      </c>
      <c r="CE133" s="1">
        <v>7.6600000000000001E-2</v>
      </c>
      <c r="CF133" s="1">
        <f>SLOPE(CE45:CE46,BM45:BM46)</f>
        <v>5.4991683212489088E-2</v>
      </c>
      <c r="CG133" s="1">
        <v>5.8599999999999999E-2</v>
      </c>
    </row>
    <row r="135" spans="82:85" ht="14.25" customHeight="1">
      <c r="CD135" s="1" t="s">
        <v>312</v>
      </c>
      <c r="CE135" s="1">
        <f>0.1246-0.0771</f>
        <v>4.7500000000000001E-2</v>
      </c>
    </row>
    <row r="137" spans="82:85" ht="14.25" customHeight="1">
      <c r="CD137" s="1" t="s">
        <v>313</v>
      </c>
      <c r="CE137" s="1">
        <f>0.0475/(3*(0.032/0.128))</f>
        <v>6.3333333333333339E-2</v>
      </c>
    </row>
    <row r="139" spans="82:85" ht="14.25" customHeight="1">
      <c r="CD139" s="1" t="s">
        <v>314</v>
      </c>
      <c r="CE139" s="1">
        <f>0.81-CU15</f>
        <v>0.71000000000000008</v>
      </c>
    </row>
    <row r="141" spans="82:85" ht="14.25" customHeight="1">
      <c r="CD141" s="1" t="s">
        <v>315</v>
      </c>
      <c r="CE141" s="1">
        <f>CE139*0.032/(0.128*0.158)</f>
        <v>1.1234177215189876</v>
      </c>
    </row>
  </sheetData>
  <mergeCells count="55">
    <mergeCell ref="B14:U14"/>
    <mergeCell ref="AA14:AC14"/>
    <mergeCell ref="AF14:AH14"/>
    <mergeCell ref="AK14:AM14"/>
    <mergeCell ref="AA26:AC26"/>
    <mergeCell ref="AF26:AH26"/>
    <mergeCell ref="AK26:AM26"/>
    <mergeCell ref="A15:A23"/>
    <mergeCell ref="A27:A35"/>
    <mergeCell ref="A39:A55"/>
    <mergeCell ref="B38:U38"/>
    <mergeCell ref="B26:U26"/>
    <mergeCell ref="AD40:AD55"/>
    <mergeCell ref="AI16:AI23"/>
    <mergeCell ref="AI28:AI35"/>
    <mergeCell ref="AI40:AI55"/>
    <mergeCell ref="AN14:AP14"/>
    <mergeCell ref="AF38:AH38"/>
    <mergeCell ref="CE13:CG13"/>
    <mergeCell ref="W14:Y14"/>
    <mergeCell ref="W26:Y26"/>
    <mergeCell ref="W38:Y38"/>
    <mergeCell ref="AD16:AD23"/>
    <mergeCell ref="AD28:AD35"/>
    <mergeCell ref="AU14:AW14"/>
    <mergeCell ref="BB14:BD14"/>
    <mergeCell ref="BI14:BK14"/>
    <mergeCell ref="BZ16:BZ23"/>
    <mergeCell ref="BW25:BX25"/>
    <mergeCell ref="AA38:AC38"/>
    <mergeCell ref="BP13:BR13"/>
    <mergeCell ref="AA13:AC13"/>
    <mergeCell ref="AF13:AH13"/>
    <mergeCell ref="AK13:AM13"/>
    <mergeCell ref="AR13:AT13"/>
    <mergeCell ref="AY13:BA13"/>
    <mergeCell ref="BF13:BH13"/>
    <mergeCell ref="AK38:AM38"/>
    <mergeCell ref="AR14:AT14"/>
    <mergeCell ref="AR26:AT26"/>
    <mergeCell ref="AR38:AT38"/>
    <mergeCell ref="AY14:BA14"/>
    <mergeCell ref="AY26:BA26"/>
    <mergeCell ref="AY38:BA38"/>
    <mergeCell ref="DM14:DN14"/>
    <mergeCell ref="CE96:CH96"/>
    <mergeCell ref="CE14:CG14"/>
    <mergeCell ref="BF14:BH14"/>
    <mergeCell ref="BF26:BH26"/>
    <mergeCell ref="BF38:BH38"/>
    <mergeCell ref="BP14:BR14"/>
    <mergeCell ref="BP26:BR26"/>
    <mergeCell ref="BP38:BR38"/>
    <mergeCell ref="CE24:CG24"/>
    <mergeCell ref="CH14:CJ14"/>
  </mergeCells>
  <phoneticPr fontId="19" type="noConversion"/>
  <pageMargins left="0.7" right="0.7" top="0.75" bottom="0.75" header="0.3" footer="0.3"/>
  <pageSetup orientation="portrait" r:id="rId1"/>
  <ignoredErrors>
    <ignoredError sqref="BG28:BG35 BG40:BG53 BQ16:BQ23 BQ28:BQ36 BQ40:BQ53 BT36:BT39 BT24:BT27 BT16:BT23 BT28:BT35 BT40:BT55 CG28:CG55"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E7B29-44CF-4D07-B56D-E02C690B1B51}">
  <dimension ref="B36:AL116"/>
  <sheetViews>
    <sheetView topLeftCell="A20" zoomScale="85" zoomScaleNormal="85" workbookViewId="0">
      <selection activeCell="AZ67" sqref="AZ67"/>
    </sheetView>
  </sheetViews>
  <sheetFormatPr defaultColWidth="8.85546875" defaultRowHeight="14.45"/>
  <cols>
    <col min="2" max="2" width="8.85546875" style="63"/>
    <col min="34" max="34" width="26.42578125" customWidth="1"/>
    <col min="36" max="36" width="12.85546875" customWidth="1"/>
    <col min="37" max="37" width="9.42578125" customWidth="1"/>
    <col min="38" max="38" width="19.28515625" bestFit="1" customWidth="1"/>
  </cols>
  <sheetData>
    <row r="36" spans="2:2">
      <c r="B36" s="63" t="s">
        <v>316</v>
      </c>
    </row>
    <row r="61" spans="2:38" ht="16.149999999999999">
      <c r="B61" s="63" t="s">
        <v>317</v>
      </c>
      <c r="AH61" s="189" t="s">
        <v>318</v>
      </c>
      <c r="AI61" s="190" t="s">
        <v>319</v>
      </c>
      <c r="AJ61" s="190" t="s">
        <v>320</v>
      </c>
      <c r="AK61" s="190" t="s">
        <v>321</v>
      </c>
      <c r="AL61" s="191" t="s">
        <v>322</v>
      </c>
    </row>
    <row r="62" spans="2:38">
      <c r="AH62" s="192" t="s">
        <v>323</v>
      </c>
      <c r="AI62" s="187">
        <v>1.55E-2</v>
      </c>
      <c r="AJ62" s="187">
        <v>0.23100000000000001</v>
      </c>
      <c r="AK62" s="187" t="s">
        <v>324</v>
      </c>
      <c r="AL62" s="193">
        <v>0.52100000000000002</v>
      </c>
    </row>
    <row r="63" spans="2:38">
      <c r="AH63" s="192" t="s">
        <v>167</v>
      </c>
      <c r="AI63" s="187">
        <v>2.0400000000000001E-2</v>
      </c>
      <c r="AJ63" s="187">
        <v>0.161</v>
      </c>
      <c r="AK63" s="187" t="s">
        <v>325</v>
      </c>
      <c r="AL63" s="193">
        <v>0.52400000000000002</v>
      </c>
    </row>
    <row r="64" spans="2:38" ht="16.149999999999999">
      <c r="AH64" s="192" t="s">
        <v>326</v>
      </c>
      <c r="AI64" s="187">
        <v>2.46E-2</v>
      </c>
      <c r="AJ64" s="187">
        <v>0.16200000000000001</v>
      </c>
      <c r="AK64" s="187" t="s">
        <v>327</v>
      </c>
      <c r="AL64" s="193" t="s">
        <v>328</v>
      </c>
    </row>
    <row r="65" spans="34:38" ht="16.149999999999999">
      <c r="AH65" s="194" t="s">
        <v>329</v>
      </c>
      <c r="AI65" s="188">
        <v>2.5600000000000001E-2</v>
      </c>
      <c r="AJ65" s="188">
        <v>0.16200000000000001</v>
      </c>
      <c r="AK65" s="195" t="s">
        <v>330</v>
      </c>
      <c r="AL65" s="196" t="s">
        <v>331</v>
      </c>
    </row>
    <row r="89" spans="2:2">
      <c r="B89" s="63" t="s">
        <v>332</v>
      </c>
    </row>
    <row r="116" spans="2:2">
      <c r="B116" s="63" t="s">
        <v>333</v>
      </c>
    </row>
  </sheetData>
  <phoneticPr fontId="19" type="noConversion"/>
  <pageMargins left="0.7" right="0.7" top="0.75" bottom="0.75" header="0.3" footer="0.3"/>
  <ignoredErrors>
    <ignoredError sqref="AK62 AK63:AK65 AL64:AL65" numberStoredAsText="1"/>
  </ignoredErrors>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58C3E2E4CB943BBA5A34974EBA151" ma:contentTypeVersion="13" ma:contentTypeDescription="Create a new document." ma:contentTypeScope="" ma:versionID="386abcf7981096c58d90ac53a93836a0">
  <xsd:schema xmlns:xsd="http://www.w3.org/2001/XMLSchema" xmlns:xs="http://www.w3.org/2001/XMLSchema" xmlns:p="http://schemas.microsoft.com/office/2006/metadata/properties" xmlns:ns2="02ca3038-0f98-4252-bf64-cc1cc07597e0" xmlns:ns3="4059121e-d26c-48ea-81b3-9553f2c71daf" targetNamespace="http://schemas.microsoft.com/office/2006/metadata/properties" ma:root="true" ma:fieldsID="10afbe752ea15b6fb3ffd1127b1b3d4c" ns2:_="" ns3:_="">
    <xsd:import namespace="02ca3038-0f98-4252-bf64-cc1cc07597e0"/>
    <xsd:import namespace="4059121e-d26c-48ea-81b3-9553f2c71daf"/>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ServiceOCR"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ca3038-0f98-4252-bf64-cc1cc07597e0"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74661dae-d6df-48fc-a54e-a577d2899e9c"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059121e-d26c-48ea-81b3-9553f2c71daf"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579c628-3ff1-4663-8582-e118fb964c1f}" ma:internalName="TaxCatchAll" ma:showField="CatchAllData" ma:web="4059121e-d26c-48ea-81b3-9553f2c71d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2ca3038-0f98-4252-bf64-cc1cc07597e0">
      <Terms xmlns="http://schemas.microsoft.com/office/infopath/2007/PartnerControls"/>
    </lcf76f155ced4ddcb4097134ff3c332f>
    <TaxCatchAll xmlns="4059121e-d26c-48ea-81b3-9553f2c71daf" xsi:nil="true"/>
  </documentManagement>
</p:properties>
</file>

<file path=customXml/itemProps1.xml><?xml version="1.0" encoding="utf-8"?>
<ds:datastoreItem xmlns:ds="http://schemas.openxmlformats.org/officeDocument/2006/customXml" ds:itemID="{DA1417FD-F5FA-4C2B-AC57-AE18826A278C}"/>
</file>

<file path=customXml/itemProps2.xml><?xml version="1.0" encoding="utf-8"?>
<ds:datastoreItem xmlns:ds="http://schemas.openxmlformats.org/officeDocument/2006/customXml" ds:itemID="{93122FE6-B892-4A9F-A2CC-6556FD0E3897}"/>
</file>

<file path=customXml/itemProps3.xml><?xml version="1.0" encoding="utf-8"?>
<ds:datastoreItem xmlns:ds="http://schemas.openxmlformats.org/officeDocument/2006/customXml" ds:itemID="{38A5F8D1-B204-4112-BDE1-01D2C5C0A3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Yeu, Rui Cheng R</dc:creator>
  <cp:keywords/>
  <dc:description/>
  <cp:lastModifiedBy>Kaul, Himmat</cp:lastModifiedBy>
  <cp:revision/>
  <dcterms:created xsi:type="dcterms:W3CDTF">2024-03-26T15:02:40Z</dcterms:created>
  <dcterms:modified xsi:type="dcterms:W3CDTF">2025-02-18T00:35:48Z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0x0101006CB58C3E2E4CB943BBA5A34974EBA151</vt:lpwstr>
  </property>
  <property fmtid="{D5CDD505-2E9C-101B-9397-08002B2CF9AE}" pid="3" name="MediaServiceImageTags">
    <vt:lpwstr/>
  </property>
</Properties>
</file>