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comments1.xml" ContentType="application/vnd.openxmlformats-officedocument.spreadsheetml.comment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0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h2323_ic_ac_uk/Documents/"/>
    </mc:Choice>
  </mc:AlternateContent>
  <xr:revisionPtr revIDLastSave="0" documentId="8_{FA09FFCE-4144-994B-9F11-4FA47AC7B186}" xr6:coauthVersionLast="47" xr6:coauthVersionMax="47" xr10:uidLastSave="{00000000-0000-0000-0000-000000000000}"/>
  <bookViews>
    <workbookView xWindow="-120" yWindow="-120" windowWidth="29040" windowHeight="16440" firstSheet="3" activeTab="3" xr2:uid="{15966003-6238-4693-9DA0-15EC3B81E949}"/>
  </bookViews>
  <sheets>
    <sheet name="KESHAV Flight Sim" sheetId="4" r:id="rId1"/>
    <sheet name="Flight Tests" sheetId="1" r:id="rId2"/>
    <sheet name="Q1 Plots" sheetId="3" r:id="rId3"/>
    <sheet name="Wind Tunnel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8" i="2" l="1"/>
  <c r="BQ100" i="2"/>
  <c r="BQ101" i="2"/>
  <c r="BQ102" i="2"/>
  <c r="BQ103" i="2"/>
  <c r="BQ104" i="2"/>
  <c r="BQ105" i="2"/>
  <c r="BQ106" i="2"/>
  <c r="BQ110" i="2"/>
  <c r="BQ111" i="2"/>
  <c r="BQ112" i="2"/>
  <c r="BQ113" i="2"/>
  <c r="BQ114" i="2"/>
  <c r="BQ115" i="2"/>
  <c r="BQ116" i="2"/>
  <c r="BQ117" i="2"/>
  <c r="BQ121" i="2"/>
  <c r="BQ122" i="2"/>
  <c r="BQ123" i="2"/>
  <c r="BQ124" i="2"/>
  <c r="BQ125" i="2"/>
  <c r="BQ126" i="2"/>
  <c r="BQ127" i="2"/>
  <c r="BQ128" i="2"/>
  <c r="BQ129" i="2"/>
  <c r="BQ130" i="2"/>
  <c r="BQ131" i="2"/>
  <c r="BQ132" i="2"/>
  <c r="BQ133" i="2"/>
  <c r="BQ134" i="2"/>
  <c r="BQ135" i="2"/>
  <c r="BQ99" i="2"/>
  <c r="BP100" i="2"/>
  <c r="BP101" i="2"/>
  <c r="BP102" i="2"/>
  <c r="BP103" i="2"/>
  <c r="BP104" i="2"/>
  <c r="BP105" i="2"/>
  <c r="BP106" i="2"/>
  <c r="BP110" i="2"/>
  <c r="BP111" i="2"/>
  <c r="BP112" i="2"/>
  <c r="BP113" i="2"/>
  <c r="BP114" i="2"/>
  <c r="BP115" i="2"/>
  <c r="BP116" i="2"/>
  <c r="BP117" i="2"/>
  <c r="BP121" i="2"/>
  <c r="BP122" i="2"/>
  <c r="BP123" i="2"/>
  <c r="BP124" i="2"/>
  <c r="BP125" i="2"/>
  <c r="BP126" i="2"/>
  <c r="BP127" i="2"/>
  <c r="BP128" i="2"/>
  <c r="BP129" i="2"/>
  <c r="BP130" i="2"/>
  <c r="BP131" i="2"/>
  <c r="BP132" i="2"/>
  <c r="BP133" i="2"/>
  <c r="BP134" i="2"/>
  <c r="BP135" i="2"/>
  <c r="BP99" i="2"/>
  <c r="BO100" i="2"/>
  <c r="BO101" i="2"/>
  <c r="BO102" i="2"/>
  <c r="BO103" i="2"/>
  <c r="BO104" i="2"/>
  <c r="BO105" i="2"/>
  <c r="BO106" i="2"/>
  <c r="BO110" i="2"/>
  <c r="BO111" i="2"/>
  <c r="BO112" i="2"/>
  <c r="BO113" i="2"/>
  <c r="BO114" i="2"/>
  <c r="BO115" i="2"/>
  <c r="BO116" i="2"/>
  <c r="BO117" i="2"/>
  <c r="BO121" i="2"/>
  <c r="BO122" i="2"/>
  <c r="BO123" i="2"/>
  <c r="BO124" i="2"/>
  <c r="BO125" i="2"/>
  <c r="BO126" i="2"/>
  <c r="BO127" i="2"/>
  <c r="BO128" i="2"/>
  <c r="BO129" i="2"/>
  <c r="BO130" i="2"/>
  <c r="BO131" i="2"/>
  <c r="BO132" i="2"/>
  <c r="BO133" i="2"/>
  <c r="BO134" i="2"/>
  <c r="BO135" i="2"/>
  <c r="BO99" i="2"/>
  <c r="BN100" i="2"/>
  <c r="BN101" i="2"/>
  <c r="BN102" i="2"/>
  <c r="BN103" i="2"/>
  <c r="BN104" i="2"/>
  <c r="BN105" i="2"/>
  <c r="BN106" i="2"/>
  <c r="BN110" i="2"/>
  <c r="BN111" i="2"/>
  <c r="BN112" i="2"/>
  <c r="BN113" i="2"/>
  <c r="BN114" i="2"/>
  <c r="BN115" i="2"/>
  <c r="BN116" i="2"/>
  <c r="BN117" i="2"/>
  <c r="BN121" i="2"/>
  <c r="BN122" i="2"/>
  <c r="BN123" i="2"/>
  <c r="BN124" i="2"/>
  <c r="BN125" i="2"/>
  <c r="BN126" i="2"/>
  <c r="BN127" i="2"/>
  <c r="BN128" i="2"/>
  <c r="BN129" i="2"/>
  <c r="BN130" i="2"/>
  <c r="BN131" i="2"/>
  <c r="BN132" i="2"/>
  <c r="BN133" i="2"/>
  <c r="BN134" i="2"/>
  <c r="BN135" i="2"/>
  <c r="BM100" i="2"/>
  <c r="BM101" i="2"/>
  <c r="BM102" i="2"/>
  <c r="BM103" i="2"/>
  <c r="BM104" i="2"/>
  <c r="BM105" i="2"/>
  <c r="BM106" i="2"/>
  <c r="BM110" i="2"/>
  <c r="BM111" i="2"/>
  <c r="BM112" i="2"/>
  <c r="BM113" i="2"/>
  <c r="BM114" i="2"/>
  <c r="BM115" i="2"/>
  <c r="BM116" i="2"/>
  <c r="BM117" i="2"/>
  <c r="BM121" i="2"/>
  <c r="BM122" i="2"/>
  <c r="BM123" i="2"/>
  <c r="BM124" i="2"/>
  <c r="BM125" i="2"/>
  <c r="BM126" i="2"/>
  <c r="BM127" i="2"/>
  <c r="BM128" i="2"/>
  <c r="BM129" i="2"/>
  <c r="BM130" i="2"/>
  <c r="BM131" i="2"/>
  <c r="BM132" i="2"/>
  <c r="BM133" i="2"/>
  <c r="BM134" i="2"/>
  <c r="BM135" i="2"/>
  <c r="BM99" i="2"/>
  <c r="BN99" i="2"/>
  <c r="BK99" i="2"/>
  <c r="BL100" i="2"/>
  <c r="BL101" i="2"/>
  <c r="BL102" i="2"/>
  <c r="BL103" i="2"/>
  <c r="BL104" i="2"/>
  <c r="BL105" i="2"/>
  <c r="BL106" i="2"/>
  <c r="BL110" i="2"/>
  <c r="BL111" i="2"/>
  <c r="BL112" i="2"/>
  <c r="BL113" i="2"/>
  <c r="BL114" i="2"/>
  <c r="BL115" i="2"/>
  <c r="BL116" i="2"/>
  <c r="BL117" i="2"/>
  <c r="BL121" i="2"/>
  <c r="BL122" i="2"/>
  <c r="BL123" i="2"/>
  <c r="BL124" i="2"/>
  <c r="BL125" i="2"/>
  <c r="BL126" i="2"/>
  <c r="BL127" i="2"/>
  <c r="BL128" i="2"/>
  <c r="BL129" i="2"/>
  <c r="BL130" i="2"/>
  <c r="BL131" i="2"/>
  <c r="BL132" i="2"/>
  <c r="BL133" i="2"/>
  <c r="BL134" i="2"/>
  <c r="BL135" i="2"/>
  <c r="BL99" i="2"/>
  <c r="BK100" i="2"/>
  <c r="BK101" i="2"/>
  <c r="BK102" i="2"/>
  <c r="BK103" i="2"/>
  <c r="BK104" i="2"/>
  <c r="BK105" i="2"/>
  <c r="BK106" i="2"/>
  <c r="BK110" i="2"/>
  <c r="BK111" i="2"/>
  <c r="BK112" i="2"/>
  <c r="BK113" i="2"/>
  <c r="BK114" i="2"/>
  <c r="BK115" i="2"/>
  <c r="BK116" i="2"/>
  <c r="BK117" i="2"/>
  <c r="BK121" i="2"/>
  <c r="BK122" i="2"/>
  <c r="BK123" i="2"/>
  <c r="BK124" i="2"/>
  <c r="BK125" i="2"/>
  <c r="BK126" i="2"/>
  <c r="BK127" i="2"/>
  <c r="BK128" i="2"/>
  <c r="BK129" i="2"/>
  <c r="BK130" i="2"/>
  <c r="BK131" i="2"/>
  <c r="BK132" i="2"/>
  <c r="BK133" i="2"/>
  <c r="BK134" i="2"/>
  <c r="BK135" i="2"/>
  <c r="BJ100" i="2"/>
  <c r="BJ101" i="2"/>
  <c r="BJ102" i="2"/>
  <c r="BJ103" i="2"/>
  <c r="BJ104" i="2"/>
  <c r="BJ105" i="2"/>
  <c r="BJ106" i="2"/>
  <c r="BJ110" i="2"/>
  <c r="BJ111" i="2"/>
  <c r="BJ112" i="2"/>
  <c r="BJ113" i="2"/>
  <c r="BJ114" i="2"/>
  <c r="BJ115" i="2"/>
  <c r="BJ116" i="2"/>
  <c r="BJ117" i="2"/>
  <c r="BJ121" i="2"/>
  <c r="BJ122" i="2"/>
  <c r="BJ123" i="2"/>
  <c r="BJ124" i="2"/>
  <c r="BJ125" i="2"/>
  <c r="BJ126" i="2"/>
  <c r="BJ127" i="2"/>
  <c r="BJ128" i="2"/>
  <c r="BJ129" i="2"/>
  <c r="BJ130" i="2"/>
  <c r="BJ131" i="2"/>
  <c r="BJ132" i="2"/>
  <c r="BJ133" i="2"/>
  <c r="BJ134" i="2"/>
  <c r="BJ135" i="2"/>
  <c r="BJ99" i="2"/>
  <c r="BI100" i="2"/>
  <c r="BI101" i="2"/>
  <c r="BI102" i="2"/>
  <c r="BI103" i="2"/>
  <c r="BI104" i="2"/>
  <c r="BI105" i="2"/>
  <c r="BI106" i="2"/>
  <c r="BI110" i="2"/>
  <c r="BI111" i="2"/>
  <c r="BI112" i="2"/>
  <c r="BI113" i="2"/>
  <c r="BI114" i="2"/>
  <c r="BI115" i="2"/>
  <c r="BI116" i="2"/>
  <c r="BI117" i="2"/>
  <c r="BI121" i="2"/>
  <c r="BI122" i="2"/>
  <c r="BI123" i="2"/>
  <c r="BI124" i="2"/>
  <c r="BI125" i="2"/>
  <c r="BI126" i="2"/>
  <c r="BI127" i="2"/>
  <c r="BI128" i="2"/>
  <c r="BI129" i="2"/>
  <c r="BI130" i="2"/>
  <c r="BI131" i="2"/>
  <c r="BI132" i="2"/>
  <c r="BI133" i="2"/>
  <c r="BI134" i="2"/>
  <c r="BI135" i="2"/>
  <c r="BI99" i="2"/>
  <c r="BH99" i="2"/>
  <c r="BH100" i="2"/>
  <c r="BH101" i="2"/>
  <c r="BH102" i="2"/>
  <c r="BH103" i="2"/>
  <c r="BH104" i="2"/>
  <c r="BH105" i="2"/>
  <c r="BH106" i="2"/>
  <c r="BH110" i="2"/>
  <c r="BH111" i="2"/>
  <c r="BH112" i="2"/>
  <c r="BH113" i="2"/>
  <c r="BH114" i="2"/>
  <c r="BH115" i="2"/>
  <c r="BH116" i="2"/>
  <c r="BH117" i="2"/>
  <c r="BH121" i="2"/>
  <c r="BH122" i="2"/>
  <c r="BH123" i="2"/>
  <c r="BH124" i="2"/>
  <c r="BH125" i="2"/>
  <c r="BH126" i="2"/>
  <c r="BH127" i="2"/>
  <c r="BH128" i="2"/>
  <c r="BH129" i="2"/>
  <c r="BH130" i="2"/>
  <c r="BH131" i="2"/>
  <c r="BH132" i="2"/>
  <c r="BH133" i="2"/>
  <c r="BH134" i="2"/>
  <c r="BH135" i="2"/>
  <c r="AX103" i="2"/>
  <c r="BD103" i="2"/>
  <c r="BF103" i="2"/>
  <c r="BG100" i="2"/>
  <c r="BG101" i="2"/>
  <c r="BG102" i="2"/>
  <c r="BG103" i="2"/>
  <c r="BG104" i="2"/>
  <c r="BG105" i="2"/>
  <c r="BG106" i="2"/>
  <c r="BG110" i="2"/>
  <c r="BG111" i="2"/>
  <c r="BG112" i="2"/>
  <c r="BG113" i="2"/>
  <c r="BG114" i="2"/>
  <c r="BG115" i="2"/>
  <c r="BG116" i="2"/>
  <c r="BG117" i="2"/>
  <c r="BG121" i="2"/>
  <c r="BG122" i="2"/>
  <c r="BG123" i="2"/>
  <c r="BG124" i="2"/>
  <c r="BG125" i="2"/>
  <c r="BG126" i="2"/>
  <c r="BG127" i="2"/>
  <c r="BG128" i="2"/>
  <c r="BG129" i="2"/>
  <c r="BG130" i="2"/>
  <c r="BG131" i="2"/>
  <c r="BG132" i="2"/>
  <c r="BG133" i="2"/>
  <c r="BG134" i="2"/>
  <c r="BG135" i="2"/>
  <c r="BG99" i="2"/>
  <c r="BF100" i="2"/>
  <c r="BF101" i="2"/>
  <c r="BF102" i="2"/>
  <c r="BF104" i="2"/>
  <c r="BF105" i="2"/>
  <c r="BF106" i="2"/>
  <c r="BF110" i="2"/>
  <c r="BF111" i="2"/>
  <c r="BF112" i="2"/>
  <c r="BF113" i="2"/>
  <c r="BF114" i="2"/>
  <c r="BF115" i="2"/>
  <c r="BF116" i="2"/>
  <c r="BF117" i="2"/>
  <c r="BF121" i="2"/>
  <c r="BF122" i="2"/>
  <c r="BF123" i="2"/>
  <c r="BF124" i="2"/>
  <c r="BF125" i="2"/>
  <c r="BF126" i="2"/>
  <c r="BF127" i="2"/>
  <c r="BF128" i="2"/>
  <c r="BF129" i="2"/>
  <c r="BF130" i="2"/>
  <c r="BF131" i="2"/>
  <c r="BF132" i="2"/>
  <c r="BF133" i="2"/>
  <c r="BF134" i="2"/>
  <c r="BF135" i="2"/>
  <c r="BF99" i="2"/>
  <c r="N3" i="2"/>
  <c r="L3" i="2" a="1"/>
  <c r="L3" i="2"/>
  <c r="J3" i="2" a="1"/>
  <c r="J3" i="2"/>
  <c r="BE100" i="2"/>
  <c r="BE101" i="2"/>
  <c r="BE102" i="2"/>
  <c r="BE103" i="2"/>
  <c r="BE104" i="2"/>
  <c r="BE105" i="2"/>
  <c r="BE106" i="2"/>
  <c r="BE110" i="2"/>
  <c r="BE111" i="2"/>
  <c r="BE112" i="2"/>
  <c r="BE113" i="2"/>
  <c r="BE114" i="2"/>
  <c r="BE115" i="2"/>
  <c r="BE116" i="2"/>
  <c r="BE117" i="2"/>
  <c r="BE121" i="2"/>
  <c r="BE122" i="2"/>
  <c r="BE123" i="2"/>
  <c r="BE124" i="2"/>
  <c r="BE125" i="2"/>
  <c r="BE126" i="2"/>
  <c r="BE127" i="2"/>
  <c r="BE128" i="2"/>
  <c r="BE129" i="2"/>
  <c r="BE130" i="2"/>
  <c r="BE131" i="2"/>
  <c r="BE132" i="2"/>
  <c r="BE133" i="2"/>
  <c r="BE134" i="2"/>
  <c r="BE135" i="2"/>
  <c r="BE99" i="2"/>
  <c r="BD99" i="2"/>
  <c r="BD100" i="2"/>
  <c r="BD101" i="2"/>
  <c r="BD102" i="2"/>
  <c r="BD104" i="2"/>
  <c r="BD105" i="2"/>
  <c r="BD106" i="2"/>
  <c r="BD110" i="2"/>
  <c r="BD111" i="2"/>
  <c r="BD112" i="2"/>
  <c r="BD113" i="2"/>
  <c r="BD114" i="2"/>
  <c r="BD115" i="2"/>
  <c r="BD116" i="2"/>
  <c r="BD117" i="2"/>
  <c r="BD121" i="2"/>
  <c r="BD122" i="2"/>
  <c r="BD123" i="2"/>
  <c r="BD124" i="2"/>
  <c r="BD125" i="2"/>
  <c r="BD126" i="2"/>
  <c r="BD127" i="2"/>
  <c r="BD128" i="2"/>
  <c r="BD129" i="2"/>
  <c r="BD130" i="2"/>
  <c r="BD131" i="2"/>
  <c r="BD132" i="2"/>
  <c r="BD133" i="2"/>
  <c r="BD134" i="2"/>
  <c r="BD135" i="2"/>
  <c r="AX99" i="2"/>
  <c r="AZ99" i="2"/>
  <c r="BB99" i="2"/>
  <c r="AY100" i="2"/>
  <c r="AY101" i="2"/>
  <c r="AY102" i="2"/>
  <c r="AY103" i="2"/>
  <c r="AY104" i="2"/>
  <c r="BA104" i="2"/>
  <c r="BC104" i="2"/>
  <c r="AY105" i="2"/>
  <c r="AY106" i="2"/>
  <c r="BA106" i="2"/>
  <c r="BC106" i="2"/>
  <c r="AY110" i="2"/>
  <c r="AY111" i="2"/>
  <c r="BA111" i="2"/>
  <c r="BC111" i="2"/>
  <c r="AY112" i="2"/>
  <c r="BA112" i="2"/>
  <c r="BC112" i="2"/>
  <c r="AY113" i="2"/>
  <c r="AY114" i="2"/>
  <c r="AY115" i="2"/>
  <c r="BA115" i="2"/>
  <c r="BC115" i="2"/>
  <c r="AY116" i="2"/>
  <c r="AY117" i="2"/>
  <c r="AY121" i="2"/>
  <c r="AY122" i="2"/>
  <c r="BA122" i="2"/>
  <c r="BC122" i="2"/>
  <c r="AY123" i="2"/>
  <c r="BA123" i="2"/>
  <c r="BC123" i="2"/>
  <c r="AY124" i="2"/>
  <c r="AY125" i="2"/>
  <c r="AY126" i="2"/>
  <c r="AY127" i="2"/>
  <c r="AY128" i="2"/>
  <c r="AY129" i="2"/>
  <c r="AY130" i="2"/>
  <c r="BA130" i="2"/>
  <c r="BC130" i="2"/>
  <c r="AY131" i="2"/>
  <c r="BA131" i="2"/>
  <c r="BC131" i="2"/>
  <c r="AY132" i="2"/>
  <c r="AY133" i="2"/>
  <c r="AY134" i="2"/>
  <c r="AY135" i="2"/>
  <c r="AY99" i="2"/>
  <c r="BA99" i="2"/>
  <c r="BC99" i="2"/>
  <c r="AX100" i="2"/>
  <c r="AX101" i="2"/>
  <c r="AX102" i="2"/>
  <c r="AX104" i="2"/>
  <c r="AZ104" i="2"/>
  <c r="BB104" i="2"/>
  <c r="AX105" i="2"/>
  <c r="AX106" i="2"/>
  <c r="AX110" i="2"/>
  <c r="AX111" i="2"/>
  <c r="AZ111" i="2"/>
  <c r="BB111" i="2"/>
  <c r="AX112" i="2"/>
  <c r="AX113" i="2"/>
  <c r="AX114" i="2"/>
  <c r="AX115" i="2"/>
  <c r="AZ115" i="2"/>
  <c r="BB115" i="2"/>
  <c r="AX116" i="2"/>
  <c r="AZ116" i="2"/>
  <c r="BB116" i="2"/>
  <c r="AX117" i="2"/>
  <c r="AZ117" i="2"/>
  <c r="BB117" i="2"/>
  <c r="AX121" i="2"/>
  <c r="AX122" i="2"/>
  <c r="AX123" i="2"/>
  <c r="AX124" i="2"/>
  <c r="AX125" i="2"/>
  <c r="AX126" i="2"/>
  <c r="AZ126" i="2"/>
  <c r="BB126" i="2"/>
  <c r="AX127" i="2"/>
  <c r="AZ127" i="2"/>
  <c r="BB127" i="2"/>
  <c r="AX128" i="2"/>
  <c r="AZ128" i="2"/>
  <c r="BB128" i="2"/>
  <c r="AX129" i="2"/>
  <c r="AX130" i="2"/>
  <c r="AX131" i="2"/>
  <c r="AX132" i="2"/>
  <c r="AX133" i="2"/>
  <c r="AX134" i="2"/>
  <c r="AZ134" i="2"/>
  <c r="BB134" i="2"/>
  <c r="AX135" i="2"/>
  <c r="AZ135" i="2"/>
  <c r="BB135" i="2"/>
  <c r="BC100" i="2"/>
  <c r="BC102" i="2"/>
  <c r="BC103" i="2"/>
  <c r="BC110" i="2"/>
  <c r="BC113" i="2"/>
  <c r="BC114" i="2"/>
  <c r="BC121" i="2"/>
  <c r="BC124" i="2"/>
  <c r="BC125" i="2"/>
  <c r="BC129" i="2"/>
  <c r="BC132" i="2"/>
  <c r="BC133" i="2"/>
  <c r="BB100" i="2"/>
  <c r="BB105" i="2"/>
  <c r="BB110" i="2"/>
  <c r="BB121" i="2"/>
  <c r="BB122" i="2"/>
  <c r="BB129" i="2"/>
  <c r="BB130" i="2"/>
  <c r="BA100" i="2"/>
  <c r="BA101" i="2"/>
  <c r="BC101" i="2"/>
  <c r="BA102" i="2"/>
  <c r="BA103" i="2"/>
  <c r="BA105" i="2"/>
  <c r="BC105" i="2"/>
  <c r="BA110" i="2"/>
  <c r="BA113" i="2"/>
  <c r="BA114" i="2"/>
  <c r="BA116" i="2"/>
  <c r="BC116" i="2"/>
  <c r="BA117" i="2"/>
  <c r="BC117" i="2"/>
  <c r="BA121" i="2"/>
  <c r="BA124" i="2"/>
  <c r="BA125" i="2"/>
  <c r="BA126" i="2"/>
  <c r="BC126" i="2"/>
  <c r="BA127" i="2"/>
  <c r="BC127" i="2"/>
  <c r="BA128" i="2"/>
  <c r="BC128" i="2"/>
  <c r="BA129" i="2"/>
  <c r="BA132" i="2"/>
  <c r="BA133" i="2"/>
  <c r="BA134" i="2"/>
  <c r="BC134" i="2"/>
  <c r="BA135" i="2"/>
  <c r="BC135" i="2"/>
  <c r="AZ100" i="2"/>
  <c r="AZ101" i="2"/>
  <c r="BB101" i="2"/>
  <c r="AZ102" i="2"/>
  <c r="BB102" i="2"/>
  <c r="AZ103" i="2"/>
  <c r="BB103" i="2"/>
  <c r="AZ105" i="2"/>
  <c r="AZ106" i="2"/>
  <c r="BB106" i="2"/>
  <c r="AZ110" i="2"/>
  <c r="AZ112" i="2"/>
  <c r="BB112" i="2"/>
  <c r="AZ113" i="2"/>
  <c r="BB113" i="2"/>
  <c r="AZ114" i="2"/>
  <c r="BB114" i="2"/>
  <c r="AZ121" i="2"/>
  <c r="AZ122" i="2"/>
  <c r="AZ123" i="2"/>
  <c r="BB123" i="2"/>
  <c r="AZ124" i="2"/>
  <c r="BB124" i="2"/>
  <c r="AZ125" i="2"/>
  <c r="BB125" i="2"/>
  <c r="AZ129" i="2"/>
  <c r="AZ130" i="2"/>
  <c r="AZ131" i="2"/>
  <c r="BB131" i="2"/>
  <c r="AZ132" i="2"/>
  <c r="BB132" i="2"/>
  <c r="AZ133" i="2"/>
  <c r="BB133" i="2"/>
  <c r="E24" i="1" a="1"/>
  <c r="E24" i="1"/>
  <c r="AQ105" i="1"/>
  <c r="AQ104" i="1"/>
  <c r="AQ103" i="1"/>
  <c r="AT99" i="1"/>
  <c r="AT98" i="1"/>
  <c r="BF4" i="2"/>
  <c r="BF5" i="2"/>
  <c r="BF6" i="2"/>
  <c r="BF7" i="2"/>
  <c r="BF8" i="2"/>
  <c r="BF9" i="2"/>
  <c r="BF10" i="2"/>
  <c r="BF11" i="2"/>
  <c r="BF12" i="2"/>
  <c r="BF13" i="2"/>
  <c r="BF3" i="2"/>
  <c r="M5" i="4"/>
  <c r="M6" i="4"/>
  <c r="M7" i="4"/>
  <c r="M8" i="4"/>
  <c r="M9" i="4"/>
  <c r="M10" i="4"/>
  <c r="M11" i="4"/>
  <c r="M12" i="4"/>
  <c r="M13" i="4"/>
  <c r="M14" i="4"/>
  <c r="Y94" i="1"/>
  <c r="AI53" i="2"/>
  <c r="AI52" i="2"/>
  <c r="AI51" i="2"/>
  <c r="U37" i="3"/>
  <c r="U38" i="3"/>
  <c r="U39" i="3"/>
  <c r="U34" i="3"/>
  <c r="U35" i="3"/>
  <c r="U33" i="3"/>
  <c r="V37" i="3"/>
  <c r="V38" i="3"/>
  <c r="V39" i="3"/>
  <c r="V34" i="3"/>
  <c r="V35" i="3"/>
  <c r="X34" i="3"/>
  <c r="X35" i="3"/>
  <c r="X33" i="3"/>
  <c r="V33" i="3"/>
  <c r="D4" i="4" a="1"/>
  <c r="D4" i="4"/>
  <c r="D58" i="3"/>
  <c r="AS97" i="4" a="1"/>
  <c r="AS97" i="4"/>
  <c r="AR97" i="4" a="1"/>
  <c r="AR97" i="4"/>
  <c r="AT97" i="4" a="1"/>
  <c r="AT97" i="4"/>
  <c r="AV97" i="4" a="1"/>
  <c r="AV97" i="4"/>
  <c r="AQ98" i="1"/>
  <c r="AP98" i="1"/>
  <c r="AR98" i="1"/>
  <c r="AT93" i="1"/>
  <c r="AT93" i="4"/>
  <c r="AV93" i="4"/>
  <c r="AU93" i="4"/>
  <c r="AS28" i="2"/>
  <c r="AU93" i="1"/>
  <c r="AW94" i="1"/>
  <c r="BL65" i="4"/>
  <c r="H33" i="4"/>
  <c r="M4" i="4"/>
  <c r="AS93" i="1"/>
  <c r="AV87" i="1"/>
  <c r="AU89" i="1"/>
  <c r="AR95" i="1"/>
  <c r="AT95" i="1"/>
  <c r="AQ113" i="1"/>
  <c r="AR113" i="1"/>
  <c r="AP113" i="1"/>
  <c r="AQ114" i="1"/>
  <c r="AR114" i="1"/>
  <c r="AP114" i="1"/>
  <c r="AP99" i="1"/>
  <c r="AR99" i="1"/>
  <c r="AP100" i="1"/>
  <c r="AR100" i="1"/>
  <c r="AT100" i="1"/>
  <c r="AQ99" i="1"/>
  <c r="AQ100" i="1"/>
  <c r="AS95" i="1"/>
  <c r="AU95" i="1"/>
  <c r="U94" i="1"/>
  <c r="W94" i="1"/>
  <c r="AT95" i="4"/>
  <c r="BI67" i="4"/>
  <c r="BL67" i="4"/>
  <c r="BL66" i="4"/>
  <c r="BI65" i="4"/>
  <c r="BI66" i="4"/>
  <c r="BF66" i="4"/>
  <c r="BF67" i="4"/>
  <c r="BF65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24" i="4"/>
  <c r="BH65" i="4"/>
  <c r="BJ65" i="4"/>
  <c r="K25" i="4"/>
  <c r="I25" i="4"/>
  <c r="I24" i="4"/>
  <c r="I26" i="4"/>
  <c r="B52" i="4"/>
  <c r="BH67" i="4"/>
  <c r="BH66" i="4"/>
  <c r="V96" i="4"/>
  <c r="X96" i="4"/>
  <c r="V95" i="4"/>
  <c r="X95" i="4"/>
  <c r="AT94" i="4"/>
  <c r="V94" i="4"/>
  <c r="X94" i="4"/>
  <c r="B57" i="4"/>
  <c r="I14" i="4"/>
  <c r="I13" i="4"/>
  <c r="I12" i="4"/>
  <c r="I11" i="4"/>
  <c r="I10" i="4"/>
  <c r="I9" i="4"/>
  <c r="I8" i="4"/>
  <c r="I7" i="4"/>
  <c r="I6" i="4"/>
  <c r="I5" i="4"/>
  <c r="I4" i="4"/>
  <c r="J4" i="4" a="1"/>
  <c r="J4" i="4"/>
  <c r="F43" i="3"/>
  <c r="U96" i="1"/>
  <c r="W96" i="1"/>
  <c r="U95" i="1"/>
  <c r="W95" i="1"/>
  <c r="X95" i="1"/>
  <c r="AS94" i="1"/>
  <c r="AT94" i="1"/>
  <c r="AV4" i="2"/>
  <c r="AW4" i="2"/>
  <c r="B57" i="1"/>
  <c r="AS30" i="2"/>
  <c r="AS32" i="2"/>
  <c r="AV27" i="2"/>
  <c r="AV29" i="2"/>
  <c r="AS19" i="2"/>
  <c r="AS21" i="2"/>
  <c r="AT19" i="2"/>
  <c r="AT21" i="2"/>
  <c r="AW10" i="2"/>
  <c r="AW12" i="2"/>
  <c r="AS16" i="2"/>
  <c r="AV25" i="2"/>
  <c r="AI46" i="2"/>
  <c r="AH52" i="2"/>
  <c r="AJ46" i="2"/>
  <c r="AH53" i="2"/>
  <c r="AH46" i="2"/>
  <c r="AH51" i="2"/>
  <c r="AT16" i="2"/>
  <c r="AT7" i="2"/>
  <c r="AS7" i="2"/>
  <c r="F44" i="3"/>
  <c r="F45" i="3"/>
  <c r="F46" i="3"/>
  <c r="F47" i="3"/>
  <c r="AP40" i="2"/>
  <c r="AI18" i="2"/>
  <c r="AH18" i="2"/>
  <c r="L49" i="2"/>
  <c r="L50" i="2"/>
  <c r="L51" i="2"/>
  <c r="L52" i="2"/>
  <c r="L53" i="2"/>
  <c r="L54" i="2"/>
  <c r="L55" i="2"/>
  <c r="L59" i="2"/>
  <c r="L60" i="2"/>
  <c r="L61" i="2"/>
  <c r="L62" i="2"/>
  <c r="L63" i="2"/>
  <c r="L64" i="2"/>
  <c r="L65" i="2"/>
  <c r="L66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48" i="2"/>
  <c r="J49" i="2"/>
  <c r="J50" i="2"/>
  <c r="J51" i="2"/>
  <c r="J52" i="2"/>
  <c r="J53" i="2"/>
  <c r="J54" i="2"/>
  <c r="J55" i="2"/>
  <c r="J59" i="2"/>
  <c r="J60" i="2"/>
  <c r="J61" i="2"/>
  <c r="J62" i="2"/>
  <c r="J63" i="2"/>
  <c r="J64" i="2"/>
  <c r="J65" i="2"/>
  <c r="J66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48" i="2"/>
  <c r="I13" i="1"/>
  <c r="I14" i="1"/>
  <c r="B61" i="2"/>
  <c r="I12" i="1"/>
  <c r="J4" i="1" a="1"/>
  <c r="J4" i="1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H26" i="2"/>
  <c r="I15" i="2"/>
  <c r="I16" i="2"/>
  <c r="I17" i="2"/>
  <c r="I18" i="2"/>
  <c r="I19" i="2"/>
  <c r="I20" i="2"/>
  <c r="I21" i="2"/>
  <c r="H15" i="2"/>
  <c r="H16" i="2"/>
  <c r="H17" i="2"/>
  <c r="H18" i="2"/>
  <c r="H19" i="2"/>
  <c r="H20" i="2"/>
  <c r="H21" i="2"/>
  <c r="I4" i="2"/>
  <c r="I5" i="2"/>
  <c r="I6" i="2"/>
  <c r="I7" i="2"/>
  <c r="I8" i="2"/>
  <c r="I9" i="2"/>
  <c r="I10" i="2"/>
  <c r="H4" i="2"/>
  <c r="H5" i="2"/>
  <c r="H6" i="2"/>
  <c r="H7" i="2"/>
  <c r="H8" i="2"/>
  <c r="H9" i="2"/>
  <c r="H10" i="2"/>
  <c r="I5" i="1"/>
  <c r="I6" i="1"/>
  <c r="I7" i="1"/>
  <c r="I8" i="1"/>
  <c r="I9" i="1"/>
  <c r="I10" i="1"/>
  <c r="I11" i="1"/>
  <c r="I4" i="1"/>
  <c r="B52" i="1"/>
  <c r="B53" i="1"/>
  <c r="AV31" i="2"/>
  <c r="X94" i="1"/>
  <c r="AT26" i="2"/>
  <c r="AV88" i="1"/>
  <c r="AU94" i="1"/>
  <c r="AS100" i="1"/>
  <c r="AS99" i="1"/>
  <c r="AV89" i="1"/>
  <c r="AS98" i="1"/>
  <c r="K26" i="4"/>
  <c r="K24" i="4"/>
  <c r="BJ66" i="4"/>
  <c r="BJ67" i="4"/>
  <c r="B53" i="4"/>
  <c r="C52" i="4"/>
  <c r="Z94" i="4"/>
  <c r="Y94" i="4"/>
  <c r="AV94" i="4"/>
  <c r="AU94" i="4"/>
  <c r="Z95" i="4"/>
  <c r="Y95" i="4"/>
  <c r="AV95" i="4"/>
  <c r="AU95" i="4"/>
  <c r="Z96" i="4"/>
  <c r="Y96" i="4"/>
  <c r="Y95" i="1"/>
  <c r="Y96" i="1"/>
  <c r="X96" i="1"/>
  <c r="AV10" i="2"/>
  <c r="AV12" i="2"/>
  <c r="AV14" i="2"/>
  <c r="AW14" i="2"/>
  <c r="AM18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J25" i="2" a="1"/>
  <c r="J25" i="2"/>
  <c r="L25" i="2" a="1"/>
  <c r="L25" i="2"/>
  <c r="K3" i="2" a="1"/>
  <c r="K3" i="2"/>
  <c r="J14" i="2" a="1"/>
  <c r="J14" i="2"/>
  <c r="K14" i="2" a="1"/>
  <c r="L14" i="2" a="1"/>
  <c r="C52" i="1"/>
  <c r="T68" i="1" a="1"/>
  <c r="D4" i="1" a="1"/>
  <c r="D4" i="1"/>
  <c r="U68" i="4" a="1"/>
  <c r="K4" i="4" a="1"/>
  <c r="K4" i="4"/>
  <c r="L4" i="4" a="1"/>
  <c r="L4" i="4"/>
  <c r="K4" i="1" a="1"/>
  <c r="K4" i="1"/>
  <c r="L4" i="1" a="1"/>
  <c r="L4" i="1"/>
  <c r="K25" i="2" a="1"/>
  <c r="K25" i="2"/>
  <c r="O3" i="2"/>
  <c r="S3" i="2"/>
  <c r="W3" i="2"/>
  <c r="M21" i="2"/>
  <c r="Q21" i="2"/>
  <c r="U21" i="2"/>
  <c r="O20" i="2"/>
  <c r="S20" i="2"/>
  <c r="W20" i="2"/>
  <c r="N21" i="2"/>
  <c r="Z21" i="2"/>
  <c r="N16" i="2"/>
  <c r="Z16" i="2"/>
  <c r="N10" i="2"/>
  <c r="Z10" i="2"/>
  <c r="O6" i="2"/>
  <c r="M7" i="2"/>
  <c r="Q7" i="2"/>
  <c r="U7" i="2"/>
  <c r="N9" i="2"/>
  <c r="Z9" i="2"/>
  <c r="O10" i="2"/>
  <c r="S10" i="2"/>
  <c r="W10" i="2"/>
  <c r="M15" i="2"/>
  <c r="Q15" i="2"/>
  <c r="U15" i="2"/>
  <c r="M4" i="2"/>
  <c r="Q4" i="2"/>
  <c r="U4" i="2"/>
  <c r="M5" i="2"/>
  <c r="Q5" i="2"/>
  <c r="U5" i="2"/>
  <c r="O5" i="2"/>
  <c r="S5" i="2"/>
  <c r="W5" i="2"/>
  <c r="N7" i="2"/>
  <c r="Z7" i="2"/>
  <c r="O7" i="2"/>
  <c r="S7" i="2"/>
  <c r="W7" i="2"/>
  <c r="M10" i="2"/>
  <c r="Q10" i="2"/>
  <c r="U10" i="2"/>
  <c r="N4" i="2"/>
  <c r="Z4" i="2"/>
  <c r="L14" i="2"/>
  <c r="O19" i="2"/>
  <c r="S19" i="2"/>
  <c r="W19" i="2"/>
  <c r="O21" i="2"/>
  <c r="S21" i="2"/>
  <c r="W21" i="2"/>
  <c r="O17" i="2"/>
  <c r="S17" i="2"/>
  <c r="W17" i="2"/>
  <c r="O18" i="2"/>
  <c r="S18" i="2"/>
  <c r="W18" i="2"/>
  <c r="O15" i="2"/>
  <c r="S15" i="2"/>
  <c r="W15" i="2"/>
  <c r="O16" i="2"/>
  <c r="S16" i="2"/>
  <c r="W16" i="2"/>
  <c r="M3" i="2"/>
  <c r="Q3" i="2"/>
  <c r="U3" i="2"/>
  <c r="N5" i="2"/>
  <c r="Z5" i="2"/>
  <c r="K14" i="2"/>
  <c r="N19" i="2"/>
  <c r="Z19" i="2"/>
  <c r="M19" i="2"/>
  <c r="Q19" i="2"/>
  <c r="U19" i="2"/>
  <c r="N20" i="2"/>
  <c r="Z20" i="2"/>
  <c r="M17" i="2"/>
  <c r="Q17" i="2"/>
  <c r="U17" i="2"/>
  <c r="N18" i="2"/>
  <c r="Z18" i="2"/>
  <c r="M18" i="2"/>
  <c r="Q18" i="2"/>
  <c r="U18" i="2"/>
  <c r="M20" i="2"/>
  <c r="Q20" i="2"/>
  <c r="U20" i="2"/>
  <c r="M16" i="2"/>
  <c r="Q16" i="2"/>
  <c r="U16" i="2"/>
  <c r="N8" i="2"/>
  <c r="Z8" i="2"/>
  <c r="O4" i="2"/>
  <c r="S4" i="2"/>
  <c r="W4" i="2"/>
  <c r="O8" i="2"/>
  <c r="S8" i="2"/>
  <c r="W8" i="2"/>
  <c r="N6" i="2"/>
  <c r="Z6" i="2"/>
  <c r="O9" i="2"/>
  <c r="S9" i="2"/>
  <c r="W9" i="2"/>
  <c r="M6" i="2"/>
  <c r="Q6" i="2"/>
  <c r="U6" i="2"/>
  <c r="N15" i="2"/>
  <c r="Z15" i="2"/>
  <c r="M9" i="2"/>
  <c r="Q9" i="2"/>
  <c r="U9" i="2"/>
  <c r="M8" i="2"/>
  <c r="Q8" i="2"/>
  <c r="U8" i="2"/>
  <c r="N17" i="2"/>
  <c r="Z17" i="2"/>
  <c r="S6" i="2"/>
  <c r="W6" i="2"/>
  <c r="O30" i="2"/>
  <c r="S30" i="2"/>
  <c r="W30" i="2"/>
  <c r="N30" i="2"/>
  <c r="Z30" i="2"/>
  <c r="M38" i="2"/>
  <c r="Q38" i="2"/>
  <c r="U38" i="2"/>
  <c r="N29" i="2"/>
  <c r="Z29" i="2"/>
  <c r="M33" i="2"/>
  <c r="Q33" i="2"/>
  <c r="U33" i="2"/>
  <c r="M28" i="2"/>
  <c r="Q28" i="2"/>
  <c r="U28" i="2"/>
  <c r="O26" i="2"/>
  <c r="S26" i="2"/>
  <c r="W26" i="2"/>
  <c r="R3" i="2"/>
  <c r="V3" i="2"/>
  <c r="Z3" i="2"/>
  <c r="M30" i="2"/>
  <c r="Q30" i="2"/>
  <c r="U30" i="2"/>
  <c r="O28" i="2"/>
  <c r="S28" i="2"/>
  <c r="W28" i="2"/>
  <c r="N31" i="2"/>
  <c r="Z31" i="2"/>
  <c r="O27" i="2"/>
  <c r="S27" i="2"/>
  <c r="W27" i="2"/>
  <c r="M26" i="2"/>
  <c r="Q26" i="2"/>
  <c r="U26" i="2"/>
  <c r="O33" i="2"/>
  <c r="S33" i="2"/>
  <c r="W33" i="2"/>
  <c r="N34" i="2"/>
  <c r="Z34" i="2"/>
  <c r="N32" i="2"/>
  <c r="Z32" i="2"/>
  <c r="N26" i="2"/>
  <c r="Z26" i="2"/>
  <c r="O32" i="2"/>
  <c r="S32" i="2"/>
  <c r="W32" i="2"/>
  <c r="M29" i="2"/>
  <c r="Q29" i="2"/>
  <c r="U29" i="2"/>
  <c r="O31" i="2"/>
  <c r="S31" i="2"/>
  <c r="W31" i="2"/>
  <c r="M37" i="2"/>
  <c r="Q37" i="2"/>
  <c r="U37" i="2"/>
  <c r="T68" i="1"/>
  <c r="U68" i="1" a="1"/>
  <c r="U68" i="1"/>
  <c r="V68" i="1" a="1"/>
  <c r="V68" i="1"/>
  <c r="W68" i="1"/>
  <c r="U74" i="1" a="1"/>
  <c r="U74" i="1"/>
  <c r="V74" i="1" a="1"/>
  <c r="V74" i="1"/>
  <c r="W74" i="1"/>
  <c r="U81" i="1" a="1"/>
  <c r="U81" i="1"/>
  <c r="V81" i="1" a="1"/>
  <c r="V81" i="1"/>
  <c r="W81" i="1"/>
  <c r="V81" i="4" a="1"/>
  <c r="V81" i="4"/>
  <c r="W81" i="4" a="1"/>
  <c r="W81" i="4"/>
  <c r="X81" i="4"/>
  <c r="V74" i="4" a="1"/>
  <c r="V74" i="4"/>
  <c r="W74" i="4" a="1"/>
  <c r="W74" i="4"/>
  <c r="X74" i="4"/>
  <c r="U68" i="4"/>
  <c r="V68" i="4" a="1"/>
  <c r="V68" i="4"/>
  <c r="W68" i="4" a="1"/>
  <c r="W68" i="4"/>
  <c r="X68" i="4"/>
  <c r="M32" i="2"/>
  <c r="Q32" i="2"/>
  <c r="U32" i="2"/>
  <c r="N27" i="2"/>
  <c r="O29" i="2"/>
  <c r="S29" i="2"/>
  <c r="W29" i="2"/>
  <c r="M34" i="2"/>
  <c r="Q34" i="2"/>
  <c r="U34" i="2"/>
  <c r="M35" i="2"/>
  <c r="Q35" i="2"/>
  <c r="U35" i="2"/>
  <c r="M27" i="2"/>
  <c r="Q27" i="2"/>
  <c r="U27" i="2"/>
  <c r="O35" i="2"/>
  <c r="S35" i="2"/>
  <c r="W35" i="2"/>
  <c r="M36" i="2"/>
  <c r="Q36" i="2"/>
  <c r="U36" i="2"/>
  <c r="N28" i="2"/>
  <c r="Z28" i="2"/>
  <c r="O34" i="2"/>
  <c r="S34" i="2"/>
  <c r="W34" i="2"/>
  <c r="N35" i="2"/>
  <c r="M31" i="2"/>
  <c r="Q31" i="2"/>
  <c r="U31" i="2"/>
  <c r="N37" i="2"/>
  <c r="N38" i="2"/>
  <c r="M39" i="2"/>
  <c r="Q39" i="2"/>
  <c r="U39" i="2"/>
  <c r="N33" i="2"/>
  <c r="Z33" i="2"/>
  <c r="O37" i="2"/>
  <c r="S37" i="2"/>
  <c r="W37" i="2"/>
  <c r="O38" i="2"/>
  <c r="S38" i="2"/>
  <c r="W38" i="2"/>
  <c r="N39" i="2"/>
  <c r="O36" i="2"/>
  <c r="S36" i="2"/>
  <c r="W36" i="2"/>
  <c r="N36" i="2"/>
  <c r="O39" i="2"/>
  <c r="S39" i="2"/>
  <c r="W39" i="2"/>
  <c r="R17" i="2"/>
  <c r="V17" i="2"/>
  <c r="R15" i="2"/>
  <c r="V15" i="2"/>
  <c r="R6" i="2"/>
  <c r="V6" i="2"/>
  <c r="R8" i="2"/>
  <c r="V8" i="2"/>
  <c r="R18" i="2"/>
  <c r="V18" i="2"/>
  <c r="R20" i="2"/>
  <c r="V20" i="2"/>
  <c r="R19" i="2"/>
  <c r="V19" i="2"/>
  <c r="R5" i="2"/>
  <c r="V5" i="2"/>
  <c r="R4" i="2"/>
  <c r="V4" i="2"/>
  <c r="R30" i="2"/>
  <c r="V30" i="2"/>
  <c r="R29" i="2"/>
  <c r="V29" i="2"/>
  <c r="R31" i="2"/>
  <c r="V31" i="2"/>
  <c r="R7" i="2"/>
  <c r="V7" i="2"/>
  <c r="R9" i="2"/>
  <c r="V9" i="2"/>
  <c r="R10" i="2"/>
  <c r="V10" i="2"/>
  <c r="R16" i="2"/>
  <c r="V16" i="2"/>
  <c r="R21" i="2"/>
  <c r="V21" i="2"/>
  <c r="O14" i="2"/>
  <c r="S14" i="2"/>
  <c r="W14" i="2"/>
  <c r="N25" i="2"/>
  <c r="Z25" i="2"/>
  <c r="M25" i="2"/>
  <c r="Q25" i="2"/>
  <c r="U25" i="2"/>
  <c r="M14" i="2"/>
  <c r="Q14" i="2"/>
  <c r="U14" i="2"/>
  <c r="N14" i="2"/>
  <c r="Z14" i="2"/>
  <c r="O25" i="2"/>
  <c r="S25" i="2"/>
  <c r="W25" i="2"/>
  <c r="R28" i="2"/>
  <c r="V28" i="2"/>
  <c r="R34" i="2"/>
  <c r="V34" i="2"/>
  <c r="AE6" i="2"/>
  <c r="X3" i="2"/>
  <c r="AX3" i="2" a="1"/>
  <c r="AX3" i="2"/>
  <c r="AA3" i="2"/>
  <c r="X20" i="2"/>
  <c r="AA20" i="2"/>
  <c r="AA28" i="2"/>
  <c r="R37" i="2"/>
  <c r="V37" i="2"/>
  <c r="Z37" i="2"/>
  <c r="X29" i="2"/>
  <c r="AA29" i="2"/>
  <c r="R39" i="2"/>
  <c r="V39" i="2"/>
  <c r="X39" i="2"/>
  <c r="Z39" i="2"/>
  <c r="R32" i="2"/>
  <c r="V32" i="2"/>
  <c r="X15" i="2"/>
  <c r="BB8" i="2"/>
  <c r="AA15" i="2"/>
  <c r="R27" i="2"/>
  <c r="V27" i="2"/>
  <c r="Z27" i="2"/>
  <c r="X34" i="2"/>
  <c r="AA34" i="2"/>
  <c r="X21" i="2"/>
  <c r="AA21" i="2"/>
  <c r="X10" i="2"/>
  <c r="AA10" i="2"/>
  <c r="R35" i="2"/>
  <c r="V35" i="2"/>
  <c r="AC35" i="2"/>
  <c r="AD35" i="2"/>
  <c r="AP35" i="2"/>
  <c r="Z35" i="2"/>
  <c r="X17" i="2"/>
  <c r="AA17" i="2"/>
  <c r="X18" i="2"/>
  <c r="AA18" i="2"/>
  <c r="X16" i="2"/>
  <c r="AA16" i="2"/>
  <c r="X8" i="2"/>
  <c r="AA8" i="2"/>
  <c r="X30" i="2"/>
  <c r="AA30" i="2"/>
  <c r="X5" i="2"/>
  <c r="AA5" i="2"/>
  <c r="X31" i="2"/>
  <c r="AA31" i="2"/>
  <c r="R38" i="2"/>
  <c r="V38" i="2"/>
  <c r="Z38" i="2"/>
  <c r="R36" i="2"/>
  <c r="V36" i="2"/>
  <c r="Z36" i="2"/>
  <c r="X6" i="2"/>
  <c r="AA6" i="2"/>
  <c r="X9" i="2"/>
  <c r="AA9" i="2"/>
  <c r="X4" i="2"/>
  <c r="AA4" i="2"/>
  <c r="X7" i="2"/>
  <c r="AA7" i="2"/>
  <c r="R33" i="2"/>
  <c r="V33" i="2"/>
  <c r="R26" i="2"/>
  <c r="V26" i="2"/>
  <c r="X19" i="2"/>
  <c r="AA19" i="2"/>
  <c r="X38" i="2"/>
  <c r="X37" i="2"/>
  <c r="AB7" i="2"/>
  <c r="AF7" i="2"/>
  <c r="AE7" i="2"/>
  <c r="AC7" i="2"/>
  <c r="AD7" i="2"/>
  <c r="AC15" i="2"/>
  <c r="AD15" i="2"/>
  <c r="AP15" i="2"/>
  <c r="AB15" i="2"/>
  <c r="AF15" i="2"/>
  <c r="AE15" i="2"/>
  <c r="AB9" i="2"/>
  <c r="AF9" i="2"/>
  <c r="AE9" i="2"/>
  <c r="AC9" i="2"/>
  <c r="AD9" i="2"/>
  <c r="AB33" i="2"/>
  <c r="AF33" i="2"/>
  <c r="AB3" i="2"/>
  <c r="AF3" i="2"/>
  <c r="AE3" i="2"/>
  <c r="AC3" i="2"/>
  <c r="AD3" i="2"/>
  <c r="AB31" i="2"/>
  <c r="AF31" i="2"/>
  <c r="AE31" i="2"/>
  <c r="AC31" i="2"/>
  <c r="AD31" i="2"/>
  <c r="AP31" i="2"/>
  <c r="AC28" i="2"/>
  <c r="AD28" i="2"/>
  <c r="AP28" i="2"/>
  <c r="AB28" i="2"/>
  <c r="AF28" i="2"/>
  <c r="AC32" i="2"/>
  <c r="AD32" i="2"/>
  <c r="AP32" i="2"/>
  <c r="AB6" i="2"/>
  <c r="AF6" i="2"/>
  <c r="AC6" i="2"/>
  <c r="AD6" i="2"/>
  <c r="AC29" i="2"/>
  <c r="AD29" i="2"/>
  <c r="AP29" i="2"/>
  <c r="AB29" i="2"/>
  <c r="AF29" i="2"/>
  <c r="AE29" i="2"/>
  <c r="AC30" i="2"/>
  <c r="AD30" i="2"/>
  <c r="AP30" i="2"/>
  <c r="AB30" i="2"/>
  <c r="AF30" i="2"/>
  <c r="AE30" i="2"/>
  <c r="AB4" i="2"/>
  <c r="AF4" i="2"/>
  <c r="AE4" i="2"/>
  <c r="AC4" i="2"/>
  <c r="AD4" i="2"/>
  <c r="AC5" i="2"/>
  <c r="AD5" i="2"/>
  <c r="AB5" i="2"/>
  <c r="AF5" i="2"/>
  <c r="AE5" i="2"/>
  <c r="AB21" i="2"/>
  <c r="AF21" i="2"/>
  <c r="AE21" i="2"/>
  <c r="AC21" i="2"/>
  <c r="AD21" i="2"/>
  <c r="AP21" i="2"/>
  <c r="AC16" i="2"/>
  <c r="AD16" i="2"/>
  <c r="AP16" i="2"/>
  <c r="AB16" i="2"/>
  <c r="AF16" i="2"/>
  <c r="AE16" i="2"/>
  <c r="AB20" i="2"/>
  <c r="AF20" i="2"/>
  <c r="AE20" i="2"/>
  <c r="AC20" i="2"/>
  <c r="AD20" i="2"/>
  <c r="AP20" i="2"/>
  <c r="AB8" i="2"/>
  <c r="AF8" i="2"/>
  <c r="AE8" i="2"/>
  <c r="AC8" i="2"/>
  <c r="AD8" i="2"/>
  <c r="AB17" i="2"/>
  <c r="AF17" i="2"/>
  <c r="AE17" i="2"/>
  <c r="AC17" i="2"/>
  <c r="AD17" i="2"/>
  <c r="AP17" i="2"/>
  <c r="AC27" i="2"/>
  <c r="AD27" i="2"/>
  <c r="AP27" i="2"/>
  <c r="AB19" i="2"/>
  <c r="AF19" i="2"/>
  <c r="AE19" i="2"/>
  <c r="AC19" i="2"/>
  <c r="AD19" i="2"/>
  <c r="AP19" i="2"/>
  <c r="AB10" i="2"/>
  <c r="AF10" i="2"/>
  <c r="AE10" i="2"/>
  <c r="AC10" i="2"/>
  <c r="AD10" i="2"/>
  <c r="AB18" i="2"/>
  <c r="AF18" i="2"/>
  <c r="AE18" i="2"/>
  <c r="AC18" i="2"/>
  <c r="AD18" i="2"/>
  <c r="AP18" i="2"/>
  <c r="R14" i="2"/>
  <c r="V14" i="2"/>
  <c r="R25" i="2"/>
  <c r="V25" i="2"/>
  <c r="AE34" i="2"/>
  <c r="AE25" i="2"/>
  <c r="AA38" i="2"/>
  <c r="AB35" i="2"/>
  <c r="AF35" i="2"/>
  <c r="AE35" i="2"/>
  <c r="AE27" i="2"/>
  <c r="AA39" i="2"/>
  <c r="AC39" i="2"/>
  <c r="AD39" i="2"/>
  <c r="AP39" i="2"/>
  <c r="AE28" i="2"/>
  <c r="AB34" i="2"/>
  <c r="AF34" i="2"/>
  <c r="AE37" i="2"/>
  <c r="AB26" i="2"/>
  <c r="AF26" i="2"/>
  <c r="AE26" i="2"/>
  <c r="AC34" i="2"/>
  <c r="AD34" i="2"/>
  <c r="AP34" i="2"/>
  <c r="AC38" i="2"/>
  <c r="AD38" i="2"/>
  <c r="AP38" i="2"/>
  <c r="AE33" i="2"/>
  <c r="X28" i="2"/>
  <c r="AA36" i="2"/>
  <c r="AC36" i="2"/>
  <c r="AD36" i="2"/>
  <c r="AP36" i="2"/>
  <c r="AB38" i="2"/>
  <c r="AF38" i="2"/>
  <c r="AE38" i="2"/>
  <c r="X36" i="2"/>
  <c r="X14" i="2"/>
  <c r="AA14" i="2"/>
  <c r="AA37" i="2"/>
  <c r="AB37" i="2"/>
  <c r="AF37" i="2"/>
  <c r="X26" i="2"/>
  <c r="AA26" i="2"/>
  <c r="X33" i="2"/>
  <c r="AA33" i="2"/>
  <c r="AB36" i="2"/>
  <c r="AF36" i="2"/>
  <c r="AE36" i="2"/>
  <c r="X35" i="2"/>
  <c r="AA35" i="2"/>
  <c r="X27" i="2"/>
  <c r="AA27" i="2"/>
  <c r="AC26" i="2"/>
  <c r="AD26" i="2"/>
  <c r="AP26" i="2"/>
  <c r="AC37" i="2"/>
  <c r="AD37" i="2"/>
  <c r="AP37" i="2"/>
  <c r="X32" i="2"/>
  <c r="AA32" i="2"/>
  <c r="X25" i="2"/>
  <c r="AA25" i="2"/>
  <c r="AB27" i="2"/>
  <c r="AF27" i="2"/>
  <c r="AB32" i="2"/>
  <c r="AF32" i="2"/>
  <c r="AE32" i="2"/>
  <c r="AC33" i="2"/>
  <c r="AD33" i="2"/>
  <c r="AP33" i="2"/>
  <c r="AB39" i="2"/>
  <c r="AF39" i="2"/>
  <c r="AE39" i="2"/>
  <c r="AB25" i="2"/>
  <c r="AF25" i="2"/>
  <c r="AC25" i="2"/>
  <c r="AD25" i="2"/>
  <c r="AP25" i="2"/>
  <c r="AC14" i="2"/>
  <c r="AD14" i="2"/>
  <c r="AP14" i="2"/>
  <c r="AX14" i="2" a="1"/>
  <c r="AX14" i="2"/>
  <c r="AB14" i="2"/>
  <c r="AF14" i="2"/>
  <c r="AE14" i="2"/>
  <c r="AX25" i="2" a="1"/>
  <c r="AX2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Ranjith, Keshav</author>
  </authors>
  <commentList>
    <comment ref="BJ64" authorId="0" shapeId="0" xr:uid="{9691535B-ECFF-43DB-B953-31025E9939AB}">
      <text>
        <r>
          <rPr>
            <sz val="11"/>
            <color theme="1"/>
            <rFont val="Aptos Narrow"/>
            <family val="2"/>
            <scheme val="minor"/>
          </rPr>
          <t xml:space="preserve">Ranjith, Keshav:
Calculated by dividing y-int coefficient from Suhail's regresser by etaH aH VbarH
=(y-int coeff)/(etaH*aH*VbarH)
</t>
        </r>
      </text>
    </comment>
    <comment ref="BH65" authorId="0" shapeId="0" xr:uid="{C283DF41-7D5A-4C6A-B05C-99FF86664219}">
      <text>
        <r>
          <rPr>
            <sz val="11"/>
            <color theme="1"/>
            <rFont val="Aptos Narrow"/>
            <family val="2"/>
            <scheme val="minor"/>
          </rPr>
          <t>Ranjith, Keshav:
Close to Wind Tunnel Values</t>
        </r>
      </text>
    </comment>
    <comment ref="BH66" authorId="0" shapeId="0" xr:uid="{16A3F003-C240-448F-9515-6BAE5BF29B0C}">
      <text>
        <r>
          <rPr>
            <sz val="11"/>
            <color theme="1"/>
            <rFont val="Aptos Narrow"/>
            <family val="2"/>
            <scheme val="minor"/>
          </rPr>
          <t xml:space="preserve">Ranjith, Keshav:
Way off from Wind tunnel value
</t>
        </r>
      </text>
    </comment>
    <comment ref="BH67" authorId="0" shapeId="0" xr:uid="{F48A48A3-9D86-455C-A544-F6353C2382BC}">
      <text>
        <r>
          <rPr>
            <sz val="11"/>
            <color theme="1"/>
            <rFont val="Aptos Narrow"/>
            <family val="2"/>
            <scheme val="minor"/>
          </rPr>
          <t xml:space="preserve">Ranjith, Keshav:
If negated, closest to wind tunnel value
</t>
        </r>
      </text>
    </comment>
    <comment ref="AV92" authorId="0" shapeId="0" xr:uid="{97DFF157-EC81-44BA-8D78-0D7EA9CF5FAF}">
      <text>
        <r>
          <rPr>
            <sz val="11"/>
            <color theme="1"/>
            <rFont val="Aptos Narrow"/>
            <family val="2"/>
            <scheme val="minor"/>
          </rPr>
          <t xml:space="preserve">Ranjith, Keshav:
Calculated by dividing y-int coefficient from Suhail's regresser by etaH aH VbarH
=(y-int coeff)/(etaH*aH*VbarH)
</t>
        </r>
      </text>
    </comment>
    <comment ref="Z93" authorId="0" shapeId="0" xr:uid="{F7E55302-4011-4C56-BE5D-4C4A79E7773B}">
      <text>
        <r>
          <rPr>
            <sz val="11"/>
            <color theme="1"/>
            <rFont val="Aptos Narrow"/>
            <family val="2"/>
            <scheme val="minor"/>
          </rPr>
          <t xml:space="preserve">Ranjith, Keshav:
Calculated by dividing y-int coefficient from Suhail's regresser by etaH aH VbarH
=(y-int coeff)/(etaH*aH*VbarH)
</t>
        </r>
      </text>
    </comment>
    <comment ref="AT93" authorId="0" shapeId="0" xr:uid="{BD4950CC-4A9B-4304-BAC8-5D5146E370F5}">
      <text>
        <r>
          <rPr>
            <sz val="11"/>
            <color theme="1"/>
            <rFont val="Aptos Narrow"/>
            <family val="2"/>
            <scheme val="minor"/>
          </rPr>
          <t>Ranjith, Keshav:
Close to Wind Tunnel Values</t>
        </r>
      </text>
    </comment>
    <comment ref="X94" authorId="0" shapeId="0" xr:uid="{D85C240A-8476-4D99-84CB-6418CE6A6343}">
      <text>
        <r>
          <rPr>
            <sz val="11"/>
            <color theme="1"/>
            <rFont val="Aptos Narrow"/>
            <family val="2"/>
            <scheme val="minor"/>
          </rPr>
          <t>Ranjith, Keshav:
Close to Wind Tunnel Values</t>
        </r>
      </text>
    </comment>
    <comment ref="AT94" authorId="0" shapeId="0" xr:uid="{6FEB0732-60C2-4A78-AEBC-9204FD2B426A}">
      <text>
        <r>
          <rPr>
            <sz val="11"/>
            <color theme="1"/>
            <rFont val="Aptos Narrow"/>
            <family val="2"/>
            <scheme val="minor"/>
          </rPr>
          <t xml:space="preserve">Ranjith, Keshav:
Way off from Wind tunnel value
</t>
        </r>
      </text>
    </comment>
    <comment ref="X95" authorId="0" shapeId="0" xr:uid="{617912C2-FC36-4995-A2C6-BB88F503B3DD}">
      <text>
        <r>
          <rPr>
            <sz val="11"/>
            <color theme="1"/>
            <rFont val="Aptos Narrow"/>
            <family val="2"/>
            <scheme val="minor"/>
          </rPr>
          <t xml:space="preserve">Ranjith, Keshav:
Way off from Wind tunnel value
</t>
        </r>
      </text>
    </comment>
    <comment ref="AT95" authorId="0" shapeId="0" xr:uid="{372590EF-74EF-404E-8FC2-68C29CD6F729}">
      <text>
        <r>
          <rPr>
            <sz val="11"/>
            <color theme="1"/>
            <rFont val="Aptos Narrow"/>
            <family val="2"/>
            <scheme val="minor"/>
          </rPr>
          <t xml:space="preserve">Ranjith, Keshav:
If negated, closest to wind tunnel value
</t>
        </r>
      </text>
    </comment>
    <comment ref="X96" authorId="0" shapeId="0" xr:uid="{A6764E95-DCF7-413A-9557-75B6AD791D8E}">
      <text>
        <r>
          <rPr>
            <sz val="11"/>
            <color theme="1"/>
            <rFont val="Aptos Narrow"/>
            <family val="2"/>
            <scheme val="minor"/>
          </rPr>
          <t xml:space="preserve">Ranjith, Keshav:
If negated, closest to wind tunnel value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Ranjith, Keshav</author>
  </authors>
  <commentList>
    <comment ref="AU92" authorId="0" shapeId="0" xr:uid="{1FD31445-8D5D-4883-92E9-94C5D92CAD83}">
      <text>
        <r>
          <rPr>
            <sz val="11"/>
            <color theme="1"/>
            <rFont val="Aptos Narrow"/>
            <family val="2"/>
            <scheme val="minor"/>
          </rPr>
          <t xml:space="preserve">Ranjith, Keshav:
Calculated by dividing y-int coefficient from Suhail's regresser by etaH aH VbarH
=(y-int coeff)/(etaH*aH*VbarH)
</t>
        </r>
      </text>
    </comment>
    <comment ref="Y93" authorId="0" shapeId="0" xr:uid="{D51EB903-B7B9-4CE3-B2E3-7038BDEDB238}">
      <text>
        <r>
          <rPr>
            <sz val="11"/>
            <color theme="1"/>
            <rFont val="Aptos Narrow"/>
            <family val="2"/>
            <scheme val="minor"/>
          </rPr>
          <t xml:space="preserve">Ranjith, Keshav:
Calculated by dividing y-int coefficient from Suhail's regresser by etaH aH VbarH
=(y-int coeff)/(etaH*aH*VbarH)
</t>
        </r>
      </text>
    </comment>
    <comment ref="AS93" authorId="0" shapeId="0" xr:uid="{2715E59D-C06F-40F7-BECB-B6D65C429152}">
      <text>
        <r>
          <rPr>
            <sz val="11"/>
            <color theme="1"/>
            <rFont val="Aptos Narrow"/>
            <family val="2"/>
            <scheme val="minor"/>
          </rPr>
          <t>Ranjith, Keshav:
Close to Wind Tunnel Values</t>
        </r>
      </text>
    </comment>
    <comment ref="W94" authorId="0" shapeId="0" xr:uid="{54439383-A541-4433-8B88-C502EC52C379}">
      <text>
        <r>
          <rPr>
            <sz val="11"/>
            <color theme="1"/>
            <rFont val="Aptos Narrow"/>
            <family val="2"/>
            <scheme val="minor"/>
          </rPr>
          <t>Ranjith, Keshav:
Close to Wind Tunnel Values</t>
        </r>
      </text>
    </comment>
    <comment ref="AS94" authorId="0" shapeId="0" xr:uid="{8D96B740-D2E8-493F-B8BB-D89945F69F48}">
      <text>
        <r>
          <rPr>
            <sz val="11"/>
            <color theme="1"/>
            <rFont val="Aptos Narrow"/>
            <family val="2"/>
            <scheme val="minor"/>
          </rPr>
          <t xml:space="preserve">Ranjith, Keshav:
Way off from Wind tunnel value
</t>
        </r>
      </text>
    </comment>
    <comment ref="W95" authorId="0" shapeId="0" xr:uid="{86E817DC-3DA1-4B84-A520-8F246C28C3B4}">
      <text>
        <r>
          <rPr>
            <sz val="11"/>
            <color theme="1"/>
            <rFont val="Aptos Narrow"/>
            <family val="2"/>
            <scheme val="minor"/>
          </rPr>
          <t xml:space="preserve">Ranjith, Keshav:
Way off from Wind tunnel value
</t>
        </r>
      </text>
    </comment>
    <comment ref="AS95" authorId="0" shapeId="0" xr:uid="{717B2BA5-CC2F-4798-A4B2-3FBA233994E7}">
      <text>
        <r>
          <rPr>
            <sz val="11"/>
            <color theme="1"/>
            <rFont val="Aptos Narrow"/>
            <family val="2"/>
            <scheme val="minor"/>
          </rPr>
          <t xml:space="preserve">Ranjith, Keshav:
If negated, closest to wind tunnel value
</t>
        </r>
      </text>
    </comment>
    <comment ref="W96" authorId="0" shapeId="0" xr:uid="{9C1C9A2C-6B3C-4D2F-BA33-7EB1E864C189}">
      <text>
        <r>
          <rPr>
            <sz val="11"/>
            <color theme="1"/>
            <rFont val="Aptos Narrow"/>
            <family val="2"/>
            <scheme val="minor"/>
          </rPr>
          <t xml:space="preserve">Ranjith, Keshav:
If negated, closest to wind tunnel value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Keshav Ranjith</author>
  </authors>
  <commentList>
    <comment ref="AF2" authorId="0" shapeId="0" xr:uid="{3FA2DB7C-E3C6-42A2-A174-22CA7E60C853}">
      <text>
        <r>
          <rPr>
            <b/>
            <sz val="9"/>
            <color indexed="81"/>
            <rFont val="Tahoma"/>
            <charset val="1"/>
          </rPr>
          <t>Keshav Ranjith:</t>
        </r>
        <r>
          <rPr>
            <sz val="9"/>
            <color indexed="81"/>
            <rFont val="Tahoma"/>
            <charset val="1"/>
          </rPr>
          <t xml:space="preserve">
Cd with all errors add
</t>
        </r>
      </text>
    </comment>
    <comment ref="AS3" authorId="0" shapeId="0" xr:uid="{76AE9009-B88F-489A-82DD-C7D3EC3A079F}">
      <text>
        <r>
          <rPr>
            <b/>
            <sz val="9"/>
            <color indexed="81"/>
            <rFont val="Tahoma"/>
            <charset val="1"/>
          </rPr>
          <t>Keshav Ranjith:</t>
        </r>
        <r>
          <rPr>
            <sz val="9"/>
            <color indexed="81"/>
            <rFont val="Tahoma"/>
            <charset val="1"/>
          </rPr>
          <t xml:space="preserve">
Point where Cm2=0</t>
        </r>
      </text>
    </comment>
    <comment ref="AT3" authorId="0" shapeId="0" xr:uid="{4AF56E93-A408-4804-A22C-7FD85290C75D}">
      <text>
        <r>
          <rPr>
            <b/>
            <sz val="9"/>
            <color indexed="81"/>
            <rFont val="Tahoma"/>
            <charset val="1"/>
          </rPr>
          <t>Keshav Ranjith:</t>
        </r>
        <r>
          <rPr>
            <sz val="9"/>
            <color indexed="81"/>
            <rFont val="Tahoma"/>
            <charset val="1"/>
          </rPr>
          <t xml:space="preserve">
Point where Cm1=0</t>
        </r>
      </text>
    </comment>
    <comment ref="AH17" authorId="0" shapeId="0" xr:uid="{41ED2175-5561-4444-B77A-8FD5524C42BD}">
      <text>
        <r>
          <rPr>
            <b/>
            <sz val="9"/>
            <color indexed="81"/>
            <rFont val="Tahoma"/>
            <charset val="1"/>
          </rPr>
          <t>Keshav Ranjith:</t>
        </r>
        <r>
          <rPr>
            <sz val="9"/>
            <color indexed="81"/>
            <rFont val="Tahoma"/>
            <charset val="1"/>
          </rPr>
          <t xml:space="preserve">
calculated using best fit line equation
</t>
        </r>
      </text>
    </comment>
    <comment ref="AQ18" authorId="0" shapeId="0" xr:uid="{0B873DA8-7935-4B39-8E47-98581E8D5719}">
      <text>
        <r>
          <rPr>
            <b/>
            <sz val="9"/>
            <color indexed="81"/>
            <rFont val="Tahoma"/>
            <charset val="1"/>
          </rPr>
          <t>Keshav Ranjith:</t>
        </r>
        <r>
          <rPr>
            <sz val="9"/>
            <color indexed="81"/>
            <rFont val="Tahoma"/>
            <charset val="1"/>
          </rPr>
          <t xml:space="preserve">
Point where Cm2=0</t>
        </r>
      </text>
    </comment>
    <comment ref="AR18" authorId="0" shapeId="0" xr:uid="{65DB4403-E6F9-4007-A32F-716A5C50B311}">
      <text>
        <r>
          <rPr>
            <b/>
            <sz val="9"/>
            <color indexed="81"/>
            <rFont val="Tahoma"/>
            <charset val="1"/>
          </rPr>
          <t>Keshav Ranjith:</t>
        </r>
        <r>
          <rPr>
            <sz val="9"/>
            <color indexed="81"/>
            <rFont val="Tahoma"/>
            <charset val="1"/>
          </rPr>
          <t xml:space="preserve">
Point where Cm1=0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<sst xmlns="http://schemas.openxmlformats.org/spreadsheetml/2006/main" count="429" uniqueCount="242">
  <si>
    <t>RAW DATA ENTRIES + Processing</t>
  </si>
  <si>
    <t>Constants</t>
  </si>
  <si>
    <t>Wing</t>
  </si>
  <si>
    <t>Stall Test</t>
  </si>
  <si>
    <t>COLOR CODE</t>
  </si>
  <si>
    <t>Glide Test</t>
  </si>
  <si>
    <t>Fuel Mass: (lb)</t>
  </si>
  <si>
    <t>Sref (m2)</t>
  </si>
  <si>
    <t>Stall Horn Speed (kts)</t>
  </si>
  <si>
    <t>Stall Spd. (kts)</t>
  </si>
  <si>
    <t xml:space="preserve">Config </t>
  </si>
  <si>
    <t>CL max</t>
  </si>
  <si>
    <t>Blue: Adam and Kashev</t>
  </si>
  <si>
    <t>IAS (kts.)</t>
  </si>
  <si>
    <t>time (s)</t>
  </si>
  <si>
    <t>Rate of Descent (ft/s)</t>
  </si>
  <si>
    <t>CD/CL</t>
  </si>
  <si>
    <t>CL</t>
  </si>
  <si>
    <t>CD</t>
  </si>
  <si>
    <t>Cl^2</t>
  </si>
  <si>
    <t>Payload Weight (lbs)</t>
  </si>
  <si>
    <t>c bar (m)</t>
  </si>
  <si>
    <t>clean</t>
  </si>
  <si>
    <t>Pink: Suhail and Morven</t>
  </si>
  <si>
    <t>Density of air at 5000 ft (kg/m3)</t>
  </si>
  <si>
    <t>AR</t>
  </si>
  <si>
    <t>Beige: Callum and Ved</t>
  </si>
  <si>
    <t>Density Ratio at 5000ft</t>
  </si>
  <si>
    <t>Aircraft</t>
  </si>
  <si>
    <t>Max Takeoff W (lbs)</t>
  </si>
  <si>
    <t>Empty weight (lbs)</t>
  </si>
  <si>
    <t>key</t>
  </si>
  <si>
    <t>Max fuel W (lbs)</t>
  </si>
  <si>
    <t>Keshav-Adam</t>
  </si>
  <si>
    <t>CG at zero fuel (m)</t>
  </si>
  <si>
    <t>landing</t>
  </si>
  <si>
    <t>Suhail-Morven</t>
  </si>
  <si>
    <t>CG of fuel tanks(m)</t>
  </si>
  <si>
    <t>Caluum-Veed</t>
  </si>
  <si>
    <t>Horizontal Tail</t>
  </si>
  <si>
    <t>Sh(m2)</t>
  </si>
  <si>
    <t>c bar h (m)</t>
  </si>
  <si>
    <t>AR h</t>
  </si>
  <si>
    <t>Volume coefficient</t>
  </si>
  <si>
    <t>delta ih (degrees)</t>
  </si>
  <si>
    <t>Steady Level</t>
  </si>
  <si>
    <t>IAS (kts)</t>
  </si>
  <si>
    <t>AoA (deg)</t>
  </si>
  <si>
    <t>Tailplane Def. (deg)</t>
  </si>
  <si>
    <t>Offset</t>
  </si>
  <si>
    <t xml:space="preserve">Xcg </t>
  </si>
  <si>
    <t>Cl^2 dependent term</t>
  </si>
  <si>
    <t>e</t>
  </si>
  <si>
    <t>DATA ANALYSIS</t>
  </si>
  <si>
    <t>WEIGHT &amp; BALANCE</t>
  </si>
  <si>
    <t>kg</t>
  </si>
  <si>
    <t>W total (lbs)</t>
  </si>
  <si>
    <t>x CG (m)</t>
  </si>
  <si>
    <t xml:space="preserve">Eta </t>
  </si>
  <si>
    <t>Xnp</t>
  </si>
  <si>
    <t>Vbar H</t>
  </si>
  <si>
    <t>Cm0</t>
  </si>
  <si>
    <t>static margin</t>
  </si>
  <si>
    <t>Question 4 Graphs</t>
  </si>
  <si>
    <t>Trim Test:</t>
  </si>
  <si>
    <t>SLOPES</t>
  </si>
  <si>
    <t>di/dCL</t>
  </si>
  <si>
    <t>EtaH aH</t>
  </si>
  <si>
    <t>Static Margin %</t>
  </si>
  <si>
    <t>If straight Line</t>
  </si>
  <si>
    <t>Offset of -4</t>
  </si>
  <si>
    <t>For slope</t>
  </si>
  <si>
    <t>Di/DCl</t>
  </si>
  <si>
    <t>Offset of 0</t>
  </si>
  <si>
    <t>Cl</t>
  </si>
  <si>
    <t>Mean derivatives</t>
  </si>
  <si>
    <t>Offset of 4</t>
  </si>
  <si>
    <t>Y interecpt</t>
  </si>
  <si>
    <t>Radians</t>
  </si>
  <si>
    <t xml:space="preserve"> </t>
  </si>
  <si>
    <t>Caluum-Ved</t>
  </si>
  <si>
    <t>graphical</t>
  </si>
  <si>
    <t>yint</t>
  </si>
  <si>
    <t>Degrees</t>
  </si>
  <si>
    <t xml:space="preserve">EtaH aH </t>
  </si>
  <si>
    <t>Area'd Lift curve slope</t>
  </si>
  <si>
    <t>Effect L-slopes</t>
  </si>
  <si>
    <t>ST</t>
  </si>
  <si>
    <t>Sref</t>
  </si>
  <si>
    <t>di/dCldxcg</t>
  </si>
  <si>
    <t>di/dCl rad</t>
  </si>
  <si>
    <t>MAC</t>
  </si>
  <si>
    <t>k</t>
  </si>
  <si>
    <t>high</t>
  </si>
  <si>
    <t xml:space="preserve">low </t>
  </si>
  <si>
    <t>med</t>
  </si>
  <si>
    <t>Equations</t>
  </si>
  <si>
    <t>MATLAB CG</t>
  </si>
  <si>
    <t>clterm</t>
  </si>
  <si>
    <t>cgterm</t>
  </si>
  <si>
    <t>clterm*cgterm</t>
  </si>
  <si>
    <t>CORRECTED VALUES</t>
  </si>
  <si>
    <t>Cd</t>
  </si>
  <si>
    <t>Cm</t>
  </si>
  <si>
    <t>del Cd sting</t>
  </si>
  <si>
    <t>alpha</t>
  </si>
  <si>
    <t>del Cd i</t>
  </si>
  <si>
    <t>del eps</t>
  </si>
  <si>
    <t>del Cm</t>
  </si>
  <si>
    <t>Cd cor</t>
  </si>
  <si>
    <r>
      <t>Lift Curve Slope, a (deg</t>
    </r>
    <r>
      <rPr>
        <vertAlign val="superscript"/>
        <sz val="11"/>
        <color theme="1"/>
        <rFont val="Aptos Narrow"/>
        <family val="2"/>
        <scheme val="minor"/>
      </rPr>
      <t>-1</t>
    </r>
    <r>
      <rPr>
        <sz val="11"/>
        <color theme="1"/>
        <rFont val="Aptos Narrow"/>
        <family val="2"/>
        <scheme val="minor"/>
      </rPr>
      <t>)</t>
    </r>
  </si>
  <si>
    <r>
      <t>Lift Curve Slope, a (rad</t>
    </r>
    <r>
      <rPr>
        <vertAlign val="superscript"/>
        <sz val="11"/>
        <color theme="1"/>
        <rFont val="Aptos Narrow"/>
        <family val="2"/>
        <scheme val="minor"/>
      </rPr>
      <t>-1</t>
    </r>
    <r>
      <rPr>
        <sz val="11"/>
        <color theme="1"/>
        <rFont val="Aptos Narrow"/>
        <family val="2"/>
        <scheme val="minor"/>
      </rPr>
      <t>)</t>
    </r>
  </si>
  <si>
    <r>
      <t>Zero Lift Angle of Attack, α</t>
    </r>
    <r>
      <rPr>
        <vertAlign val="subscript"/>
        <sz val="11"/>
        <color theme="1"/>
        <rFont val="Aptos Narrow"/>
        <family val="2"/>
      </rPr>
      <t>0</t>
    </r>
    <r>
      <rPr>
        <sz val="11"/>
        <color theme="1"/>
        <rFont val="Aptos Narrow"/>
        <family val="2"/>
      </rPr>
      <t xml:space="preserve"> (deg)</t>
    </r>
  </si>
  <si>
    <r>
      <t>Zero Incidence Lift Coefficient, Cl</t>
    </r>
    <r>
      <rPr>
        <vertAlign val="subscript"/>
        <sz val="11"/>
        <color theme="1"/>
        <rFont val="Aptos Narrow"/>
        <family val="2"/>
        <scheme val="minor"/>
      </rPr>
      <t>0</t>
    </r>
  </si>
  <si>
    <t>Stall Angle, α (deg)</t>
  </si>
  <si>
    <t>Flight Sim</t>
  </si>
  <si>
    <t>Cg Offset (in)</t>
  </si>
  <si>
    <t>Wind Tunnel</t>
  </si>
  <si>
    <t>Tail Incidence (deg)</t>
  </si>
  <si>
    <t>No Tail</t>
  </si>
  <si>
    <t>No Offset</t>
  </si>
  <si>
    <t>offset -4 in</t>
  </si>
  <si>
    <t>offset 4 in</t>
  </si>
  <si>
    <t>AVG</t>
  </si>
  <si>
    <t>Tail-Off</t>
  </si>
  <si>
    <t>Prelim Coeffs</t>
  </si>
  <si>
    <t>REDUCTION OF RESULTS</t>
  </si>
  <si>
    <t>ih(-2)</t>
  </si>
  <si>
    <t>ih(+1)</t>
  </si>
  <si>
    <t>Fx</t>
  </si>
  <si>
    <t>Std</t>
  </si>
  <si>
    <t>Fz</t>
  </si>
  <si>
    <t>std</t>
  </si>
  <si>
    <t>Mc</t>
  </si>
  <si>
    <t>Theta</t>
  </si>
  <si>
    <t>Alpha</t>
  </si>
  <si>
    <t>Fx_a</t>
  </si>
  <si>
    <t>Fz_a</t>
  </si>
  <si>
    <t>D</t>
  </si>
  <si>
    <t>L</t>
  </si>
  <si>
    <t>M</t>
  </si>
  <si>
    <t>Cd tu</t>
  </si>
  <si>
    <t>Cl tu</t>
  </si>
  <si>
    <t>Cm tu</t>
  </si>
  <si>
    <t>CL^2</t>
  </si>
  <si>
    <t>L/D</t>
  </si>
  <si>
    <t>Cl/Cd</t>
  </si>
  <si>
    <t>Cm cor</t>
  </si>
  <si>
    <t>CL2*</t>
  </si>
  <si>
    <t>CL1*</t>
  </si>
  <si>
    <t>Delta CL</t>
  </si>
  <si>
    <t>CL/CD</t>
  </si>
  <si>
    <t>True Values</t>
  </si>
  <si>
    <t>at -2 trim point</t>
  </si>
  <si>
    <t>at 1 trim point</t>
  </si>
  <si>
    <t>dCL/CM (-2)</t>
  </si>
  <si>
    <t>dCL/CM (1)</t>
  </si>
  <si>
    <t>Kn2 (%)</t>
  </si>
  <si>
    <t>Kn1 (%)</t>
  </si>
  <si>
    <t>Effective Lift Curve Slope (Tail)</t>
  </si>
  <si>
    <t>eta a (without using slope)</t>
  </si>
  <si>
    <t>lh (-2)</t>
  </si>
  <si>
    <t>lh (1)</t>
  </si>
  <si>
    <t>Xcg (m)</t>
  </si>
  <si>
    <t>XH (m)</t>
  </si>
  <si>
    <t>Vol Coef (-2)</t>
  </si>
  <si>
    <t>Vol Coef (1)</t>
  </si>
  <si>
    <t>Tail 1 Deg</t>
  </si>
  <si>
    <t>Cbar (m)</t>
  </si>
  <si>
    <t>Whole Plane (With Tail) a-slope</t>
  </si>
  <si>
    <t>Fx_m</t>
  </si>
  <si>
    <t>Fz_m</t>
  </si>
  <si>
    <t>depsilon/dalpha (-2)</t>
  </si>
  <si>
    <t>depsilon/dalpha (1)</t>
  </si>
  <si>
    <t>Xnp (-2) (m)</t>
  </si>
  <si>
    <t>Xnp (1) (m)</t>
  </si>
  <si>
    <t>CM2</t>
  </si>
  <si>
    <t>CM1</t>
  </si>
  <si>
    <t>ih2</t>
  </si>
  <si>
    <t>ih1</t>
  </si>
  <si>
    <t>dCM/diH</t>
  </si>
  <si>
    <t>TAIL OFF Derivatives at points (dCL/sCM)</t>
  </si>
  <si>
    <t>Xw(-2)</t>
  </si>
  <si>
    <t>Xw (1)</t>
  </si>
  <si>
    <t>Tail -2 Deg</t>
  </si>
  <si>
    <t>CL tail-off*</t>
  </si>
  <si>
    <t>at tail-off</t>
  </si>
  <si>
    <t>dCL/CM (tail-off)</t>
  </si>
  <si>
    <t>Kn(tail-off)%</t>
  </si>
  <si>
    <t>lh(tail-off)</t>
  </si>
  <si>
    <t>Xnp(tail-off) (m)</t>
  </si>
  <si>
    <t>Vol Coef (tail-off)</t>
  </si>
  <si>
    <t>depsilon/dalpha (tail-off)</t>
  </si>
  <si>
    <t>Xw(tail-off) (m)</t>
  </si>
  <si>
    <t>SOLID BLOCKAGE</t>
  </si>
  <si>
    <t>Drag Curve Analysis</t>
  </si>
  <si>
    <t>Tail off</t>
  </si>
  <si>
    <t>ih = -2</t>
  </si>
  <si>
    <t>ih = 1</t>
  </si>
  <si>
    <t>Cd0</t>
  </si>
  <si>
    <t>1/(PI*AR*e)</t>
  </si>
  <si>
    <t>Oswald Efficiency</t>
  </si>
  <si>
    <t>Mass Properties</t>
  </si>
  <si>
    <t>Trial Type</t>
  </si>
  <si>
    <t>Oswald Efficiencies</t>
  </si>
  <si>
    <r>
      <t>Lift Independent Drag Coefficient, C</t>
    </r>
    <r>
      <rPr>
        <vertAlign val="subscript"/>
        <sz val="11"/>
        <color theme="1"/>
        <rFont val="Aptos Narrow"/>
        <family val="2"/>
        <scheme val="minor"/>
      </rPr>
      <t>D0</t>
    </r>
  </si>
  <si>
    <t>W</t>
  </si>
  <si>
    <t>Flight Sim Glide Test</t>
  </si>
  <si>
    <t>delXm</t>
  </si>
  <si>
    <t>Wind Tunnel (Tail Off)</t>
  </si>
  <si>
    <t>delZm</t>
  </si>
  <si>
    <t>Wind Tunnel (Tail Incidence -2 deg)</t>
  </si>
  <si>
    <t>Wind Tunnel (Tail Incidence 1 deg)</t>
  </si>
  <si>
    <t>Velocity</t>
  </si>
  <si>
    <t>Rho</t>
  </si>
  <si>
    <t>sref</t>
  </si>
  <si>
    <t>cbar</t>
  </si>
  <si>
    <t>Temp</t>
  </si>
  <si>
    <t>pressure</t>
  </si>
  <si>
    <t>102kP</t>
  </si>
  <si>
    <t>Dynamic Pressure</t>
  </si>
  <si>
    <t>Uncertainty Calcs</t>
  </si>
  <si>
    <t>Sin theta</t>
  </si>
  <si>
    <t>Cos theta</t>
  </si>
  <si>
    <t>Wsin(th)P</t>
  </si>
  <si>
    <t>Wcos(th) P</t>
  </si>
  <si>
    <t>Abs J3</t>
  </si>
  <si>
    <t>Abs K3</t>
  </si>
  <si>
    <t>Sin th P</t>
  </si>
  <si>
    <t>Cos th P</t>
  </si>
  <si>
    <t>P delZsin</t>
  </si>
  <si>
    <t>P delXcos</t>
  </si>
  <si>
    <t>A delZsin</t>
  </si>
  <si>
    <t>A delXcos</t>
  </si>
  <si>
    <t>A L3 brackets</t>
  </si>
  <si>
    <t>P L3 brackets</t>
  </si>
  <si>
    <t>P W times brackets</t>
  </si>
  <si>
    <t>A W times brackets</t>
  </si>
  <si>
    <t>A L3</t>
  </si>
  <si>
    <t>AO3</t>
  </si>
  <si>
    <t>P O3</t>
  </si>
  <si>
    <t>Cm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</si>
</sst>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1" x14ac:knownFonts="1">
    <font>
      <sz val="11"/>
      <color theme="1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b/>
      <i/>
      <sz val="18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DLaM Display"/>
    </font>
    <font>
      <sz val="1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8"/>
      <color theme="1"/>
      <name val="Aptos Display"/>
      <scheme val="major"/>
    </font>
    <font>
      <sz val="16"/>
      <color rgb="FF000000"/>
      <name val="Aptos Narrow"/>
      <scheme val="minor"/>
    </font>
    <font>
      <sz val="11"/>
      <color rgb="FFFF0000"/>
      <name val="Aptos Narrow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i/>
      <sz val="12"/>
      <color theme="1"/>
      <name val="Aptos Narrow"/>
      <family val="2"/>
      <scheme val="minor"/>
    </font>
    <font>
      <b/>
      <i/>
      <u/>
      <sz val="16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1"/>
      <name val="Aptos Narrow"/>
    </font>
    <font>
      <vertAlign val="subscript"/>
      <sz val="11"/>
      <color theme="1"/>
      <name val="Aptos Narrow"/>
      <family val="2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5" fillId="2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0" fillId="12" borderId="0" xfId="0" applyFill="1"/>
    <xf numFmtId="0" fontId="8" fillId="0" borderId="0" xfId="0" applyFont="1" applyAlignment="1">
      <alignment horizontal="center"/>
    </xf>
    <xf numFmtId="0" fontId="10" fillId="14" borderId="0" xfId="0" applyFont="1" applyFill="1"/>
    <xf numFmtId="0" fontId="13" fillId="0" borderId="0" xfId="0" applyFont="1"/>
    <xf numFmtId="0" fontId="14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15" fillId="0" borderId="0" xfId="0" applyNumberFormat="1" applyFont="1"/>
    <xf numFmtId="0" fontId="0" fillId="1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6" fillId="0" borderId="0" xfId="0" applyFont="1"/>
    <xf numFmtId="165" fontId="0" fillId="0" borderId="0" xfId="0" applyNumberFormat="1"/>
    <xf numFmtId="0" fontId="7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 vs. Angle of Attack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'KESHAV Flight Sim'!$B$24:$B$42</c:f>
              <c:numCache>
                <c:formatCode>General</c:formatCode>
                <c:ptCount val="19"/>
                <c:pt idx="0">
                  <c:v>0</c:v>
                </c:pt>
                <c:pt idx="1">
                  <c:v>-0.5</c:v>
                </c:pt>
                <c:pt idx="2">
                  <c:v>-0.8</c:v>
                </c:pt>
                <c:pt idx="3">
                  <c:v>-1.1000000000000001</c:v>
                </c:pt>
                <c:pt idx="4">
                  <c:v>-1.2</c:v>
                </c:pt>
                <c:pt idx="5">
                  <c:v>-1.4</c:v>
                </c:pt>
                <c:pt idx="6">
                  <c:v>-0.5</c:v>
                </c:pt>
                <c:pt idx="7">
                  <c:v>-0.7</c:v>
                </c:pt>
                <c:pt idx="8">
                  <c:v>-1.1000000000000001</c:v>
                </c:pt>
                <c:pt idx="9">
                  <c:v>-1.2</c:v>
                </c:pt>
                <c:pt idx="10">
                  <c:v>-1.5</c:v>
                </c:pt>
                <c:pt idx="11">
                  <c:v>-1.2</c:v>
                </c:pt>
                <c:pt idx="12">
                  <c:v>-1.5</c:v>
                </c:pt>
                <c:pt idx="13">
                  <c:v>-0.1</c:v>
                </c:pt>
                <c:pt idx="14">
                  <c:v>-0.5</c:v>
                </c:pt>
                <c:pt idx="15">
                  <c:v>-0.8</c:v>
                </c:pt>
                <c:pt idx="16">
                  <c:v>-1.1000000000000001</c:v>
                </c:pt>
                <c:pt idx="17">
                  <c:v>-1.2</c:v>
                </c:pt>
                <c:pt idx="18">
                  <c:v>-1.5</c:v>
                </c:pt>
              </c:numCache>
            </c:numRef>
          </c:xVal>
          <c:yVal>
            <c:numRef>
              <c:f>'KESHAV Flight Sim'!$E$24:$E$42</c:f>
              <c:numCache>
                <c:formatCode>General</c:formatCode>
                <c:ptCount val="19"/>
                <c:pt idx="0">
                  <c:v>0.24512485255947877</c:v>
                </c:pt>
                <c:pt idx="1">
                  <c:v>0.20065775912465267</c:v>
                </c:pt>
                <c:pt idx="2">
                  <c:v>0.16727801847631729</c:v>
                </c:pt>
                <c:pt idx="3">
                  <c:v>0.14158411483835498</c:v>
                </c:pt>
                <c:pt idx="4">
                  <c:v>0.12138555798898744</c:v>
                </c:pt>
                <c:pt idx="5">
                  <c:v>0.10522006156239219</c:v>
                </c:pt>
                <c:pt idx="6">
                  <c:v>0.20065775912465267</c:v>
                </c:pt>
                <c:pt idx="7">
                  <c:v>0.16874215170185891</c:v>
                </c:pt>
                <c:pt idx="8">
                  <c:v>0.14045820189198874</c:v>
                </c:pt>
                <c:pt idx="9">
                  <c:v>0.12138555798898744</c:v>
                </c:pt>
                <c:pt idx="10">
                  <c:v>0.10449814217353579</c:v>
                </c:pt>
                <c:pt idx="11">
                  <c:v>0.12138555798898744</c:v>
                </c:pt>
                <c:pt idx="12">
                  <c:v>0.10449814217353579</c:v>
                </c:pt>
                <c:pt idx="13">
                  <c:v>0.24512485255947877</c:v>
                </c:pt>
                <c:pt idx="14">
                  <c:v>0.20065775912465267</c:v>
                </c:pt>
                <c:pt idx="15">
                  <c:v>0.16727801847631729</c:v>
                </c:pt>
                <c:pt idx="16">
                  <c:v>0.14158411483835498</c:v>
                </c:pt>
                <c:pt idx="17">
                  <c:v>0.12138555798898744</c:v>
                </c:pt>
                <c:pt idx="18">
                  <c:v>0.10168350677847954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8-4F0F-A499-5AB84990F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933008"/>
        <c:axId val="1394932528"/>
      </c:scatterChart>
      <c:valAx>
        <c:axId val="139493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32528"/>
        <c:crosses val="autoZero"/>
        <c:crossBetween val="midCat"/>
      </c:valAx>
      <c:valAx>
        <c:axId val="139493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3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Deflection</a:t>
            </a:r>
            <a:r>
              <a:rPr lang="en-GB" baseline="0"/>
              <a:t> against coefficient of Lift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8.469375943972958E-2"/>
          <c:y val="0.11763276555108042"/>
          <c:w val="0.84504262487413695"/>
          <c:h val="0.76082297460363124"/>
        </c:manualLayout>
      </c:layout>
      <c:scatterChart>
        <c:scatterStyle val="lineMarker"/>
        <c:varyColors val="0"/>
        <c:ser>
          <c:idx val="0"/>
          <c:order val="0"/>
          <c:tx>
            <c:v>Offset of -4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4691214084076523E-2"/>
                  <c:y val="-0.631170036999744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'KESHAV Flight Sim'!$E$24:$E$29</c:f>
              <c:numCache>
                <c:formatCode>General</c:formatCode>
                <c:ptCount val="6"/>
                <c:pt idx="0">
                  <c:v>0.24512485255947877</c:v>
                </c:pt>
                <c:pt idx="1">
                  <c:v>0.20065775912465267</c:v>
                </c:pt>
                <c:pt idx="2">
                  <c:v>0.16727801847631729</c:v>
                </c:pt>
                <c:pt idx="3">
                  <c:v>0.14158411483835498</c:v>
                </c:pt>
                <c:pt idx="4">
                  <c:v>0.12138555798898744</c:v>
                </c:pt>
                <c:pt idx="5">
                  <c:v>0.10522006156239219</c:v>
                </c:pt>
              </c:numCache>
            </c:numRef>
          </c:xVal>
          <c:yVal>
            <c:numRef>
              <c:f>'KESHAV Flight Sim'!$C$24:$C$29</c:f>
              <c:numCache>
                <c:formatCode>General</c:formatCode>
                <c:ptCount val="6"/>
                <c:pt idx="0">
                  <c:v>0.03</c:v>
                </c:pt>
                <c:pt idx="1">
                  <c:v>0.32</c:v>
                </c:pt>
                <c:pt idx="3">
                  <c:v>0.66</c:v>
                </c:pt>
                <c:pt idx="4">
                  <c:v>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C3-48F6-94C0-0482785FF531}"/>
            </c:ext>
          </c:extLst>
        </c:ser>
        <c:ser>
          <c:idx val="1"/>
          <c:order val="1"/>
          <c:tx>
            <c:v>Offset of 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899967522835155"/>
                  <c:y val="-0.285965619406086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('KESHAV Flight Sim'!$E$30:$E$36,'KESHAV Flight Sim'!$E$43:$E$44)</c:f>
              <c:numCache>
                <c:formatCode>General</c:formatCode>
                <c:ptCount val="9"/>
                <c:pt idx="0">
                  <c:v>0.20065775912465267</c:v>
                </c:pt>
                <c:pt idx="1">
                  <c:v>0.16874215170185891</c:v>
                </c:pt>
                <c:pt idx="2">
                  <c:v>0.14045820189198874</c:v>
                </c:pt>
                <c:pt idx="3">
                  <c:v>0.12138555798898744</c:v>
                </c:pt>
                <c:pt idx="4">
                  <c:v>0.10449814217353579</c:v>
                </c:pt>
                <c:pt idx="5">
                  <c:v>0.12138555798898744</c:v>
                </c:pt>
                <c:pt idx="6">
                  <c:v>0.10449814217353579</c:v>
                </c:pt>
              </c:numCache>
            </c:numRef>
          </c:xVal>
          <c:yVal>
            <c:numRef>
              <c:f>('KESHAV Flight Sim'!$C$30:$C$36,'KESHAV Flight Sim'!$C$43:$C$44)</c:f>
              <c:numCache>
                <c:formatCode>General</c:formatCode>
                <c:ptCount val="9"/>
                <c:pt idx="0">
                  <c:v>0.45</c:v>
                </c:pt>
                <c:pt idx="1">
                  <c:v>0.57999999999999996</c:v>
                </c:pt>
                <c:pt idx="4">
                  <c:v>0.85</c:v>
                </c:pt>
                <c:pt idx="5">
                  <c:v>0.8</c:v>
                </c:pt>
                <c:pt idx="6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C3-48F6-94C0-0482785FF531}"/>
            </c:ext>
          </c:extLst>
        </c:ser>
        <c:ser>
          <c:idx val="2"/>
          <c:order val="2"/>
          <c:tx>
            <c:v>Offset of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5.4234196319404487E-2"/>
                  <c:y val="-0.191807813099347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'KESHAV Flight Sim'!$E$37:$E$42</c:f>
              <c:numCache>
                <c:formatCode>General</c:formatCode>
                <c:ptCount val="6"/>
                <c:pt idx="0">
                  <c:v>0.24512485255947877</c:v>
                </c:pt>
                <c:pt idx="1">
                  <c:v>0.20065775912465267</c:v>
                </c:pt>
                <c:pt idx="2">
                  <c:v>0.16727801847631729</c:v>
                </c:pt>
                <c:pt idx="3">
                  <c:v>0.14158411483835498</c:v>
                </c:pt>
                <c:pt idx="4">
                  <c:v>0.12138555798898744</c:v>
                </c:pt>
                <c:pt idx="5">
                  <c:v>0.10168350677847954</c:v>
                </c:pt>
              </c:numCache>
            </c:numRef>
          </c:xVal>
          <c:yVal>
            <c:numRef>
              <c:f>'KESHAV Flight Sim'!$C$37:$C$42</c:f>
              <c:numCache>
                <c:formatCode>General</c:formatCode>
                <c:ptCount val="6"/>
                <c:pt idx="0">
                  <c:v>0.35</c:v>
                </c:pt>
                <c:pt idx="1">
                  <c:v>0.56000000000000005</c:v>
                </c:pt>
                <c:pt idx="2">
                  <c:v>0.71</c:v>
                </c:pt>
                <c:pt idx="3">
                  <c:v>0.86</c:v>
                </c:pt>
                <c:pt idx="4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5C3-48F6-94C0-0482785FF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139072"/>
        <c:axId val="1504151552"/>
      </c:scatterChart>
      <c:valAx>
        <c:axId val="150413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Coefficient</a:t>
                </a:r>
                <a:r>
                  <a:rPr lang="en-GB" baseline="0"/>
                  <a:t> of lift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51552"/>
        <c:crosses val="autoZero"/>
        <c:crossBetween val="midCat"/>
      </c:valAx>
      <c:valAx>
        <c:axId val="150415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Angle</a:t>
                </a:r>
                <a:r>
                  <a:rPr lang="en-GB" baseline="0"/>
                  <a:t> of Deflection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3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8653498431206847"/>
          <c:y val="0.12074487957102671"/>
          <c:w val="0.17065162790384061"/>
          <c:h val="0.471372646560542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𝑑𝑖</a:t>
            </a:r>
            <a:r>
              <a:rPr lang="en-GB" sz="1400" b="0" i="0" u="none" strike="noStrike" baseline="-2500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𝐻</a:t>
            </a:r>
            <a:r>
              <a:rPr lang="en-GB" sz="1400" b="0" i="0" u="none" strike="noStrike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/𝑑𝐶</a:t>
            </a:r>
            <a:r>
              <a:rPr lang="en-GB" sz="1400" b="0" i="0" u="none" strike="noStrike" baseline="-2500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𝐿  </a:t>
            </a:r>
            <a:r>
              <a:rPr lang="en-US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vs  X</a:t>
            </a:r>
            <a:r>
              <a:rPr lang="en-US" sz="1800" baseline="-250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cg</a:t>
            </a:r>
            <a:endParaRPr lang="en-US" baseline="-250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47757867073639731"/>
          <c:y val="1.886987758352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055992751493323E-2"/>
          <c:y val="8.0597407447212624E-2"/>
          <c:w val="0.86436140758971725"/>
          <c:h val="0.7763253365004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'KESHAV Flight Sim'!$G$24:$G$26</c:f>
              <c:strCache>
                <c:ptCount val="3"/>
                <c:pt idx="0">
                  <c:v>-4</c:v>
                </c:pt>
                <c:pt idx="1">
                  <c:v>0</c:v>
                </c:pt>
                <c:pt idx="2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208088496079722E-2"/>
                  <c:y val="-4.63750767053094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'KESHAV Flight Sim'!$H$24:$H$26</c:f>
              <c:numCache>
                <c:formatCode>General</c:formatCode>
                <c:ptCount val="3"/>
                <c:pt idx="0">
                  <c:v>10.014971149999999</c:v>
                </c:pt>
                <c:pt idx="1">
                  <c:v>10.11657115</c:v>
                </c:pt>
                <c:pt idx="2">
                  <c:v>10.21817115</c:v>
                </c:pt>
              </c:numCache>
            </c:numRef>
          </c:xVal>
          <c:yVal>
            <c:numRef>
              <c:f>'KESHAV Flight Sim'!$AS$67:$AS$69</c:f>
              <c:numCache>
                <c:formatCode>General</c:formatCode>
                <c:ptCount val="3"/>
                <c:pt idx="0">
                  <c:v>-6.1951999999999998</c:v>
                </c:pt>
                <c:pt idx="1">
                  <c:v>-4.2214999999999998</c:v>
                </c:pt>
                <c:pt idx="2">
                  <c:v>-4.7093999999999996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ED-4FB9-8FAF-C9D0B5304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774047"/>
        <c:axId val="1759777407"/>
      </c:scatterChart>
      <c:valAx>
        <c:axId val="1759774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Position of Centre of gravity (</a:t>
                </a:r>
                <a:r>
                  <a:rPr lang="en-GB"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GB" sz="1800" b="0" i="0" u="none" strike="noStrike" kern="1200" baseline="-25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cg</a:t>
                </a:r>
                <a:r>
                  <a:rPr lang="en-GB"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GB" sz="14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en-GB" sz="14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7557995763604857"/>
              <c:y val="0.904469387461981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777407"/>
        <c:crossesAt val="-7"/>
        <c:crossBetween val="midCat"/>
      </c:valAx>
      <c:valAx>
        <c:axId val="17597774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u="none" strike="noStrike" kern="120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𝑑𝑖</a:t>
                </a:r>
                <a:r>
                  <a:rPr lang="en-GB" sz="1200" b="0" i="0" u="none" strike="noStrike" kern="1200" baseline="-2500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𝐻</a:t>
                </a:r>
                <a:r>
                  <a:rPr lang="en-GB" sz="1200" b="0" i="0" u="none" strike="noStrike" kern="120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/𝑑𝐶</a:t>
                </a:r>
                <a:r>
                  <a:rPr lang="en-GB" sz="1200" b="0" i="0" u="none" strike="noStrike" kern="1200" baseline="-2500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𝐿  </a:t>
                </a:r>
                <a:endParaRPr lang="en-GB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1991437491209225E-2"/>
              <c:y val="0.365575400019117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774047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Deflection</a:t>
            </a:r>
            <a:r>
              <a:rPr lang="en-GB" baseline="0"/>
              <a:t> against coefficient of Lift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8.469375943972958E-2"/>
          <c:y val="0.11763276555108042"/>
          <c:w val="0.84504262487413695"/>
          <c:h val="0.76082297460363124"/>
        </c:manualLayout>
      </c:layout>
      <c:scatterChart>
        <c:scatterStyle val="lineMarker"/>
        <c:varyColors val="0"/>
        <c:ser>
          <c:idx val="0"/>
          <c:order val="0"/>
          <c:tx>
            <c:v>Offset of -4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4691214084076523E-2"/>
                  <c:y val="-0.631170036999744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'KESHAV Flight Sim'!$E$24:$E$29</c:f>
              <c:numCache>
                <c:formatCode>General</c:formatCode>
                <c:ptCount val="6"/>
                <c:pt idx="0">
                  <c:v>0.24512485255947877</c:v>
                </c:pt>
                <c:pt idx="1">
                  <c:v>0.20065775912465267</c:v>
                </c:pt>
                <c:pt idx="2">
                  <c:v>0.16727801847631729</c:v>
                </c:pt>
                <c:pt idx="3">
                  <c:v>0.14158411483835498</c:v>
                </c:pt>
                <c:pt idx="4">
                  <c:v>0.12138555798898744</c:v>
                </c:pt>
                <c:pt idx="5">
                  <c:v>0.10522006156239219</c:v>
                </c:pt>
              </c:numCache>
            </c:numRef>
          </c:xVal>
          <c:yVal>
            <c:numRef>
              <c:f>'KESHAV Flight Sim'!$C$24:$C$29</c:f>
              <c:numCache>
                <c:formatCode>General</c:formatCode>
                <c:ptCount val="6"/>
                <c:pt idx="0">
                  <c:v>0.03</c:v>
                </c:pt>
                <c:pt idx="1">
                  <c:v>0.32</c:v>
                </c:pt>
                <c:pt idx="3">
                  <c:v>0.66</c:v>
                </c:pt>
                <c:pt idx="4">
                  <c:v>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33-4764-9CC0-3D7FF3E46A95}"/>
            </c:ext>
          </c:extLst>
        </c:ser>
        <c:ser>
          <c:idx val="1"/>
          <c:order val="1"/>
          <c:tx>
            <c:v>Offset of 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899967522835155"/>
                  <c:y val="-0.285965619406086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('KESHAV Flight Sim'!$E$30:$E$36,'KESHAV Flight Sim'!$E$43:$E$44)</c:f>
              <c:numCache>
                <c:formatCode>General</c:formatCode>
                <c:ptCount val="9"/>
                <c:pt idx="0">
                  <c:v>0.20065775912465267</c:v>
                </c:pt>
                <c:pt idx="1">
                  <c:v>0.16874215170185891</c:v>
                </c:pt>
                <c:pt idx="2">
                  <c:v>0.14045820189198874</c:v>
                </c:pt>
                <c:pt idx="3">
                  <c:v>0.12138555798898744</c:v>
                </c:pt>
                <c:pt idx="4">
                  <c:v>0.10449814217353579</c:v>
                </c:pt>
                <c:pt idx="5">
                  <c:v>0.12138555798898744</c:v>
                </c:pt>
                <c:pt idx="6">
                  <c:v>0.10449814217353579</c:v>
                </c:pt>
              </c:numCache>
            </c:numRef>
          </c:xVal>
          <c:yVal>
            <c:numRef>
              <c:f>('KESHAV Flight Sim'!$C$30:$C$36,'KESHAV Flight Sim'!$C$43:$C$44)</c:f>
              <c:numCache>
                <c:formatCode>General</c:formatCode>
                <c:ptCount val="9"/>
                <c:pt idx="0">
                  <c:v>0.45</c:v>
                </c:pt>
                <c:pt idx="1">
                  <c:v>0.57999999999999996</c:v>
                </c:pt>
                <c:pt idx="4">
                  <c:v>0.85</c:v>
                </c:pt>
                <c:pt idx="5">
                  <c:v>0.8</c:v>
                </c:pt>
                <c:pt idx="6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33-4764-9CC0-3D7FF3E46A95}"/>
            </c:ext>
          </c:extLst>
        </c:ser>
        <c:ser>
          <c:idx val="2"/>
          <c:order val="2"/>
          <c:tx>
            <c:v>Offset of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4234196319404487E-2"/>
                  <c:y val="-0.191807813099347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'KESHAV Flight Sim'!$E$37:$E$42</c:f>
              <c:numCache>
                <c:formatCode>General</c:formatCode>
                <c:ptCount val="6"/>
                <c:pt idx="0">
                  <c:v>0.24512485255947877</c:v>
                </c:pt>
                <c:pt idx="1">
                  <c:v>0.20065775912465267</c:v>
                </c:pt>
                <c:pt idx="2">
                  <c:v>0.16727801847631729</c:v>
                </c:pt>
                <c:pt idx="3">
                  <c:v>0.14158411483835498</c:v>
                </c:pt>
                <c:pt idx="4">
                  <c:v>0.12138555798898744</c:v>
                </c:pt>
                <c:pt idx="5">
                  <c:v>0.10168350677847954</c:v>
                </c:pt>
              </c:numCache>
            </c:numRef>
          </c:xVal>
          <c:yVal>
            <c:numRef>
              <c:f>'KESHAV Flight Sim'!$C$37:$C$42</c:f>
              <c:numCache>
                <c:formatCode>General</c:formatCode>
                <c:ptCount val="6"/>
                <c:pt idx="0">
                  <c:v>0.35</c:v>
                </c:pt>
                <c:pt idx="1">
                  <c:v>0.56000000000000005</c:v>
                </c:pt>
                <c:pt idx="2">
                  <c:v>0.71</c:v>
                </c:pt>
                <c:pt idx="3">
                  <c:v>0.86</c:v>
                </c:pt>
                <c:pt idx="4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33-4764-9CC0-3D7FF3E46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139072"/>
        <c:axId val="1504151552"/>
      </c:scatterChart>
      <c:valAx>
        <c:axId val="150413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Coefficient</a:t>
                </a:r>
                <a:r>
                  <a:rPr lang="en-GB" baseline="0"/>
                  <a:t> of lift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51552"/>
        <c:crosses val="autoZero"/>
        <c:crossBetween val="midCat"/>
      </c:valAx>
      <c:valAx>
        <c:axId val="150415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Angle</a:t>
                </a:r>
                <a:r>
                  <a:rPr lang="en-GB" baseline="0"/>
                  <a:t> of Deflection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3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8653498431206847"/>
          <c:y val="0.12074487957102671"/>
          <c:w val="0.17065162790384061"/>
          <c:h val="0.471372646560542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Di/DCl  vs Xcg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'KESHAV Flight Sim'!$Y$68:$Y$81</c:f>
              <c:numCache>
                <c:formatCode>General</c:formatCode>
                <c:ptCount val="14"/>
                <c:pt idx="0">
                  <c:v>10.014971149999999</c:v>
                </c:pt>
                <c:pt idx="6">
                  <c:v>10.11657115</c:v>
                </c:pt>
                <c:pt idx="13">
                  <c:v>10.21817115</c:v>
                </c:pt>
              </c:numCache>
            </c:numRef>
          </c:xVal>
          <c:yVal>
            <c:numRef>
              <c:f>'KESHAV Flight Sim'!$X$68:$X$81</c:f>
              <c:numCache>
                <c:formatCode>General</c:formatCode>
                <c:ptCount val="14"/>
                <c:pt idx="0">
                  <c:v>-6.5271915845213577</c:v>
                </c:pt>
                <c:pt idx="6">
                  <c:v>-3.4205808207013315</c:v>
                </c:pt>
                <c:pt idx="13">
                  <c:v>-5.5058636761434316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FC-49D7-8FFF-04558B577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358368"/>
        <c:axId val="1922376608"/>
      </c:scatterChart>
      <c:valAx>
        <c:axId val="192235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376608"/>
        <c:crosses val="autoZero"/>
        <c:crossBetween val="midCat"/>
      </c:valAx>
      <c:valAx>
        <c:axId val="19223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35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'KESHAV Flight Sim'!$AR$67:$AR$69</c:f>
              <c:numCache>
                <c:formatCode>General</c:formatCode>
                <c:ptCount val="3"/>
                <c:pt idx="0">
                  <c:v>10.014971149999999</c:v>
                </c:pt>
                <c:pt idx="1">
                  <c:v>10.11657115</c:v>
                </c:pt>
                <c:pt idx="2">
                  <c:v>10.21817115</c:v>
                </c:pt>
              </c:numCache>
            </c:numRef>
          </c:xVal>
          <c:yVal>
            <c:numRef>
              <c:f>'KESHAV Flight Sim'!$AS$67:$AS$69</c:f>
              <c:numCache>
                <c:formatCode>General</c:formatCode>
                <c:ptCount val="3"/>
                <c:pt idx="0">
                  <c:v>-6.1951999999999998</c:v>
                </c:pt>
                <c:pt idx="1">
                  <c:v>-4.2214999999999998</c:v>
                </c:pt>
                <c:pt idx="2">
                  <c:v>-4.7093999999999996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47-4C3F-846F-B5716A542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428423"/>
        <c:axId val="845042183"/>
      </c:scatterChart>
      <c:valAx>
        <c:axId val="1490428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042183"/>
        <c:crosses val="autoZero"/>
        <c:crossBetween val="midCat"/>
      </c:valAx>
      <c:valAx>
        <c:axId val="845042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428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Polar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5.5363079615048123E-3"/>
                  <c:y val="0.408692038495188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'KESHAV Flight Sim'!$K$4:$K$14</c:f>
              <c:numCache>
                <c:formatCode>General</c:formatCode>
                <c:ptCount val="11"/>
                <c:pt idx="0">
                  <c:v>0.33718210552496508</c:v>
                </c:pt>
                <c:pt idx="1">
                  <c:v>0.34566434286707748</c:v>
                </c:pt>
                <c:pt idx="2">
                  <c:v>0.28894717313949991</c:v>
                </c:pt>
                <c:pt idx="3">
                  <c:v>0.28894717313949991</c:v>
                </c:pt>
                <c:pt idx="4">
                  <c:v>0.22122517943492961</c:v>
                </c:pt>
                <c:pt idx="5">
                  <c:v>0.17172868049830547</c:v>
                </c:pt>
                <c:pt idx="6">
                  <c:v>0.16727801847631729</c:v>
                </c:pt>
                <c:pt idx="7">
                  <c:v>0.12793313735050649</c:v>
                </c:pt>
                <c:pt idx="8">
                  <c:v>0.39328920788431926</c:v>
                </c:pt>
                <c:pt idx="9">
                  <c:v>0.12138555798898744</c:v>
                </c:pt>
                <c:pt idx="10">
                  <c:v>0.19143336240989037</c:v>
                </c:pt>
              </c:numCache>
            </c:numRef>
          </c:xVal>
          <c:yVal>
            <c:numRef>
              <c:f>'KESHAV Flight Sim'!$L$4:$L$14</c:f>
              <c:numCache>
                <c:formatCode>General</c:formatCode>
                <c:ptCount val="11"/>
                <c:pt idx="0">
                  <c:v>1.8925316955655764E-2</c:v>
                </c:pt>
                <c:pt idx="1">
                  <c:v>1.9827267843100536E-2</c:v>
                </c:pt>
                <c:pt idx="2">
                  <c:v>1.713533818295284E-2</c:v>
                </c:pt>
                <c:pt idx="3">
                  <c:v>1.782747145073486E-2</c:v>
                </c:pt>
                <c:pt idx="4">
                  <c:v>1.5284659175408995E-2</c:v>
                </c:pt>
                <c:pt idx="5">
                  <c:v>1.6362064520921003E-2</c:v>
                </c:pt>
                <c:pt idx="6">
                  <c:v>1.483292495828239E-2</c:v>
                </c:pt>
                <c:pt idx="7">
                  <c:v>1.4217588093557526E-2</c:v>
                </c:pt>
                <c:pt idx="8">
                  <c:v>2.0625394053419632E-2</c:v>
                </c:pt>
                <c:pt idx="9">
                  <c:v>2.3577268008024274E-2</c:v>
                </c:pt>
                <c:pt idx="10">
                  <c:v>1.850175041474364E-2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43-4506-A03E-B2184D247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46239"/>
        <c:axId val="923802879"/>
      </c:scatterChart>
      <c:valAx>
        <c:axId val="92704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802879"/>
        <c:crosses val="autoZero"/>
        <c:crossBetween val="midCat"/>
      </c:valAx>
      <c:valAx>
        <c:axId val="92380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04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Linearized Polar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599300087489067E-2"/>
                  <c:y val="0.306580271216097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'KESHAV Flight Sim'!$M$4:$M$14</c:f>
              <c:numCache>
                <c:formatCode>General</c:formatCode>
                <c:ptCount val="11"/>
                <c:pt idx="0">
                  <c:v>0.11369177228624869</c:v>
                </c:pt>
                <c:pt idx="1">
                  <c:v>0.1194838379297285</c:v>
                </c:pt>
                <c:pt idx="2">
                  <c:v>8.3490468865308143E-2</c:v>
                </c:pt>
                <c:pt idx="3">
                  <c:v>8.3490468865308143E-2</c:v>
                </c:pt>
                <c:pt idx="4">
                  <c:v>4.8940580016016803E-2</c:v>
                </c:pt>
                <c:pt idx="5">
                  <c:v>2.9490739705689082E-2</c:v>
                </c:pt>
                <c:pt idx="6">
                  <c:v>2.798193546536315E-2</c:v>
                </c:pt>
                <c:pt idx="7">
                  <c:v>1.636688763234356E-2</c:v>
                </c:pt>
                <c:pt idx="8">
                  <c:v>0.15467640103827529</c:v>
                </c:pt>
                <c:pt idx="9">
                  <c:v>1.4734453688297832E-2</c:v>
                </c:pt>
                <c:pt idx="10">
                  <c:v>3.6646732243556426E-2</c:v>
                </c:pt>
              </c:numCache>
            </c:numRef>
          </c:xVal>
          <c:yVal>
            <c:numRef>
              <c:f>'KESHAV Flight Sim'!$L$4:$L$14</c:f>
              <c:numCache>
                <c:formatCode>General</c:formatCode>
                <c:ptCount val="11"/>
                <c:pt idx="0">
                  <c:v>1.8925316955655764E-2</c:v>
                </c:pt>
                <c:pt idx="1">
                  <c:v>1.9827267843100536E-2</c:v>
                </c:pt>
                <c:pt idx="2">
                  <c:v>1.713533818295284E-2</c:v>
                </c:pt>
                <c:pt idx="3">
                  <c:v>1.782747145073486E-2</c:v>
                </c:pt>
                <c:pt idx="4">
                  <c:v>1.5284659175408995E-2</c:v>
                </c:pt>
                <c:pt idx="5">
                  <c:v>1.6362064520921003E-2</c:v>
                </c:pt>
                <c:pt idx="6">
                  <c:v>1.483292495828239E-2</c:v>
                </c:pt>
                <c:pt idx="7">
                  <c:v>1.4217588093557526E-2</c:v>
                </c:pt>
                <c:pt idx="8">
                  <c:v>2.0625394053419632E-2</c:v>
                </c:pt>
                <c:pt idx="9">
                  <c:v>2.3577268008024274E-2</c:v>
                </c:pt>
                <c:pt idx="10">
                  <c:v>1.850175041474364E-2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A1-4A74-8546-89D1FE52D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102911"/>
        <c:axId val="1056103391"/>
      </c:scatterChart>
      <c:valAx>
        <c:axId val="10561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CL^2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103391"/>
        <c:crosses val="autoZero"/>
        <c:crossBetween val="midCat"/>
      </c:valAx>
      <c:valAx>
        <c:axId val="105610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102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 vs. Angle of Attack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'Flight Tests'!$B$24:$B$42</c:f>
              <c:numCache>
                <c:formatCode>General</c:formatCode>
                <c:ptCount val="19"/>
                <c:pt idx="0">
                  <c:v>0</c:v>
                </c:pt>
                <c:pt idx="1">
                  <c:v>-0.5</c:v>
                </c:pt>
                <c:pt idx="2">
                  <c:v>-0.8</c:v>
                </c:pt>
                <c:pt idx="3">
                  <c:v>-1.1000000000000001</c:v>
                </c:pt>
                <c:pt idx="4">
                  <c:v>-1.2</c:v>
                </c:pt>
                <c:pt idx="5">
                  <c:v>-1.4</c:v>
                </c:pt>
                <c:pt idx="6">
                  <c:v>-0.5</c:v>
                </c:pt>
                <c:pt idx="7">
                  <c:v>-0.7</c:v>
                </c:pt>
                <c:pt idx="8">
                  <c:v>-1.1000000000000001</c:v>
                </c:pt>
                <c:pt idx="9">
                  <c:v>-1.2</c:v>
                </c:pt>
                <c:pt idx="10">
                  <c:v>-1.5</c:v>
                </c:pt>
                <c:pt idx="11">
                  <c:v>-1.2</c:v>
                </c:pt>
                <c:pt idx="12">
                  <c:v>-1.5</c:v>
                </c:pt>
                <c:pt idx="13">
                  <c:v>-0.1</c:v>
                </c:pt>
                <c:pt idx="14">
                  <c:v>-0.5</c:v>
                </c:pt>
                <c:pt idx="15">
                  <c:v>-0.8</c:v>
                </c:pt>
                <c:pt idx="16">
                  <c:v>-1.1000000000000001</c:v>
                </c:pt>
                <c:pt idx="17">
                  <c:v>-1.2</c:v>
                </c:pt>
                <c:pt idx="18">
                  <c:v>-1.5</c:v>
                </c:pt>
              </c:numCache>
            </c:numRef>
          </c:xVal>
          <c:yVal>
            <c:numRef>
              <c:f>'Flight Tests'!$E$24:$E$42</c:f>
              <c:numCache>
                <c:formatCode>General</c:formatCode>
                <c:ptCount val="19"/>
                <c:pt idx="0">
                  <c:v>0.24512485255947877</c:v>
                </c:pt>
                <c:pt idx="1">
                  <c:v>0.20065775912465267</c:v>
                </c:pt>
                <c:pt idx="2">
                  <c:v>0.16727801847631729</c:v>
                </c:pt>
                <c:pt idx="3">
                  <c:v>0.14158411483835498</c:v>
                </c:pt>
                <c:pt idx="4">
                  <c:v>0.12138555798898744</c:v>
                </c:pt>
                <c:pt idx="5">
                  <c:v>0.10522006156239219</c:v>
                </c:pt>
                <c:pt idx="6">
                  <c:v>0.20065775912465267</c:v>
                </c:pt>
                <c:pt idx="7">
                  <c:v>0.16874215170185891</c:v>
                </c:pt>
                <c:pt idx="8">
                  <c:v>0.14045820189198874</c:v>
                </c:pt>
                <c:pt idx="9">
                  <c:v>0.12138555798898744</c:v>
                </c:pt>
                <c:pt idx="10">
                  <c:v>0.10449814217353579</c:v>
                </c:pt>
                <c:pt idx="11">
                  <c:v>0.12138555798898744</c:v>
                </c:pt>
                <c:pt idx="12">
                  <c:v>0.10449814217353579</c:v>
                </c:pt>
                <c:pt idx="13">
                  <c:v>0.24512485255947877</c:v>
                </c:pt>
                <c:pt idx="14">
                  <c:v>0.20065775912465267</c:v>
                </c:pt>
                <c:pt idx="15">
                  <c:v>0.16727801847631729</c:v>
                </c:pt>
                <c:pt idx="16">
                  <c:v>0.14158411483835498</c:v>
                </c:pt>
                <c:pt idx="17">
                  <c:v>0.12138555798898744</c:v>
                </c:pt>
                <c:pt idx="18">
                  <c:v>0.10168350677847954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5-4A83-A737-70FABD74B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933008"/>
        <c:axId val="1394932528"/>
      </c:scatterChart>
      <c:valAx>
        <c:axId val="139493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32528"/>
        <c:crosses val="autoZero"/>
        <c:crossBetween val="midCat"/>
      </c:valAx>
      <c:valAx>
        <c:axId val="139493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3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Deflection</a:t>
            </a:r>
            <a:r>
              <a:rPr lang="en-GB" baseline="0"/>
              <a:t> against coefficient of Lift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8.469375943972958E-2"/>
          <c:y val="0.11763276555108042"/>
          <c:w val="0.84504262487413695"/>
          <c:h val="0.76082297460363124"/>
        </c:manualLayout>
      </c:layout>
      <c:scatterChart>
        <c:scatterStyle val="lineMarker"/>
        <c:varyColors val="0"/>
        <c:ser>
          <c:idx val="0"/>
          <c:order val="0"/>
          <c:tx>
            <c:v>Offset of -4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4691214084076523E-2"/>
                  <c:y val="-0.631170036999744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'Flight Tests'!$E$24:$E$29</c:f>
              <c:numCache>
                <c:formatCode>General</c:formatCode>
                <c:ptCount val="6"/>
                <c:pt idx="0">
                  <c:v>0.24512485255947877</c:v>
                </c:pt>
                <c:pt idx="1">
                  <c:v>0.20065775912465267</c:v>
                </c:pt>
                <c:pt idx="2">
                  <c:v>0.16727801847631729</c:v>
                </c:pt>
                <c:pt idx="3">
                  <c:v>0.14158411483835498</c:v>
                </c:pt>
                <c:pt idx="4">
                  <c:v>0.12138555798898744</c:v>
                </c:pt>
                <c:pt idx="5">
                  <c:v>0.10522006156239219</c:v>
                </c:pt>
              </c:numCache>
            </c:numRef>
          </c:xVal>
          <c:yVal>
            <c:numRef>
              <c:f>'Flight Tests'!$C$24:$C$29</c:f>
              <c:numCache>
                <c:formatCode>General</c:formatCode>
                <c:ptCount val="6"/>
                <c:pt idx="0">
                  <c:v>0.03</c:v>
                </c:pt>
                <c:pt idx="1">
                  <c:v>0.32</c:v>
                </c:pt>
                <c:pt idx="2">
                  <c:v>0.59</c:v>
                </c:pt>
                <c:pt idx="3">
                  <c:v>0.66</c:v>
                </c:pt>
                <c:pt idx="4">
                  <c:v>0.81</c:v>
                </c:pt>
                <c:pt idx="5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60-4366-9032-B194C3111925}"/>
            </c:ext>
          </c:extLst>
        </c:ser>
        <c:ser>
          <c:idx val="1"/>
          <c:order val="1"/>
          <c:tx>
            <c:v>Offset of 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899967522835155"/>
                  <c:y val="-0.285965619406086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('Flight Tests'!$E$30:$E$36,'Flight Tests'!$E$43:$E$44)</c:f>
              <c:numCache>
                <c:formatCode>General</c:formatCode>
                <c:ptCount val="9"/>
                <c:pt idx="0">
                  <c:v>0.20065775912465267</c:v>
                </c:pt>
                <c:pt idx="1">
                  <c:v>0.16874215170185891</c:v>
                </c:pt>
                <c:pt idx="2">
                  <c:v>0.14045820189198874</c:v>
                </c:pt>
                <c:pt idx="3">
                  <c:v>0.12138555798898744</c:v>
                </c:pt>
                <c:pt idx="4">
                  <c:v>0.10449814217353579</c:v>
                </c:pt>
                <c:pt idx="5">
                  <c:v>0.12138555798898744</c:v>
                </c:pt>
                <c:pt idx="6">
                  <c:v>0.10449814217353579</c:v>
                </c:pt>
              </c:numCache>
            </c:numRef>
          </c:xVal>
          <c:yVal>
            <c:numRef>
              <c:f>('Flight Tests'!$C$30:$C$36,'Flight Tests'!$C$43:$C$44)</c:f>
              <c:numCache>
                <c:formatCode>General</c:formatCode>
                <c:ptCount val="9"/>
                <c:pt idx="0">
                  <c:v>0.45</c:v>
                </c:pt>
                <c:pt idx="1">
                  <c:v>0.57999999999999996</c:v>
                </c:pt>
                <c:pt idx="2">
                  <c:v>0.83</c:v>
                </c:pt>
                <c:pt idx="3">
                  <c:v>0.89</c:v>
                </c:pt>
                <c:pt idx="4">
                  <c:v>0.85</c:v>
                </c:pt>
                <c:pt idx="5">
                  <c:v>0.8</c:v>
                </c:pt>
                <c:pt idx="6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60-4366-9032-B194C3111925}"/>
            </c:ext>
          </c:extLst>
        </c:ser>
        <c:ser>
          <c:idx val="2"/>
          <c:order val="2"/>
          <c:tx>
            <c:v>Offset of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5.4234196319404487E-2"/>
                  <c:y val="-0.191807813099347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'Flight Tests'!$E$37:$E$42</c:f>
              <c:numCache>
                <c:formatCode>General</c:formatCode>
                <c:ptCount val="6"/>
                <c:pt idx="0">
                  <c:v>0.24512485255947877</c:v>
                </c:pt>
                <c:pt idx="1">
                  <c:v>0.20065775912465267</c:v>
                </c:pt>
                <c:pt idx="2">
                  <c:v>0.16727801847631729</c:v>
                </c:pt>
                <c:pt idx="3">
                  <c:v>0.14158411483835498</c:v>
                </c:pt>
                <c:pt idx="4">
                  <c:v>0.12138555798898744</c:v>
                </c:pt>
                <c:pt idx="5">
                  <c:v>0.10168350677847954</c:v>
                </c:pt>
              </c:numCache>
            </c:numRef>
          </c:xVal>
          <c:yVal>
            <c:numRef>
              <c:f>'Flight Tests'!$C$37:$C$42</c:f>
              <c:numCache>
                <c:formatCode>General</c:formatCode>
                <c:ptCount val="6"/>
                <c:pt idx="0">
                  <c:v>0.35</c:v>
                </c:pt>
                <c:pt idx="1">
                  <c:v>0.56000000000000005</c:v>
                </c:pt>
                <c:pt idx="2">
                  <c:v>0.71</c:v>
                </c:pt>
                <c:pt idx="3">
                  <c:v>0.86</c:v>
                </c:pt>
                <c:pt idx="4">
                  <c:v>0.92</c:v>
                </c:pt>
                <c:pt idx="5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60-4366-9032-B194C3111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139072"/>
        <c:axId val="1504151552"/>
      </c:scatterChart>
      <c:valAx>
        <c:axId val="150413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Coefficient</a:t>
                </a:r>
                <a:r>
                  <a:rPr lang="en-GB" baseline="0"/>
                  <a:t> of lift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51552"/>
        <c:crosses val="autoZero"/>
        <c:crossBetween val="midCat"/>
      </c:valAx>
      <c:valAx>
        <c:axId val="150415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Angle</a:t>
                </a:r>
                <a:r>
                  <a:rPr lang="en-GB" baseline="0"/>
                  <a:t> of Deflection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3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8653498431206847"/>
          <c:y val="0.12074487957102671"/>
          <c:w val="0.17065162790384061"/>
          <c:h val="0.471372646560542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8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100" b="0" i="0" u="none" strike="noStrike" kern="1200" spc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𝑑𝑖</a:t>
            </a:r>
            <a:r>
              <a:rPr lang="en-GB" sz="1100" b="0" i="0" u="none" strike="noStrike" kern="1200" spc="0" baseline="-2500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𝐻</a:t>
            </a:r>
            <a:r>
              <a:rPr lang="en-GB" sz="1100" b="0" i="0" u="none" strike="noStrike" kern="1200" spc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/𝑑𝐶</a:t>
            </a:r>
            <a:r>
              <a:rPr lang="en-GB" sz="1100" b="0" i="0" u="none" strike="noStrike" kern="1200" spc="0" baseline="-2500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𝐿  </a:t>
            </a:r>
            <a:r>
              <a:rPr lang="en-US" sz="11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vs  X</a:t>
            </a:r>
            <a:r>
              <a:rPr lang="en-US" sz="1400" b="0" i="0" u="none" strike="noStrike" kern="1200" spc="0" baseline="-250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cg</a:t>
            </a:r>
            <a:endParaRPr lang="en-US" sz="1100" b="0" i="0" u="none" strike="noStrike" kern="1200" spc="0" baseline="-250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8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696689813143162E-2"/>
          <c:y val="7.4256216588474575E-2"/>
          <c:w val="0.89116485569269555"/>
          <c:h val="0.8109650587647117"/>
        </c:manualLayout>
      </c:layout>
      <c:scatterChart>
        <c:scatterStyle val="lineMarker"/>
        <c:varyColors val="0"/>
        <c:ser>
          <c:idx val="1"/>
          <c:order val="0"/>
          <c:tx>
            <c:v>MATLAB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9063079323657629E-2"/>
                  <c:y val="-0.381186379208602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6.1339x - 67.446</a:t>
                    </a:r>
                    <a:br>
                      <a:rPr lang="en-US" baseline="0"/>
                    </a:br>
                    <a:r>
                      <a:rPr lang="en-US" baseline="0"/>
                      <a:t>R² = 0.9525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'Flight Tests'!$H$24:$H$26</c:f>
              <c:numCache>
                <c:formatCode>General</c:formatCode>
                <c:ptCount val="3"/>
                <c:pt idx="0">
                  <c:v>10.014971149999999</c:v>
                </c:pt>
                <c:pt idx="1">
                  <c:v>10.11657115</c:v>
                </c:pt>
                <c:pt idx="2">
                  <c:v>10.21817115</c:v>
                </c:pt>
              </c:numCache>
            </c:numRef>
          </c:xVal>
          <c:yVal>
            <c:numRef>
              <c:f>'Flight Tests'!$AP$114:$AR$114</c:f>
              <c:numCache>
                <c:formatCode>General</c:formatCode>
                <c:ptCount val="3"/>
                <c:pt idx="0">
                  <c:v>-6.0150999999999994</c:v>
                </c:pt>
                <c:pt idx="1">
                  <c:v>-5.3918999999999997</c:v>
                </c:pt>
                <c:pt idx="2">
                  <c:v>-4.7686999999999999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B2-4479-9F3C-1E24028C61B9}"/>
            </c:ext>
          </c:extLst>
        </c:ser>
        <c:ser>
          <c:idx val="0"/>
          <c:order val="1"/>
          <c:tx>
            <c:v>Graphical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043003537993447E-2"/>
                  <c:y val="-0.160895803281644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y = 7.312x - 79.014</a:t>
                    </a:r>
                    <a:br>
                      <a:rPr lang="en-US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R² = 0.5222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'Flight Tests'!$H$24:$H$26</c:f>
              <c:numCache>
                <c:formatCode>General</c:formatCode>
                <c:ptCount val="3"/>
                <c:pt idx="0">
                  <c:v>10.014971149999999</c:v>
                </c:pt>
                <c:pt idx="1">
                  <c:v>10.11657115</c:v>
                </c:pt>
                <c:pt idx="2">
                  <c:v>10.21817115</c:v>
                </c:pt>
              </c:numCache>
            </c:numRef>
          </c:xVal>
          <c:yVal>
            <c:numRef>
              <c:f>'Flight Tests'!$AT$67:$AT$69</c:f>
              <c:numCache>
                <c:formatCode>General</c:formatCode>
                <c:ptCount val="3"/>
                <c:pt idx="0">
                  <c:v>-6.1951999999999998</c:v>
                </c:pt>
                <c:pt idx="1">
                  <c:v>-4.2214999999999998</c:v>
                </c:pt>
                <c:pt idx="2">
                  <c:v>-4.7093999999999996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25-48C2-B300-4D716168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774047"/>
        <c:axId val="1759777407"/>
      </c:scatterChart>
      <c:valAx>
        <c:axId val="1759774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Position of Centre of gravity (X</a:t>
                </a:r>
                <a:r>
                  <a:rPr lang="en-GB" sz="1050" b="0" i="0" u="none" strike="noStrike" kern="1200" baseline="-25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cg</a:t>
                </a:r>
                <a:r>
                  <a:rPr lang="en-GB"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)</a:t>
                </a:r>
              </a:p>
            </c:rich>
          </c:tx>
          <c:layout>
            <c:manualLayout>
              <c:xMode val="edge"/>
              <c:yMode val="edge"/>
              <c:x val="0.38401687700222881"/>
              <c:y val="0.91761285193597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777407"/>
        <c:crossesAt val="-7"/>
        <c:crossBetween val="midCat"/>
      </c:valAx>
      <c:valAx>
        <c:axId val="17597774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𝑑𝑖</a:t>
                </a:r>
                <a:r>
                  <a:rPr lang="en-GB" sz="1000" b="0" i="0" u="none" strike="noStrike" kern="1200" baseline="-2500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𝐻</a:t>
                </a:r>
                <a:r>
                  <a:rPr lang="en-GB" sz="1000" b="0" i="0" u="none" strike="noStrike" kern="120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/𝑑𝐶</a:t>
                </a:r>
                <a:r>
                  <a:rPr lang="en-GB" sz="1000" b="0" i="0" u="none" strike="noStrike" kern="1200" baseline="-2500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𝐿  </a:t>
                </a:r>
                <a:endParaRPr lang="en-GB"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8074793259193942E-3"/>
              <c:y val="0.4156012201003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77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84889797535323641"/>
          <c:y val="0.15740331893584236"/>
          <c:w val="0.12742169390813091"/>
          <c:h val="0.337473977969380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Tail Plane</a:t>
            </a:r>
            <a:r>
              <a:rPr lang="en-GB" baseline="0"/>
              <a:t> </a:t>
            </a:r>
            <a:r>
              <a:rPr lang="en-GB"/>
              <a:t>Deflection</a:t>
            </a:r>
            <a:r>
              <a:rPr lang="en-GB" baseline="0"/>
              <a:t> against coefficient of Lift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8.469375943972958E-2"/>
          <c:y val="0.11763276555108042"/>
          <c:w val="0.84504262487413695"/>
          <c:h val="0.76082297460363124"/>
        </c:manualLayout>
      </c:layout>
      <c:scatterChart>
        <c:scatterStyle val="lineMarker"/>
        <c:varyColors val="0"/>
        <c:ser>
          <c:idx val="0"/>
          <c:order val="0"/>
          <c:tx>
            <c:v>Offset of -4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4691214084076523E-2"/>
                  <c:y val="-0.631170036999744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'Flight Tests'!$E$24:$E$29</c:f>
              <c:numCache>
                <c:formatCode>General</c:formatCode>
                <c:ptCount val="6"/>
                <c:pt idx="0">
                  <c:v>0.24512485255947877</c:v>
                </c:pt>
                <c:pt idx="1">
                  <c:v>0.20065775912465267</c:v>
                </c:pt>
                <c:pt idx="2">
                  <c:v>0.16727801847631729</c:v>
                </c:pt>
                <c:pt idx="3">
                  <c:v>0.14158411483835498</c:v>
                </c:pt>
                <c:pt idx="4">
                  <c:v>0.12138555798898744</c:v>
                </c:pt>
                <c:pt idx="5">
                  <c:v>0.10522006156239219</c:v>
                </c:pt>
              </c:numCache>
            </c:numRef>
          </c:xVal>
          <c:yVal>
            <c:numRef>
              <c:f>'Flight Tests'!$C$24:$C$29</c:f>
              <c:numCache>
                <c:formatCode>General</c:formatCode>
                <c:ptCount val="6"/>
                <c:pt idx="0">
                  <c:v>0.03</c:v>
                </c:pt>
                <c:pt idx="1">
                  <c:v>0.32</c:v>
                </c:pt>
                <c:pt idx="2">
                  <c:v>0.59</c:v>
                </c:pt>
                <c:pt idx="3">
                  <c:v>0.66</c:v>
                </c:pt>
                <c:pt idx="4">
                  <c:v>0.81</c:v>
                </c:pt>
                <c:pt idx="5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8A-4597-AE64-5509E7654DA6}"/>
            </c:ext>
          </c:extLst>
        </c:ser>
        <c:ser>
          <c:idx val="1"/>
          <c:order val="1"/>
          <c:tx>
            <c:v>Offset of 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899967522835155"/>
                  <c:y val="-0.285965619406086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('Flight Tests'!$E$30:$E$36,'Flight Tests'!$E$43:$E$44)</c:f>
              <c:numCache>
                <c:formatCode>General</c:formatCode>
                <c:ptCount val="9"/>
                <c:pt idx="0">
                  <c:v>0.20065775912465267</c:v>
                </c:pt>
                <c:pt idx="1">
                  <c:v>0.16874215170185891</c:v>
                </c:pt>
                <c:pt idx="2">
                  <c:v>0.14045820189198874</c:v>
                </c:pt>
                <c:pt idx="3">
                  <c:v>0.12138555798898744</c:v>
                </c:pt>
                <c:pt idx="4">
                  <c:v>0.10449814217353579</c:v>
                </c:pt>
                <c:pt idx="5">
                  <c:v>0.12138555798898744</c:v>
                </c:pt>
                <c:pt idx="6">
                  <c:v>0.10449814217353579</c:v>
                </c:pt>
              </c:numCache>
            </c:numRef>
          </c:xVal>
          <c:yVal>
            <c:numRef>
              <c:f>('Flight Tests'!$C$30:$C$36,'Flight Tests'!$C$43:$C$44)</c:f>
              <c:numCache>
                <c:formatCode>General</c:formatCode>
                <c:ptCount val="9"/>
                <c:pt idx="0">
                  <c:v>0.45</c:v>
                </c:pt>
                <c:pt idx="1">
                  <c:v>0.57999999999999996</c:v>
                </c:pt>
                <c:pt idx="2">
                  <c:v>0.83</c:v>
                </c:pt>
                <c:pt idx="3">
                  <c:v>0.89</c:v>
                </c:pt>
                <c:pt idx="4">
                  <c:v>0.85</c:v>
                </c:pt>
                <c:pt idx="5">
                  <c:v>0.8</c:v>
                </c:pt>
                <c:pt idx="6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8A-4597-AE64-5509E7654DA6}"/>
            </c:ext>
          </c:extLst>
        </c:ser>
        <c:ser>
          <c:idx val="2"/>
          <c:order val="2"/>
          <c:tx>
            <c:v>Offset of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4234196319404487E-2"/>
                  <c:y val="-0.191807813099347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'Flight Tests'!$E$37:$E$42</c:f>
              <c:numCache>
                <c:formatCode>General</c:formatCode>
                <c:ptCount val="6"/>
                <c:pt idx="0">
                  <c:v>0.24512485255947877</c:v>
                </c:pt>
                <c:pt idx="1">
                  <c:v>0.20065775912465267</c:v>
                </c:pt>
                <c:pt idx="2">
                  <c:v>0.16727801847631729</c:v>
                </c:pt>
                <c:pt idx="3">
                  <c:v>0.14158411483835498</c:v>
                </c:pt>
                <c:pt idx="4">
                  <c:v>0.12138555798898744</c:v>
                </c:pt>
                <c:pt idx="5">
                  <c:v>0.10168350677847954</c:v>
                </c:pt>
              </c:numCache>
            </c:numRef>
          </c:xVal>
          <c:yVal>
            <c:numRef>
              <c:f>'Flight Tests'!$C$37:$C$42</c:f>
              <c:numCache>
                <c:formatCode>General</c:formatCode>
                <c:ptCount val="6"/>
                <c:pt idx="0">
                  <c:v>0.35</c:v>
                </c:pt>
                <c:pt idx="1">
                  <c:v>0.56000000000000005</c:v>
                </c:pt>
                <c:pt idx="2">
                  <c:v>0.71</c:v>
                </c:pt>
                <c:pt idx="3">
                  <c:v>0.86</c:v>
                </c:pt>
                <c:pt idx="4">
                  <c:v>0.92</c:v>
                </c:pt>
                <c:pt idx="5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8A-4597-AE64-5509E7654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139072"/>
        <c:axId val="1504151552"/>
      </c:scatterChart>
      <c:valAx>
        <c:axId val="150413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Coefficient</a:t>
                </a:r>
                <a:r>
                  <a:rPr lang="en-GB" baseline="0"/>
                  <a:t> of lift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51552"/>
        <c:crosses val="autoZero"/>
        <c:crossBetween val="midCat"/>
      </c:valAx>
      <c:valAx>
        <c:axId val="150415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Angle</a:t>
                </a:r>
                <a:r>
                  <a:rPr lang="en-GB" baseline="0"/>
                  <a:t> of Deflection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13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8653498431206847"/>
          <c:y val="0.12074487957102671"/>
          <c:w val="0.17065162790384061"/>
          <c:h val="0.471372646560542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Di/DCl  vs Xcg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'Flight Tests'!$X$68:$X$81</c:f>
              <c:numCache>
                <c:formatCode>General</c:formatCode>
                <c:ptCount val="14"/>
                <c:pt idx="0">
                  <c:v>10.014971149999999</c:v>
                </c:pt>
                <c:pt idx="6">
                  <c:v>10.11657115</c:v>
                </c:pt>
                <c:pt idx="13">
                  <c:v>10.21817115</c:v>
                </c:pt>
              </c:numCache>
            </c:numRef>
          </c:xVal>
          <c:yVal>
            <c:numRef>
              <c:f>'Flight Tests'!$W$68:$W$81</c:f>
              <c:numCache>
                <c:formatCode>General</c:formatCode>
                <c:ptCount val="14"/>
                <c:pt idx="0">
                  <c:v>-6.5271915845213577</c:v>
                </c:pt>
                <c:pt idx="6">
                  <c:v>-3.4205808207013315</c:v>
                </c:pt>
                <c:pt idx="13">
                  <c:v>-5.5058636761434316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1F-48D3-939C-C2804770D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358368"/>
        <c:axId val="1922376608"/>
      </c:scatterChart>
      <c:valAx>
        <c:axId val="192235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376608"/>
        <c:crosses val="autoZero"/>
        <c:crossBetween val="midCat"/>
      </c:valAx>
      <c:valAx>
        <c:axId val="19223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35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872696189398528E-2"/>
          <c:y val="5.008045887703548E-2"/>
          <c:w val="0.61989476972579738"/>
          <c:h val="0.84507915658181953"/>
        </c:manualLayout>
      </c:layout>
      <c:scatterChart>
        <c:scatterStyle val="lineMarker"/>
        <c:varyColors val="0"/>
        <c:ser>
          <c:idx val="0"/>
          <c:order val="0"/>
          <c:tx>
            <c:v>Wind Tunnel (No Tail)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'Q1 Plots'!$G$3:$G$10</c:f>
              <c:numCache>
                <c:formatCode>General</c:formatCode>
                <c:ptCount val="8"/>
                <c:pt idx="0">
                  <c:v>-1.9996965248019674</c:v>
                </c:pt>
                <c:pt idx="1">
                  <c:v>0.11140799827767126</c:v>
                </c:pt>
                <c:pt idx="2">
                  <c:v>2.225780980365859</c:v>
                </c:pt>
                <c:pt idx="3">
                  <c:v>4.338019996681318</c:v>
                </c:pt>
                <c:pt idx="4">
                  <c:v>6.4458271874986979</c:v>
                </c:pt>
                <c:pt idx="5">
                  <c:v>8.5316334104044085</c:v>
                </c:pt>
                <c:pt idx="6">
                  <c:v>10.606554279356232</c:v>
                </c:pt>
                <c:pt idx="7">
                  <c:v>12.667534489113915</c:v>
                </c:pt>
              </c:numCache>
            </c:numRef>
          </c:xVal>
          <c:yVal>
            <c:numRef>
              <c:f>'Q1 Plots'!$B$3:$B$10</c:f>
              <c:numCache>
                <c:formatCode>General</c:formatCode>
                <c:ptCount val="8"/>
                <c:pt idx="0">
                  <c:v>3.6563276871415961E-4</c:v>
                </c:pt>
                <c:pt idx="1">
                  <c:v>0.13422650394900151</c:v>
                </c:pt>
                <c:pt idx="2">
                  <c:v>0.27202527754922773</c:v>
                </c:pt>
                <c:pt idx="3">
                  <c:v>0.40725300804978026</c:v>
                </c:pt>
                <c:pt idx="4">
                  <c:v>0.53714118975746716</c:v>
                </c:pt>
                <c:pt idx="5">
                  <c:v>0.64052218121012983</c:v>
                </c:pt>
                <c:pt idx="6">
                  <c:v>0.73078828838100296</c:v>
                </c:pt>
                <c:pt idx="7">
                  <c:v>0.80425842061917496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75-4BFA-911A-EC90A53CEB6E}"/>
            </c:ext>
          </c:extLst>
        </c:ser>
        <c:ser>
          <c:idx val="1"/>
          <c:order val="1"/>
          <c:tx>
            <c:v>Wind Tunnel (Tail +1 deg.)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'Q1 Plots'!$G$14:$G$21</c:f>
              <c:numCache>
                <c:formatCode>General</c:formatCode>
                <c:ptCount val="8"/>
                <c:pt idx="0">
                  <c:v>-2.0231572558511721</c:v>
                </c:pt>
                <c:pt idx="1">
                  <c:v>0.10827324956049922</c:v>
                </c:pt>
                <c:pt idx="2">
                  <c:v>2.2394705636462446</c:v>
                </c:pt>
                <c:pt idx="3">
                  <c:v>4.3673000557564929</c:v>
                </c:pt>
                <c:pt idx="4">
                  <c:v>6.4964762847657544</c:v>
                </c:pt>
                <c:pt idx="5">
                  <c:v>8.5986848975630039</c:v>
                </c:pt>
                <c:pt idx="6">
                  <c:v>10.685369371526267</c:v>
                </c:pt>
                <c:pt idx="7">
                  <c:v>12.754070124534989</c:v>
                </c:pt>
              </c:numCache>
            </c:numRef>
          </c:xVal>
          <c:yVal>
            <c:numRef>
              <c:f>'Q1 Plots'!$B$14:$B$21</c:f>
              <c:numCache>
                <c:formatCode>General</c:formatCode>
                <c:ptCount val="8"/>
                <c:pt idx="0">
                  <c:v>-2.7900308254424334E-2</c:v>
                </c:pt>
                <c:pt idx="1">
                  <c:v>0.13044969826566172</c:v>
                </c:pt>
                <c:pt idx="2">
                  <c:v>0.28851875138101774</c:v>
                </c:pt>
                <c:pt idx="3">
                  <c:v>0.442530187658425</c:v>
                </c:pt>
                <c:pt idx="4">
                  <c:v>0.59816419851295677</c:v>
                </c:pt>
                <c:pt idx="5">
                  <c:v>0.72130710549759536</c:v>
                </c:pt>
                <c:pt idx="6">
                  <c:v>0.8257462307545399</c:v>
                </c:pt>
                <c:pt idx="7">
                  <c:v>0.90851822233131208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75-4BFA-911A-EC90A53CEB6E}"/>
            </c:ext>
          </c:extLst>
        </c:ser>
        <c:ser>
          <c:idx val="2"/>
          <c:order val="2"/>
          <c:tx>
            <c:v>Wind Tunnel (Tail -2 deg.)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'Q1 Plots'!$G$25:$G$39</c:f>
              <c:numCache>
                <c:formatCode>General</c:formatCode>
                <c:ptCount val="15"/>
                <c:pt idx="0">
                  <c:v>-2.0663612196500942</c:v>
                </c:pt>
                <c:pt idx="1">
                  <c:v>6.7984819744796504E-2</c:v>
                </c:pt>
                <c:pt idx="2">
                  <c:v>2.1960424918702932</c:v>
                </c:pt>
                <c:pt idx="3">
                  <c:v>4.3282148342739832</c:v>
                </c:pt>
                <c:pt idx="4">
                  <c:v>6.453880501092538</c:v>
                </c:pt>
                <c:pt idx="5">
                  <c:v>8.5561841402188108</c:v>
                </c:pt>
                <c:pt idx="6">
                  <c:v>10.648088209973832</c:v>
                </c:pt>
                <c:pt idx="7">
                  <c:v>11.690988475606343</c:v>
                </c:pt>
                <c:pt idx="8">
                  <c:v>12.724637211117594</c:v>
                </c:pt>
                <c:pt idx="9">
                  <c:v>13.755410999648431</c:v>
                </c:pt>
                <c:pt idx="10">
                  <c:v>14.729591872825621</c:v>
                </c:pt>
                <c:pt idx="11">
                  <c:v>15.756831637466522</c:v>
                </c:pt>
                <c:pt idx="12">
                  <c:v>16.727146858480818</c:v>
                </c:pt>
                <c:pt idx="13">
                  <c:v>17.632210696189166</c:v>
                </c:pt>
                <c:pt idx="14">
                  <c:v>18.538647935703423</c:v>
                </c:pt>
              </c:numCache>
            </c:numRef>
          </c:xVal>
          <c:yVal>
            <c:numRef>
              <c:f>'Q1 Plots'!$B$25:$B$39</c:f>
              <c:numCache>
                <c:formatCode>General</c:formatCode>
                <c:ptCount val="15"/>
                <c:pt idx="0">
                  <c:v>-7.9953276686860725E-2</c:v>
                </c:pt>
                <c:pt idx="1">
                  <c:v>8.1909421379272901E-2</c:v>
                </c:pt>
                <c:pt idx="2">
                  <c:v>0.23619577333770272</c:v>
                </c:pt>
                <c:pt idx="3">
                  <c:v>0.39543955936624459</c:v>
                </c:pt>
                <c:pt idx="4">
                  <c:v>0.54684397721992528</c:v>
                </c:pt>
                <c:pt idx="5">
                  <c:v>0.67010137375760304</c:v>
                </c:pt>
                <c:pt idx="6">
                  <c:v>0.7808291686431712</c:v>
                </c:pt>
                <c:pt idx="7">
                  <c:v>0.83251623567029309</c:v>
                </c:pt>
                <c:pt idx="8">
                  <c:v>0.87305688086457156</c:v>
                </c:pt>
                <c:pt idx="9">
                  <c:v>0.91013373451618296</c:v>
                </c:pt>
                <c:pt idx="10">
                  <c:v>0.87902635280195318</c:v>
                </c:pt>
                <c:pt idx="11">
                  <c:v>0.91184534634520797</c:v>
                </c:pt>
                <c:pt idx="12">
                  <c:v>0.87608055238652893</c:v>
                </c:pt>
                <c:pt idx="13">
                  <c:v>0.76169963396285201</c:v>
                </c:pt>
                <c:pt idx="14">
                  <c:v>0.64897341651014784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75-4BFA-911A-EC90A53CEB6E}"/>
            </c:ext>
          </c:extLst>
        </c:ser>
        <c:ser>
          <c:idx val="4"/>
          <c:order val="3"/>
          <c:tx>
            <c:v>Flight Sim (CG offset -4 in.)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11"/>
            <c:spPr>
              <a:noFill/>
              <a:ln w="22225">
                <a:solidFill>
                  <a:schemeClr val="accent5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5"/>
                </a:solidFill>
                <a:prstDash val="dash"/>
              </a:ln>
              <a:effectLst/>
            </c:spPr>
            <c:trendlineType val="linear"/>
            <c:forward val="14.65"/>
            <c:dispRSqr val="1"/>
            <c:dispEq val="1"/>
            <c:trendlineLbl>
              <c:layout>
                <c:manualLayout>
                  <c:x val="0.39150716885865361"/>
                  <c:y val="0.355252193303006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1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100" b="1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0.1011x + 0.2478  R² = 0.9948</a:t>
                    </a:r>
                    <a:endParaRPr lang="en-US" sz="1100" b="1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'Q1 Plots'!$K$42:$K$47</c:f>
              <c:numCache>
                <c:formatCode>General</c:formatCode>
                <c:ptCount val="6"/>
                <c:pt idx="0">
                  <c:v>0</c:v>
                </c:pt>
                <c:pt idx="1">
                  <c:v>-0.5</c:v>
                </c:pt>
                <c:pt idx="2">
                  <c:v>-0.8</c:v>
                </c:pt>
                <c:pt idx="3">
                  <c:v>-1.1000000000000001</c:v>
                </c:pt>
                <c:pt idx="4">
                  <c:v>-1.2</c:v>
                </c:pt>
                <c:pt idx="5">
                  <c:v>-1.4</c:v>
                </c:pt>
              </c:numCache>
            </c:numRef>
          </c:xVal>
          <c:yVal>
            <c:numRef>
              <c:f>'Q1 Plots'!$N$42:$N$47</c:f>
              <c:numCache>
                <c:formatCode>General</c:formatCode>
                <c:ptCount val="6"/>
                <c:pt idx="0">
                  <c:v>0.24512485255947877</c:v>
                </c:pt>
                <c:pt idx="1">
                  <c:v>0.20065775912465267</c:v>
                </c:pt>
                <c:pt idx="2">
                  <c:v>0.16727801847631729</c:v>
                </c:pt>
                <c:pt idx="3">
                  <c:v>0.14158411483835498</c:v>
                </c:pt>
                <c:pt idx="4">
                  <c:v>0.12138555798898744</c:v>
                </c:pt>
                <c:pt idx="5">
                  <c:v>0.10522006156239219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BA-4CED-8586-21E13600E7DD}"/>
            </c:ext>
          </c:extLst>
        </c:ser>
        <c:ser>
          <c:idx val="3"/>
          <c:order val="4"/>
          <c:tx>
            <c:v>Flight Sim (CG offset 0 in.)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4"/>
                </a:solidFill>
                <a:prstDash val="lgDash"/>
              </a:ln>
              <a:effectLst/>
            </c:spPr>
            <c:trendlineType val="linear"/>
            <c:forward val="16.2"/>
            <c:dispRSqr val="1"/>
            <c:dispEq val="1"/>
            <c:trendlineLbl>
              <c:layout>
                <c:manualLayout>
                  <c:x val="0.36323122365810101"/>
                  <c:y val="0.5022232747728381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1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100" b="1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0.0943x + 0.2415   R² = 0.9721</a:t>
                    </a:r>
                    <a:endParaRPr lang="en-US" sz="1100" b="1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'Q1 Plots'!$B$43:$B$47</c:f>
              <c:numCache>
                <c:formatCode>General</c:formatCode>
                <c:ptCount val="5"/>
                <c:pt idx="0">
                  <c:v>-0.5</c:v>
                </c:pt>
                <c:pt idx="1">
                  <c:v>-0.7</c:v>
                </c:pt>
                <c:pt idx="2">
                  <c:v>-1.1000000000000001</c:v>
                </c:pt>
                <c:pt idx="3">
                  <c:v>-1.2</c:v>
                </c:pt>
                <c:pt idx="4">
                  <c:v>-1.5</c:v>
                </c:pt>
              </c:numCache>
            </c:numRef>
          </c:xVal>
          <c:yVal>
            <c:numRef>
              <c:f>'Q1 Plots'!$F$43:$F$47</c:f>
              <c:numCache>
                <c:formatCode>General</c:formatCode>
                <c:ptCount val="5"/>
                <c:pt idx="0">
                  <c:v>0.20065775912465267</c:v>
                </c:pt>
                <c:pt idx="1">
                  <c:v>0.16874215170185891</c:v>
                </c:pt>
                <c:pt idx="2">
                  <c:v>0.14045820189198874</c:v>
                </c:pt>
                <c:pt idx="3">
                  <c:v>0.12138555798898745</c:v>
                </c:pt>
                <c:pt idx="4">
                  <c:v>0.10449814217353579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75-4BFA-911A-EC90A53CEB6E}"/>
            </c:ext>
          </c:extLst>
        </c:ser>
        <c:ser>
          <c:idx val="5"/>
          <c:order val="5"/>
          <c:tx>
            <c:v>Flight Sim (CG offset 4 in.)</c:v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19050">
                <a:solidFill>
                  <a:schemeClr val="accent6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6"/>
                </a:solidFill>
                <a:prstDash val="dashDot"/>
              </a:ln>
              <a:effectLst/>
            </c:spPr>
            <c:trendlineType val="linear"/>
            <c:forward val="14.2"/>
            <c:dispRSqr val="1"/>
            <c:dispEq val="1"/>
            <c:trendlineLbl>
              <c:layout>
                <c:manualLayout>
                  <c:x val="0.40445768633171408"/>
                  <c:y val="0.6349417421280195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1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100" b="1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0.1042x + 0.2533  R² = 0.9936</a:t>
                    </a:r>
                    <a:endParaRPr lang="en-US" sz="1100" b="1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'Q1 Plots'!$S$42:$S$47</c:f>
              <c:numCache>
                <c:formatCode>General</c:formatCode>
                <c:ptCount val="6"/>
                <c:pt idx="0">
                  <c:v>-0.1</c:v>
                </c:pt>
                <c:pt idx="1">
                  <c:v>-0.5</c:v>
                </c:pt>
                <c:pt idx="2">
                  <c:v>-0.8</c:v>
                </c:pt>
                <c:pt idx="3">
                  <c:v>-1.1000000000000001</c:v>
                </c:pt>
                <c:pt idx="4">
                  <c:v>-1.2</c:v>
                </c:pt>
                <c:pt idx="5">
                  <c:v>-1.5</c:v>
                </c:pt>
              </c:numCache>
            </c:numRef>
          </c:xVal>
          <c:yVal>
            <c:numRef>
              <c:f>'Q1 Plots'!$W$42:$W$47</c:f>
              <c:numCache>
                <c:formatCode>General</c:formatCode>
                <c:ptCount val="6"/>
                <c:pt idx="0">
                  <c:v>0.24512485255947877</c:v>
                </c:pt>
                <c:pt idx="1">
                  <c:v>0.20065775912465267</c:v>
                </c:pt>
                <c:pt idx="2">
                  <c:v>0.16727801847631729</c:v>
                </c:pt>
                <c:pt idx="3">
                  <c:v>0.14158411483835498</c:v>
                </c:pt>
                <c:pt idx="4">
                  <c:v>0.12138555798898744</c:v>
                </c:pt>
                <c:pt idx="5">
                  <c:v>0.10168350677847954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BA-4CED-8586-21E13600E7DD}"/>
            </c:ext>
          </c:extLst>
        </c:ser>
        <c:ser>
          <c:idx val="6"/>
          <c:order val="6"/>
          <c:tx>
            <c:v>Avg Clmax (Clean Config., Flight Sim)</c:v>
          </c:tx>
          <c:spPr>
            <a:ln w="2540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'Q1 Plots'!$E$58:$E$59</c:f>
              <c:numCache>
                <c:formatCode>General</c:formatCode>
                <c:ptCount val="2"/>
                <c:pt idx="0">
                  <c:v>-5</c:v>
                </c:pt>
                <c:pt idx="1">
                  <c:v>20</c:v>
                </c:pt>
              </c:numCache>
            </c:numRef>
          </c:xVal>
          <c:yVal>
            <c:numRef>
              <c:f>'Q1 Plots'!$D$58:$D$59</c:f>
              <c:numCache>
                <c:formatCode>General</c:formatCode>
                <c:ptCount val="2"/>
                <c:pt idx="0">
                  <c:v>1.7244340445921491</c:v>
                </c:pt>
                <c:pt idx="1">
                  <c:v>1.7244340445921491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9BA-4CED-8586-21E13600E7DD}"/>
            </c:ext>
          </c:extLst>
        </c:ser>
        <c:ser>
          <c:idx val="7"/>
          <c:order val="7"/>
          <c:tx>
            <c:v>Wind Tunnel (No Tail)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50080146809342319"/>
                  <c:y val="-0.47778026015224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1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100" b="1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0.0589x + 0.1342  R² = 0.9954</a:t>
                    </a:r>
                    <a:endParaRPr lang="en-US" sz="1100" b="1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'Q1 Plots'!$G$3:$G$9</c:f>
              <c:numCache>
                <c:formatCode>General</c:formatCode>
                <c:ptCount val="7"/>
                <c:pt idx="0">
                  <c:v>-1.9996965248019674</c:v>
                </c:pt>
                <c:pt idx="1">
                  <c:v>0.11140799827767126</c:v>
                </c:pt>
                <c:pt idx="2">
                  <c:v>2.225780980365859</c:v>
                </c:pt>
                <c:pt idx="3">
                  <c:v>4.338019996681318</c:v>
                </c:pt>
                <c:pt idx="4">
                  <c:v>6.4458271874986979</c:v>
                </c:pt>
                <c:pt idx="5">
                  <c:v>8.5316334104044085</c:v>
                </c:pt>
                <c:pt idx="6">
                  <c:v>10.606554279356232</c:v>
                </c:pt>
              </c:numCache>
            </c:numRef>
          </c:xVal>
          <c:yVal>
            <c:numRef>
              <c:f>'Q1 Plots'!$B$3:$B$9</c:f>
              <c:numCache>
                <c:formatCode>General</c:formatCode>
                <c:ptCount val="7"/>
                <c:pt idx="0">
                  <c:v>3.6563276871415961E-4</c:v>
                </c:pt>
                <c:pt idx="1">
                  <c:v>0.13422650394900151</c:v>
                </c:pt>
                <c:pt idx="2">
                  <c:v>0.27202527754922773</c:v>
                </c:pt>
                <c:pt idx="3">
                  <c:v>0.40725300804978026</c:v>
                </c:pt>
                <c:pt idx="4">
                  <c:v>0.53714118975746716</c:v>
                </c:pt>
                <c:pt idx="5">
                  <c:v>0.64052218121012983</c:v>
                </c:pt>
                <c:pt idx="6">
                  <c:v>0.73078828838100296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9BA-4CED-8586-21E13600E7DD}"/>
            </c:ext>
          </c:extLst>
        </c:ser>
        <c:ser>
          <c:idx val="8"/>
          <c:order val="8"/>
          <c:tx>
            <c:v>Wind Tunnel (Tail +1 deg.)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25400" cap="sq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55568721004770183"/>
                  <c:y val="-0.326044271315960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1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100" b="1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0.0713x + 0.1238  R² = 0.9984</a:t>
                    </a:r>
                    <a:endParaRPr lang="en-US" sz="1100" b="1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'Q1 Plots'!$G$14:$G$19</c:f>
              <c:numCache>
                <c:formatCode>General</c:formatCode>
                <c:ptCount val="6"/>
                <c:pt idx="0">
                  <c:v>-2.0231572558511721</c:v>
                </c:pt>
                <c:pt idx="1">
                  <c:v>0.10827324956049922</c:v>
                </c:pt>
                <c:pt idx="2">
                  <c:v>2.2394705636462446</c:v>
                </c:pt>
                <c:pt idx="3">
                  <c:v>4.3673000557564929</c:v>
                </c:pt>
                <c:pt idx="4">
                  <c:v>6.4964762847657544</c:v>
                </c:pt>
                <c:pt idx="5">
                  <c:v>8.5986848975630039</c:v>
                </c:pt>
              </c:numCache>
            </c:numRef>
          </c:xVal>
          <c:yVal>
            <c:numRef>
              <c:f>'Q1 Plots'!$B$14:$B$19</c:f>
              <c:numCache>
                <c:formatCode>General</c:formatCode>
                <c:ptCount val="6"/>
                <c:pt idx="0">
                  <c:v>-2.7900308254424334E-2</c:v>
                </c:pt>
                <c:pt idx="1">
                  <c:v>0.13044969826566172</c:v>
                </c:pt>
                <c:pt idx="2">
                  <c:v>0.28851875138101774</c:v>
                </c:pt>
                <c:pt idx="3">
                  <c:v>0.442530187658425</c:v>
                </c:pt>
                <c:pt idx="4">
                  <c:v>0.59816419851295677</c:v>
                </c:pt>
                <c:pt idx="5">
                  <c:v>0.72130710549759536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9BA-4CED-8586-21E13600E7DD}"/>
            </c:ext>
          </c:extLst>
        </c:ser>
        <c:ser>
          <c:idx val="9"/>
          <c:order val="9"/>
          <c:tx>
            <c:v>Wind Tunnel (Tail -2 deg.)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3"/>
                </a:solidFill>
                <a:prstDash val="lgDashDot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55622293017941871"/>
                  <c:y val="-0.2230258797819718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1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100" b="1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0.0713x + 0.0763  R² = 0.9988</a:t>
                    </a:r>
                    <a:endParaRPr lang="en-US" sz="1100" b="1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'Q1 Plots'!$G$25:$G$30</c:f>
              <c:numCache>
                <c:formatCode>General</c:formatCode>
                <c:ptCount val="6"/>
                <c:pt idx="0">
                  <c:v>-2.0663612196500942</c:v>
                </c:pt>
                <c:pt idx="1">
                  <c:v>6.7984819744796504E-2</c:v>
                </c:pt>
                <c:pt idx="2">
                  <c:v>2.1960424918702932</c:v>
                </c:pt>
                <c:pt idx="3">
                  <c:v>4.3282148342739832</c:v>
                </c:pt>
                <c:pt idx="4">
                  <c:v>6.453880501092538</c:v>
                </c:pt>
                <c:pt idx="5">
                  <c:v>8.5561841402188108</c:v>
                </c:pt>
              </c:numCache>
            </c:numRef>
          </c:xVal>
          <c:yVal>
            <c:numRef>
              <c:f>'Q1 Plots'!$B$25:$B$30</c:f>
              <c:numCache>
                <c:formatCode>General</c:formatCode>
                <c:ptCount val="6"/>
                <c:pt idx="0">
                  <c:v>-7.9953276686860725E-2</c:v>
                </c:pt>
                <c:pt idx="1">
                  <c:v>8.1909421379272901E-2</c:v>
                </c:pt>
                <c:pt idx="2">
                  <c:v>0.23619577333770272</c:v>
                </c:pt>
                <c:pt idx="3">
                  <c:v>0.39543955936624459</c:v>
                </c:pt>
                <c:pt idx="4">
                  <c:v>0.54684397721992528</c:v>
                </c:pt>
                <c:pt idx="5">
                  <c:v>0.67010137375760304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9BA-4CED-8586-21E13600E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905072"/>
        <c:axId val="573904112"/>
      </c:scatterChart>
      <c:valAx>
        <c:axId val="573905072"/>
        <c:scaling>
          <c:orientation val="minMax"/>
          <c:max val="20"/>
          <c:min val="-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100" b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Angle</a:t>
                </a:r>
                <a:r>
                  <a:rPr lang="en-GB" sz="1100" b="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of Attack, </a:t>
                </a:r>
                <a:r>
                  <a:rPr lang="el-GR" sz="1100" b="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α</a:t>
                </a:r>
                <a:r>
                  <a:rPr lang="en-US" sz="1100" b="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(degrees)</a:t>
                </a:r>
                <a:endParaRPr lang="en-GB" sz="1100" b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GB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73904112"/>
        <c:crossesAt val="-0.2"/>
        <c:crossBetween val="midCat"/>
      </c:valAx>
      <c:valAx>
        <c:axId val="573904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100" b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Lift</a:t>
                </a:r>
                <a:r>
                  <a:rPr lang="en-GB" sz="1100" b="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Coefficient, C</a:t>
                </a:r>
                <a:r>
                  <a:rPr lang="en-GB" sz="1100" b="0" baseline="-250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</a:t>
                </a:r>
                <a:r>
                  <a:rPr lang="en-GB" sz="1100" b="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  <a:endParaRPr lang="en-GB" sz="1100" b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1196901942443164E-3"/>
              <c:y val="0.34481210054598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GB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73905072"/>
        <c:crossesAt val="-5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ayout>
        <c:manualLayout>
          <c:xMode val="edge"/>
          <c:yMode val="edge"/>
          <c:x val="0.68981354288313035"/>
          <c:y val="9.2870996541709848E-4"/>
          <c:w val="0.30681299927690608"/>
          <c:h val="0.999071290034582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 vs. Cl</a:t>
            </a:r>
          </a:p>
        </c:rich>
      </c:tx>
      <c:layout>
        <c:manualLayout>
          <c:xMode val="edge"/>
          <c:yMode val="edge"/>
          <c:x val="0.414645626905813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Tail-off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'Wind Tunnel'!$V$3:$V$10</c:f>
              <c:numCache>
                <c:formatCode>General</c:formatCode>
                <c:ptCount val="8"/>
                <c:pt idx="0">
                  <c:v>3.6563276871415961E-4</c:v>
                </c:pt>
                <c:pt idx="1">
                  <c:v>0.13422650394900151</c:v>
                </c:pt>
                <c:pt idx="2">
                  <c:v>0.27202527754922773</c:v>
                </c:pt>
                <c:pt idx="3">
                  <c:v>0.40725300804978026</c:v>
                </c:pt>
                <c:pt idx="4">
                  <c:v>0.53714118975746716</c:v>
                </c:pt>
                <c:pt idx="5">
                  <c:v>0.64052218121012983</c:v>
                </c:pt>
                <c:pt idx="6">
                  <c:v>0.73078828838100296</c:v>
                </c:pt>
                <c:pt idx="7">
                  <c:v>0.80425842061917496</c:v>
                </c:pt>
              </c:numCache>
            </c:numRef>
          </c:xVal>
          <c:yVal>
            <c:numRef>
              <c:f>'Wind Tunnel'!$W$3:$W$10</c:f>
              <c:numCache>
                <c:formatCode>General</c:formatCode>
                <c:ptCount val="8"/>
                <c:pt idx="0">
                  <c:v>-3.8449804642539456E-2</c:v>
                </c:pt>
                <c:pt idx="1">
                  <c:v>-1.9411328306440857E-2</c:v>
                </c:pt>
                <c:pt idx="2">
                  <c:v>4.5242817531750759E-3</c:v>
                </c:pt>
                <c:pt idx="3">
                  <c:v>2.9419940032584344E-2</c:v>
                </c:pt>
                <c:pt idx="4">
                  <c:v>5.8543433175623223E-2</c:v>
                </c:pt>
                <c:pt idx="5">
                  <c:v>8.6446689740872204E-2</c:v>
                </c:pt>
                <c:pt idx="6">
                  <c:v>0.1116343699748558</c:v>
                </c:pt>
                <c:pt idx="7">
                  <c:v>0.13623891713282135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2F-4CA7-AF97-0D67BC2BFDC4}"/>
            </c:ext>
          </c:extLst>
        </c:ser>
        <c:ser>
          <c:idx val="1"/>
          <c:order val="1"/>
          <c:tx>
            <c:v>Tail-1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'Wind Tunnel'!$V$14:$V$21</c:f>
              <c:numCache>
                <c:formatCode>General</c:formatCode>
                <c:ptCount val="8"/>
                <c:pt idx="0">
                  <c:v>-2.7900308254424334E-2</c:v>
                </c:pt>
                <c:pt idx="1">
                  <c:v>0.13044969826566172</c:v>
                </c:pt>
                <c:pt idx="2">
                  <c:v>0.28851875138101774</c:v>
                </c:pt>
                <c:pt idx="3">
                  <c:v>0.442530187658425</c:v>
                </c:pt>
                <c:pt idx="4">
                  <c:v>0.59816419851295677</c:v>
                </c:pt>
                <c:pt idx="5">
                  <c:v>0.72130710549759536</c:v>
                </c:pt>
                <c:pt idx="6">
                  <c:v>0.8257462307545399</c:v>
                </c:pt>
                <c:pt idx="7">
                  <c:v>0.90851822233131208</c:v>
                </c:pt>
              </c:numCache>
            </c:numRef>
          </c:xVal>
          <c:yVal>
            <c:numRef>
              <c:f>'Wind Tunnel'!$W$14:$W$21</c:f>
              <c:numCache>
                <c:formatCode>General</c:formatCode>
                <c:ptCount val="8"/>
                <c:pt idx="0">
                  <c:v>2.3748823974101115E-2</c:v>
                </c:pt>
                <c:pt idx="1">
                  <c:v>-5.9680470211620849E-3</c:v>
                </c:pt>
                <c:pt idx="2">
                  <c:v>-3.1466062869173347E-2</c:v>
                </c:pt>
                <c:pt idx="3">
                  <c:v>-5.431369172724098E-2</c:v>
                </c:pt>
                <c:pt idx="4">
                  <c:v>-8.3072190873740223E-2</c:v>
                </c:pt>
                <c:pt idx="5">
                  <c:v>-0.10347384087257946</c:v>
                </c:pt>
                <c:pt idx="6">
                  <c:v>-0.11671017229389878</c:v>
                </c:pt>
                <c:pt idx="7">
                  <c:v>-0.12994009588858371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B1-40F5-9AA2-1433A6C9D8FF}"/>
            </c:ext>
          </c:extLst>
        </c:ser>
        <c:ser>
          <c:idx val="2"/>
          <c:order val="2"/>
          <c:tx>
            <c:v>Tail-2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23073621776254372"/>
                  <c:y val="-0.41648064962892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'Wind Tunnel'!$V$25:$V$34</c:f>
              <c:numCache>
                <c:formatCode>General</c:formatCode>
                <c:ptCount val="10"/>
                <c:pt idx="0">
                  <c:v>-7.9953276686860725E-2</c:v>
                </c:pt>
                <c:pt idx="1">
                  <c:v>8.1909421379272901E-2</c:v>
                </c:pt>
                <c:pt idx="2">
                  <c:v>0.23619577333770272</c:v>
                </c:pt>
                <c:pt idx="3">
                  <c:v>0.39543955936624459</c:v>
                </c:pt>
                <c:pt idx="4">
                  <c:v>0.54684397721992528</c:v>
                </c:pt>
                <c:pt idx="5">
                  <c:v>0.67010137375760304</c:v>
                </c:pt>
                <c:pt idx="6">
                  <c:v>0.7808291686431712</c:v>
                </c:pt>
                <c:pt idx="7">
                  <c:v>0.83251623567029309</c:v>
                </c:pt>
                <c:pt idx="8">
                  <c:v>0.87305688086457156</c:v>
                </c:pt>
                <c:pt idx="9">
                  <c:v>0.91013373451618296</c:v>
                </c:pt>
              </c:numCache>
            </c:numRef>
          </c:xVal>
          <c:yVal>
            <c:numRef>
              <c:f>'Wind Tunnel'!$W$25:$W$34</c:f>
              <c:numCache>
                <c:formatCode>General</c:formatCode>
                <c:ptCount val="10"/>
                <c:pt idx="0">
                  <c:v>0.13788712802990066</c:v>
                </c:pt>
                <c:pt idx="1">
                  <c:v>0.10829780418007787</c:v>
                </c:pt>
                <c:pt idx="2">
                  <c:v>7.7997920597631026E-2</c:v>
                </c:pt>
                <c:pt idx="3">
                  <c:v>5.4722119432666132E-2</c:v>
                </c:pt>
                <c:pt idx="4">
                  <c:v>3.1658864409132438E-2</c:v>
                </c:pt>
                <c:pt idx="5">
                  <c:v>1.3468254193295096E-2</c:v>
                </c:pt>
                <c:pt idx="6">
                  <c:v>-1.7690909829419302E-2</c:v>
                </c:pt>
                <c:pt idx="7">
                  <c:v>-3.0025919759228224E-2</c:v>
                </c:pt>
                <c:pt idx="8">
                  <c:v>-4.578720903764074E-2</c:v>
                </c:pt>
                <c:pt idx="9">
                  <c:v>-5.7687315079033442E-2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B1-40F5-9AA2-1433A6C9D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121672"/>
        <c:axId val="939127816"/>
      </c:scatterChart>
      <c:valAx>
        <c:axId val="939121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127816"/>
        <c:crosses val="autoZero"/>
        <c:crossBetween val="midCat"/>
        <c:majorUnit val="0.1"/>
      </c:valAx>
      <c:valAx>
        <c:axId val="93912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121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78979474220529E-2"/>
          <c:y val="2.5464595512328814E-2"/>
          <c:w val="0.9221628126796293"/>
          <c:h val="0.92172091419037994"/>
        </c:manualLayout>
      </c:layout>
      <c:scatterChart>
        <c:scatterStyle val="smoothMarker"/>
        <c:varyColors val="0"/>
        <c:ser>
          <c:idx val="0"/>
          <c:order val="0"/>
          <c:tx>
            <c:v>Tail-off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9688027124279084E-2"/>
                  <c:y val="-3.2516661952621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'Wind Tunnel'!$V$3:$V$10</c:f>
              <c:numCache>
                <c:formatCode>General</c:formatCode>
                <c:ptCount val="8"/>
                <c:pt idx="0">
                  <c:v>3.6563276871415961E-4</c:v>
                </c:pt>
                <c:pt idx="1">
                  <c:v>0.13422650394900151</c:v>
                </c:pt>
                <c:pt idx="2">
                  <c:v>0.27202527754922773</c:v>
                </c:pt>
                <c:pt idx="3">
                  <c:v>0.40725300804978026</c:v>
                </c:pt>
                <c:pt idx="4">
                  <c:v>0.53714118975746716</c:v>
                </c:pt>
                <c:pt idx="5">
                  <c:v>0.64052218121012983</c:v>
                </c:pt>
                <c:pt idx="6">
                  <c:v>0.73078828838100296</c:v>
                </c:pt>
                <c:pt idx="7">
                  <c:v>0.80425842061917496</c:v>
                </c:pt>
              </c:numCache>
              <c:extLst xmlns:c15="http://schemas.microsoft.com/office/drawing/2012/chart"/>
            </c:numRef>
          </c:xVal>
          <c:yVal>
            <c:numRef>
              <c:f>'Wind Tunnel'!$AP$3:$AP$10</c:f>
              <c:numCache>
                <c:formatCode>General</c:formatCode>
                <c:ptCount val="8"/>
                <c:pt idx="0">
                  <c:v>-3.8449804642539456E-2</c:v>
                </c:pt>
                <c:pt idx="1">
                  <c:v>-1.9411328306440857E-2</c:v>
                </c:pt>
                <c:pt idx="2">
                  <c:v>4.5242817531750759E-3</c:v>
                </c:pt>
                <c:pt idx="3">
                  <c:v>2.9419940032584344E-2</c:v>
                </c:pt>
                <c:pt idx="4">
                  <c:v>5.8543433175623223E-2</c:v>
                </c:pt>
                <c:pt idx="5">
                  <c:v>8.6446689740872204E-2</c:v>
                </c:pt>
                <c:pt idx="6">
                  <c:v>0.1116343699748558</c:v>
                </c:pt>
                <c:pt idx="7">
                  <c:v>0.13623891713282135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0B00-4343-BFA4-7290B01D26C7}"/>
            </c:ext>
          </c:extLst>
        </c:ser>
        <c:ser>
          <c:idx val="1"/>
          <c:order val="1"/>
          <c:tx>
            <c:v>Tail-1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9399218847498982E-2"/>
                  <c:y val="3.03005351018839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'Wind Tunnel'!$V$14:$V$21</c:f>
              <c:numCache>
                <c:formatCode>General</c:formatCode>
                <c:ptCount val="8"/>
                <c:pt idx="0">
                  <c:v>-2.7900308254424334E-2</c:v>
                </c:pt>
                <c:pt idx="1">
                  <c:v>0.13044969826566172</c:v>
                </c:pt>
                <c:pt idx="2">
                  <c:v>0.28851875138101774</c:v>
                </c:pt>
                <c:pt idx="3">
                  <c:v>0.442530187658425</c:v>
                </c:pt>
                <c:pt idx="4">
                  <c:v>0.59816419851295677</c:v>
                </c:pt>
                <c:pt idx="5">
                  <c:v>0.72130710549759536</c:v>
                </c:pt>
                <c:pt idx="6">
                  <c:v>0.8257462307545399</c:v>
                </c:pt>
                <c:pt idx="7">
                  <c:v>0.90851822233131208</c:v>
                </c:pt>
              </c:numCache>
            </c:numRef>
          </c:xVal>
          <c:yVal>
            <c:numRef>
              <c:f>'Wind Tunnel'!$AP$14:$AP$21</c:f>
              <c:numCache>
                <c:formatCode>General</c:formatCode>
                <c:ptCount val="8"/>
                <c:pt idx="0">
                  <c:v>2.334640634833322E-2</c:v>
                </c:pt>
                <c:pt idx="1">
                  <c:v>-4.0865173484610131E-3</c:v>
                </c:pt>
                <c:pt idx="2">
                  <c:v>-2.7304638204560347E-2</c:v>
                </c:pt>
                <c:pt idx="3">
                  <c:v>-4.7930896747910054E-2</c:v>
                </c:pt>
                <c:pt idx="4">
                  <c:v>-7.4444622518943668E-2</c:v>
                </c:pt>
                <c:pt idx="5">
                  <c:v>-9.3070131702168185E-2</c:v>
                </c:pt>
                <c:pt idx="6">
                  <c:v>-0.10480009464755818</c:v>
                </c:pt>
                <c:pt idx="7">
                  <c:v>-0.11683616375050562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00-4343-BFA4-7290B01D26C7}"/>
            </c:ext>
          </c:extLst>
        </c:ser>
        <c:ser>
          <c:idx val="2"/>
          <c:order val="2"/>
          <c:tx>
            <c:v>Tail-2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lgDashDot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199854623115446E-2"/>
                  <c:y val="6.65754901514557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'Wind Tunnel'!$V$25:$V$34</c:f>
              <c:numCache>
                <c:formatCode>General</c:formatCode>
                <c:ptCount val="10"/>
                <c:pt idx="0">
                  <c:v>-7.9953276686860725E-2</c:v>
                </c:pt>
                <c:pt idx="1">
                  <c:v>8.1909421379272901E-2</c:v>
                </c:pt>
                <c:pt idx="2">
                  <c:v>0.23619577333770272</c:v>
                </c:pt>
                <c:pt idx="3">
                  <c:v>0.39543955936624459</c:v>
                </c:pt>
                <c:pt idx="4">
                  <c:v>0.54684397721992528</c:v>
                </c:pt>
                <c:pt idx="5">
                  <c:v>0.67010137375760304</c:v>
                </c:pt>
                <c:pt idx="6">
                  <c:v>0.7808291686431712</c:v>
                </c:pt>
                <c:pt idx="7">
                  <c:v>0.83251623567029309</c:v>
                </c:pt>
                <c:pt idx="8">
                  <c:v>0.87305688086457156</c:v>
                </c:pt>
                <c:pt idx="9">
                  <c:v>0.91013373451618296</c:v>
                </c:pt>
              </c:numCache>
            </c:numRef>
          </c:xVal>
          <c:yVal>
            <c:numRef>
              <c:f>'Wind Tunnel'!$AP$25:$AP$39</c:f>
              <c:numCache>
                <c:formatCode>General</c:formatCode>
                <c:ptCount val="15"/>
                <c:pt idx="0">
                  <c:v>0.1367339290228041</c:v>
                </c:pt>
                <c:pt idx="1">
                  <c:v>0.10947921746694513</c:v>
                </c:pt>
                <c:pt idx="2">
                  <c:v>8.1404669421199949E-2</c:v>
                </c:pt>
                <c:pt idx="3">
                  <c:v>6.0425706904307513E-2</c:v>
                </c:pt>
                <c:pt idx="4">
                  <c:v>3.9546220096086881E-2</c:v>
                </c:pt>
                <c:pt idx="5">
                  <c:v>2.3133402025795419E-2</c:v>
                </c:pt>
                <c:pt idx="6">
                  <c:v>-6.4286894514104902E-3</c:v>
                </c:pt>
                <c:pt idx="7">
                  <c:v>-1.8018195546412777E-2</c:v>
                </c:pt>
                <c:pt idx="8">
                  <c:v>-3.3194750418401912E-2</c:v>
                </c:pt>
                <c:pt idx="9">
                  <c:v>-4.4560081743997018E-2</c:v>
                </c:pt>
                <c:pt idx="10">
                  <c:v>-8.732417984705608E-2</c:v>
                </c:pt>
                <c:pt idx="11">
                  <c:v>-9.6078556901837309E-2</c:v>
                </c:pt>
                <c:pt idx="12">
                  <c:v>-9.4939482309993051E-2</c:v>
                </c:pt>
                <c:pt idx="13">
                  <c:v>-0.17881629482825734</c:v>
                </c:pt>
                <c:pt idx="14">
                  <c:v>-0.23845638088481441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B00-4343-BFA4-7290B01D2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121672"/>
        <c:axId val="939127816"/>
        <c:extLst/>
      </c:scatterChart>
      <c:valAx>
        <c:axId val="939121672"/>
        <c:scaling>
          <c:orientation val="minMax"/>
          <c:min val="-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HK" sz="1200" b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Lift</a:t>
                </a:r>
                <a:r>
                  <a:rPr lang="en-HK" sz="1200" b="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Coefficient, C</a:t>
                </a:r>
                <a:r>
                  <a:rPr lang="en-HK" sz="1200" b="0" baseline="-250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</a:t>
                </a:r>
                <a:endParaRPr lang="en-HK" sz="1200" b="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5413517645123513"/>
              <c:y val="0.954130125977799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H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9127816"/>
        <c:crosses val="autoZero"/>
        <c:crossBetween val="midCat"/>
        <c:majorUnit val="0.1"/>
      </c:valAx>
      <c:valAx>
        <c:axId val="939127816"/>
        <c:scaling>
          <c:orientation val="minMax"/>
          <c:max val="0.1500000000000000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HK" sz="12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Moment</a:t>
                </a:r>
                <a:r>
                  <a:rPr lang="en-HK" sz="12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Coefficient, C</a:t>
                </a:r>
                <a:r>
                  <a:rPr lang="en-HK" sz="1200" baseline="-250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</a:t>
                </a:r>
                <a:endParaRPr lang="en-HK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4043114077660105E-2"/>
              <c:y val="0.381115274497427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H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9121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86668002377552833"/>
          <c:y val="6.1062862584499097E-2"/>
          <c:w val="0.1209517890558036"/>
          <c:h val="0.19991650055864515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</a:t>
            </a:r>
            <a:r>
              <a:rPr lang="en-GB" baseline="0"/>
              <a:t> Vs (True) Alpha</a:t>
            </a:r>
            <a:endParaRPr lang="en-GB"/>
          </a:p>
        </c:rich>
      </c:tx>
      <c:layout>
        <c:manualLayout>
          <c:xMode val="edge"/>
          <c:yMode val="edge"/>
          <c:x val="0.4085447912769179"/>
          <c:y val="1.6016378864289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4.3493000874890636E-2"/>
          <c:y val="0.15782407407407409"/>
          <c:w val="0.77064880055903395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v>Tail (1)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323058165995819"/>
                  <c:y val="0.138028276124188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'Wind Tunnel'!$AA$14:$AA$19</c:f>
              <c:numCache>
                <c:formatCode>General</c:formatCode>
                <c:ptCount val="6"/>
                <c:pt idx="0">
                  <c:v>-2.0231572558511721</c:v>
                </c:pt>
                <c:pt idx="1">
                  <c:v>0.10827324956049922</c:v>
                </c:pt>
                <c:pt idx="2">
                  <c:v>2.2394705636462446</c:v>
                </c:pt>
                <c:pt idx="3">
                  <c:v>4.3673000557564929</c:v>
                </c:pt>
                <c:pt idx="4">
                  <c:v>6.4964762847657544</c:v>
                </c:pt>
                <c:pt idx="5">
                  <c:v>8.5986848975630039</c:v>
                </c:pt>
              </c:numCache>
            </c:numRef>
          </c:xVal>
          <c:yVal>
            <c:numRef>
              <c:f>'Wind Tunnel'!$V$14:$V$19</c:f>
              <c:numCache>
                <c:formatCode>General</c:formatCode>
                <c:ptCount val="6"/>
                <c:pt idx="0">
                  <c:v>-2.7900308254424334E-2</c:v>
                </c:pt>
                <c:pt idx="1">
                  <c:v>0.13044969826566172</c:v>
                </c:pt>
                <c:pt idx="2">
                  <c:v>0.28851875138101774</c:v>
                </c:pt>
                <c:pt idx="3">
                  <c:v>0.442530187658425</c:v>
                </c:pt>
                <c:pt idx="4">
                  <c:v>0.59816419851295677</c:v>
                </c:pt>
                <c:pt idx="5">
                  <c:v>0.72130710549759536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BE-4A0D-A6F2-EAD93498BCCE}"/>
            </c:ext>
          </c:extLst>
        </c:ser>
        <c:ser>
          <c:idx val="1"/>
          <c:order val="1"/>
          <c:tx>
            <c:v>Tail (-2)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2750087636258922E-2"/>
                  <c:y val="0.222789685915996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'Wind Tunnel'!$AA$25:$AA$30</c:f>
              <c:numCache>
                <c:formatCode>General</c:formatCode>
                <c:ptCount val="6"/>
                <c:pt idx="0">
                  <c:v>-2.0663612196500942</c:v>
                </c:pt>
                <c:pt idx="1">
                  <c:v>6.7984819744796504E-2</c:v>
                </c:pt>
                <c:pt idx="2">
                  <c:v>2.1960424918702932</c:v>
                </c:pt>
                <c:pt idx="3">
                  <c:v>4.3282148342739832</c:v>
                </c:pt>
                <c:pt idx="4">
                  <c:v>6.453880501092538</c:v>
                </c:pt>
                <c:pt idx="5">
                  <c:v>8.5561841402188108</c:v>
                </c:pt>
              </c:numCache>
            </c:numRef>
          </c:xVal>
          <c:yVal>
            <c:numRef>
              <c:f>'Wind Tunnel'!$V$25:$V$30</c:f>
              <c:numCache>
                <c:formatCode>General</c:formatCode>
                <c:ptCount val="6"/>
                <c:pt idx="0">
                  <c:v>-7.9953276686860725E-2</c:v>
                </c:pt>
                <c:pt idx="1">
                  <c:v>8.1909421379272901E-2</c:v>
                </c:pt>
                <c:pt idx="2">
                  <c:v>0.23619577333770272</c:v>
                </c:pt>
                <c:pt idx="3">
                  <c:v>0.39543955936624459</c:v>
                </c:pt>
                <c:pt idx="4">
                  <c:v>0.54684397721992528</c:v>
                </c:pt>
                <c:pt idx="5">
                  <c:v>0.67010137375760304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BE-4A0D-A6F2-EAD93498BCCE}"/>
            </c:ext>
          </c:extLst>
        </c:ser>
        <c:ser>
          <c:idx val="2"/>
          <c:order val="2"/>
          <c:tx>
            <c:v>Tail Off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25400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857799854179322"/>
                  <c:y val="0.455442752634303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'Wind Tunnel'!$AA$3:$AA$8</c:f>
              <c:numCache>
                <c:formatCode>General</c:formatCode>
                <c:ptCount val="6"/>
                <c:pt idx="0">
                  <c:v>-1.9996965248019674</c:v>
                </c:pt>
                <c:pt idx="1">
                  <c:v>0.11140799827767126</c:v>
                </c:pt>
                <c:pt idx="2">
                  <c:v>2.225780980365859</c:v>
                </c:pt>
                <c:pt idx="3">
                  <c:v>4.338019996681318</c:v>
                </c:pt>
                <c:pt idx="4">
                  <c:v>6.4458271874986979</c:v>
                </c:pt>
                <c:pt idx="5">
                  <c:v>8.5316334104044085</c:v>
                </c:pt>
              </c:numCache>
            </c:numRef>
          </c:xVal>
          <c:yVal>
            <c:numRef>
              <c:f>'Wind Tunnel'!$V$3:$V$8</c:f>
              <c:numCache>
                <c:formatCode>General</c:formatCode>
                <c:ptCount val="6"/>
                <c:pt idx="0">
                  <c:v>3.6563276871415961E-4</c:v>
                </c:pt>
                <c:pt idx="1">
                  <c:v>0.13422650394900151</c:v>
                </c:pt>
                <c:pt idx="2">
                  <c:v>0.27202527754922773</c:v>
                </c:pt>
                <c:pt idx="3">
                  <c:v>0.40725300804978026</c:v>
                </c:pt>
                <c:pt idx="4">
                  <c:v>0.53714118975746716</c:v>
                </c:pt>
                <c:pt idx="5">
                  <c:v>0.64052218121012983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5BE-4A0D-A6F2-EAD93498B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035472"/>
        <c:axId val="741032112"/>
      </c:scatterChart>
      <c:valAx>
        <c:axId val="74103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032112"/>
        <c:crosses val="autoZero"/>
        <c:crossBetween val="midCat"/>
      </c:valAx>
      <c:valAx>
        <c:axId val="74103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03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CD</a:t>
            </a:r>
            <a:r>
              <a:rPr lang="en-GB" baseline="0"/>
              <a:t> vs CL^2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3.951237148623208E-2"/>
          <c:y val="7.0320007440401774E-2"/>
          <c:w val="0.81906095451191896"/>
          <c:h val="0.88584939784846395"/>
        </c:manualLayout>
      </c:layout>
      <c:scatterChart>
        <c:scatterStyle val="lineMarker"/>
        <c:varyColors val="0"/>
        <c:ser>
          <c:idx val="0"/>
          <c:order val="0"/>
          <c:tx>
            <c:v>Tail OFF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'Wind Tunnel'!$X$3:$X$10</c:f>
              <c:numCache>
                <c:formatCode>General</c:formatCode>
                <c:ptCount val="8"/>
                <c:pt idx="0">
                  <c:v>1.3368732155758215E-7</c:v>
                </c:pt>
                <c:pt idx="1">
                  <c:v>1.801675436237132E-2</c:v>
                </c:pt>
                <c:pt idx="2">
                  <c:v>7.3997751625734381E-2</c:v>
                </c:pt>
                <c:pt idx="3">
                  <c:v>0.1658550125655944</c:v>
                </c:pt>
                <c:pt idx="4">
                  <c:v>0.28852065773406732</c:v>
                </c:pt>
                <c:pt idx="5">
                  <c:v>0.41026866462218237</c:v>
                </c:pt>
                <c:pt idx="6">
                  <c:v>0.53405152243483589</c:v>
                </c:pt>
                <c:pt idx="7">
                  <c:v>0.64683160713684973</c:v>
                </c:pt>
              </c:numCache>
            </c:numRef>
          </c:xVal>
          <c:yVal>
            <c:numRef>
              <c:f>'Wind Tunnel'!$U$3:$U$10</c:f>
              <c:numCache>
                <c:formatCode>General</c:formatCode>
                <c:ptCount val="8"/>
                <c:pt idx="0">
                  <c:v>4.1516106233796493E-2</c:v>
                </c:pt>
                <c:pt idx="1">
                  <c:v>4.3115492217637164E-2</c:v>
                </c:pt>
                <c:pt idx="2">
                  <c:v>4.5764056318715503E-2</c:v>
                </c:pt>
                <c:pt idx="3">
                  <c:v>5.0278692479498212E-2</c:v>
                </c:pt>
                <c:pt idx="4">
                  <c:v>5.7416297006502116E-2</c:v>
                </c:pt>
                <c:pt idx="5">
                  <c:v>6.8868166060973651E-2</c:v>
                </c:pt>
                <c:pt idx="6">
                  <c:v>8.5508252700683685E-2</c:v>
                </c:pt>
                <c:pt idx="7">
                  <c:v>0.10001382591740253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68-49C5-8225-30A3278EABD3}"/>
            </c:ext>
          </c:extLst>
        </c:ser>
        <c:ser>
          <c:idx val="1"/>
          <c:order val="1"/>
          <c:tx>
            <c:v>Tail i=+1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'Wind Tunnel'!$X$14:$X$21</c:f>
              <c:numCache>
                <c:formatCode>General</c:formatCode>
                <c:ptCount val="8"/>
                <c:pt idx="0">
                  <c:v>7.7842720069189869E-4</c:v>
                </c:pt>
                <c:pt idx="1">
                  <c:v>1.7017123777602186E-2</c:v>
                </c:pt>
                <c:pt idx="2">
                  <c:v>8.3243069898461516E-2</c:v>
                </c:pt>
                <c:pt idx="3">
                  <c:v>0.19583296698900085</c:v>
                </c:pt>
                <c:pt idx="4">
                  <c:v>0.35780040838264793</c:v>
                </c:pt>
                <c:pt idx="5">
                  <c:v>0.5202839404413192</c:v>
                </c:pt>
                <c:pt idx="6">
                  <c:v>0.68185683760532989</c:v>
                </c:pt>
                <c:pt idx="7">
                  <c:v>0.82540536030804745</c:v>
                </c:pt>
              </c:numCache>
            </c:numRef>
          </c:xVal>
          <c:yVal>
            <c:numRef>
              <c:f>'Wind Tunnel'!$U$14:$U$21</c:f>
              <c:numCache>
                <c:formatCode>General</c:formatCode>
                <c:ptCount val="8"/>
                <c:pt idx="0">
                  <c:v>4.7824084255010668E-2</c:v>
                </c:pt>
                <c:pt idx="1">
                  <c:v>4.6235882565436773E-2</c:v>
                </c:pt>
                <c:pt idx="2">
                  <c:v>5.2413969031424312E-2</c:v>
                </c:pt>
                <c:pt idx="3">
                  <c:v>5.3614077112745989E-2</c:v>
                </c:pt>
                <c:pt idx="4">
                  <c:v>6.4366832406306862E-2</c:v>
                </c:pt>
                <c:pt idx="5">
                  <c:v>7.7418251997453835E-2</c:v>
                </c:pt>
                <c:pt idx="6">
                  <c:v>9.3855460244192224E-2</c:v>
                </c:pt>
                <c:pt idx="7">
                  <c:v>0.11500436823244793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68-49C5-8225-30A3278EABD3}"/>
            </c:ext>
          </c:extLst>
        </c:ser>
        <c:ser>
          <c:idx val="2"/>
          <c:order val="2"/>
          <c:tx>
            <c:v>Tail i=-2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6201905242354E-2"/>
                  <c:y val="8.49728406296252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'Wind Tunnel'!$X$25:$X$31</c:f>
              <c:numCache>
                <c:formatCode>General</c:formatCode>
                <c:ptCount val="7"/>
                <c:pt idx="0">
                  <c:v>6.3925264529657065E-3</c:v>
                </c:pt>
                <c:pt idx="1">
                  <c:v>6.7091533106872882E-3</c:v>
                </c:pt>
                <c:pt idx="2">
                  <c:v>5.5788443342595438E-2</c:v>
                </c:pt>
                <c:pt idx="3">
                  <c:v>0.15637244511176968</c:v>
                </c:pt>
                <c:pt idx="4">
                  <c:v>0.29903833542170616</c:v>
                </c:pt>
                <c:pt idx="5">
                  <c:v>0.44903585111182681</c:v>
                </c:pt>
                <c:pt idx="6">
                  <c:v>0.60969419060398589</c:v>
                </c:pt>
              </c:numCache>
            </c:numRef>
          </c:xVal>
          <c:yVal>
            <c:numRef>
              <c:f>'Wind Tunnel'!$U$25:$U$31</c:f>
              <c:numCache>
                <c:formatCode>General</c:formatCode>
                <c:ptCount val="7"/>
                <c:pt idx="0">
                  <c:v>5.1649058927606302E-2</c:v>
                </c:pt>
                <c:pt idx="1">
                  <c:v>4.8648049875067455E-2</c:v>
                </c:pt>
                <c:pt idx="2">
                  <c:v>4.8819696686658164E-2</c:v>
                </c:pt>
                <c:pt idx="3">
                  <c:v>5.3819155707722173E-2</c:v>
                </c:pt>
                <c:pt idx="4">
                  <c:v>6.0491886314987621E-2</c:v>
                </c:pt>
                <c:pt idx="5">
                  <c:v>7.3130580861226757E-2</c:v>
                </c:pt>
                <c:pt idx="6">
                  <c:v>8.8096309346255189E-2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68-49C5-8225-30A3278EA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685600"/>
        <c:axId val="670687520"/>
      </c:scatterChart>
      <c:valAx>
        <c:axId val="6706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87520"/>
        <c:crosses val="autoZero"/>
        <c:crossBetween val="midCat"/>
      </c:valAx>
      <c:valAx>
        <c:axId val="67068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68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940016731355472E-2"/>
          <c:y val="2.6742139225918747E-2"/>
          <c:w val="0.89581734648610645"/>
          <c:h val="0.84888580470697328"/>
        </c:manualLayout>
      </c:layout>
      <c:scatterChart>
        <c:scatterStyle val="lineMarker"/>
        <c:varyColors val="0"/>
        <c:ser>
          <c:idx val="0"/>
          <c:order val="0"/>
          <c:tx>
            <c:v>Tail Off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'Wind Tunnel'!$V$3:$V$10</c:f>
              <c:numCache>
                <c:formatCode>General</c:formatCode>
                <c:ptCount val="8"/>
                <c:pt idx="0">
                  <c:v>3.6563276871415961E-4</c:v>
                </c:pt>
                <c:pt idx="1">
                  <c:v>0.13422650394900151</c:v>
                </c:pt>
                <c:pt idx="2">
                  <c:v>0.27202527754922773</c:v>
                </c:pt>
                <c:pt idx="3">
                  <c:v>0.40725300804978026</c:v>
                </c:pt>
                <c:pt idx="4">
                  <c:v>0.53714118975746716</c:v>
                </c:pt>
                <c:pt idx="5">
                  <c:v>0.64052218121012983</c:v>
                </c:pt>
                <c:pt idx="6">
                  <c:v>0.73078828838100296</c:v>
                </c:pt>
                <c:pt idx="7">
                  <c:v>0.80425842061917496</c:v>
                </c:pt>
              </c:numCache>
            </c:numRef>
          </c:xVal>
          <c:yVal>
            <c:numRef>
              <c:f>'Wind Tunnel'!$AF$3:$AF$10</c:f>
              <c:numCache>
                <c:formatCode>General</c:formatCode>
                <c:ptCount val="8"/>
                <c:pt idx="0">
                  <c:v>6.351610823910632E-2</c:v>
                </c:pt>
                <c:pt idx="1">
                  <c:v>6.5385743533072721E-2</c:v>
                </c:pt>
                <c:pt idx="2">
                  <c:v>6.8874022593101519E-2</c:v>
                </c:pt>
                <c:pt idx="3">
                  <c:v>7.4766517667982133E-2</c:v>
                </c:pt>
                <c:pt idx="4">
                  <c:v>8.374410687251313E-2</c:v>
                </c:pt>
                <c:pt idx="5">
                  <c:v>9.7022196030306374E-2</c:v>
                </c:pt>
                <c:pt idx="6">
                  <c:v>0.11551902553720622</c:v>
                </c:pt>
                <c:pt idx="7">
                  <c:v>0.13171630002445528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F4-4833-A18F-16E604747FA4}"/>
            </c:ext>
          </c:extLst>
        </c:ser>
        <c:ser>
          <c:idx val="1"/>
          <c:order val="1"/>
          <c:tx>
            <c:v>Tail on 1 Degree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'Wind Tunnel'!$V$14:$V$21</c:f>
              <c:numCache>
                <c:formatCode>General</c:formatCode>
                <c:ptCount val="8"/>
                <c:pt idx="0">
                  <c:v>-2.7900308254424334E-2</c:v>
                </c:pt>
                <c:pt idx="1">
                  <c:v>0.13044969826566172</c:v>
                </c:pt>
                <c:pt idx="2">
                  <c:v>0.28851875138101774</c:v>
                </c:pt>
                <c:pt idx="3">
                  <c:v>0.442530187658425</c:v>
                </c:pt>
                <c:pt idx="4">
                  <c:v>0.59816419851295677</c:v>
                </c:pt>
                <c:pt idx="5">
                  <c:v>0.72130710549759536</c:v>
                </c:pt>
                <c:pt idx="6">
                  <c:v>0.8257462307545399</c:v>
                </c:pt>
                <c:pt idx="7">
                  <c:v>0.90851822233131208</c:v>
                </c:pt>
              </c:numCache>
            </c:numRef>
          </c:xVal>
          <c:yVal>
            <c:numRef>
              <c:f>'Wind Tunnel'!$AF$14:$AF$21</c:f>
              <c:numCache>
                <c:formatCode>General</c:formatCode>
                <c:ptCount val="8"/>
                <c:pt idx="0">
                  <c:v>6.9835760663021038E-2</c:v>
                </c:pt>
                <c:pt idx="1">
                  <c:v>6.8491139422100805E-2</c:v>
                </c:pt>
                <c:pt idx="2">
                  <c:v>7.5662615079901227E-2</c:v>
                </c:pt>
                <c:pt idx="3">
                  <c:v>7.8551571617580987E-2</c:v>
                </c:pt>
                <c:pt idx="4">
                  <c:v>9.1733838532046572E-2</c:v>
                </c:pt>
                <c:pt idx="5">
                  <c:v>0.10722251110407362</c:v>
                </c:pt>
                <c:pt idx="6">
                  <c:v>0.12608331280827217</c:v>
                </c:pt>
                <c:pt idx="7">
                  <c:v>0.14938544863706865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F4-4833-A18F-16E604747FA4}"/>
            </c:ext>
          </c:extLst>
        </c:ser>
        <c:ser>
          <c:idx val="2"/>
          <c:order val="2"/>
          <c:tx>
            <c:v>Tail on -2 Degree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bg1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'Wind Tunnel'!$V$25:$V$33</c:f>
              <c:numCache>
                <c:formatCode>General</c:formatCode>
                <c:ptCount val="9"/>
                <c:pt idx="0">
                  <c:v>-7.9953276686860725E-2</c:v>
                </c:pt>
                <c:pt idx="1">
                  <c:v>8.1909421379272901E-2</c:v>
                </c:pt>
                <c:pt idx="2">
                  <c:v>0.23619577333770272</c:v>
                </c:pt>
                <c:pt idx="3">
                  <c:v>0.39543955936624459</c:v>
                </c:pt>
                <c:pt idx="4">
                  <c:v>0.54684397721992528</c:v>
                </c:pt>
                <c:pt idx="5">
                  <c:v>0.67010137375760304</c:v>
                </c:pt>
                <c:pt idx="6">
                  <c:v>0.7808291686431712</c:v>
                </c:pt>
                <c:pt idx="7">
                  <c:v>0.83251623567029309</c:v>
                </c:pt>
                <c:pt idx="8">
                  <c:v>0.87305688086457156</c:v>
                </c:pt>
              </c:numCache>
            </c:numRef>
          </c:xVal>
          <c:yVal>
            <c:numRef>
              <c:f>'Wind Tunnel'!$AF$25:$AF$33</c:f>
              <c:numCache>
                <c:formatCode>General</c:formatCode>
                <c:ptCount val="9"/>
                <c:pt idx="0">
                  <c:v>7.3744946824400789E-2</c:v>
                </c:pt>
                <c:pt idx="1">
                  <c:v>7.0748687174727765E-2</c:v>
                </c:pt>
                <c:pt idx="2">
                  <c:v>7.165652333679709E-2</c:v>
                </c:pt>
                <c:pt idx="3">
                  <c:v>7.8164742384398717E-2</c:v>
                </c:pt>
                <c:pt idx="4">
                  <c:v>8.6977461346313206E-2</c:v>
                </c:pt>
                <c:pt idx="5">
                  <c:v>0.10186611862790415</c:v>
                </c:pt>
                <c:pt idx="6">
                  <c:v>0.11924172220531498</c:v>
                </c:pt>
                <c:pt idx="7">
                  <c:v>0.13047263040662666</c:v>
                </c:pt>
                <c:pt idx="8">
                  <c:v>0.1441130467895107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F4-4833-A18F-16E604747FA4}"/>
            </c:ext>
          </c:extLst>
        </c:ser>
        <c:ser>
          <c:idx val="3"/>
          <c:order val="3"/>
          <c:tx>
            <c:v>Glide Test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'Wind Tunnel'!$BG$3:$BG$13</c:f>
              <c:numCache>
                <c:formatCode>General</c:formatCode>
                <c:ptCount val="11"/>
                <c:pt idx="0">
                  <c:v>0.33718210552496508</c:v>
                </c:pt>
                <c:pt idx="1">
                  <c:v>0.34566434286707748</c:v>
                </c:pt>
                <c:pt idx="2">
                  <c:v>0.28894717313949991</c:v>
                </c:pt>
                <c:pt idx="3">
                  <c:v>0.28894717313949991</c:v>
                </c:pt>
                <c:pt idx="4">
                  <c:v>0.22122517943492961</c:v>
                </c:pt>
                <c:pt idx="5">
                  <c:v>0.17172868049830547</c:v>
                </c:pt>
                <c:pt idx="6">
                  <c:v>0.16727801847631729</c:v>
                </c:pt>
                <c:pt idx="7">
                  <c:v>0.12793313735050649</c:v>
                </c:pt>
                <c:pt idx="8">
                  <c:v>0.39328920788431926</c:v>
                </c:pt>
                <c:pt idx="9">
                  <c:v>0.12138555798898744</c:v>
                </c:pt>
                <c:pt idx="10">
                  <c:v>0.19143336240989037</c:v>
                </c:pt>
              </c:numCache>
            </c:numRef>
          </c:xVal>
          <c:yVal>
            <c:numRef>
              <c:f>'Wind Tunnel'!$BH$3:$BH$13</c:f>
              <c:numCache>
                <c:formatCode>General</c:formatCode>
                <c:ptCount val="11"/>
                <c:pt idx="0">
                  <c:v>1.8925316955655764E-2</c:v>
                </c:pt>
                <c:pt idx="1">
                  <c:v>1.9827267843100536E-2</c:v>
                </c:pt>
                <c:pt idx="2">
                  <c:v>1.713533818295284E-2</c:v>
                </c:pt>
                <c:pt idx="3">
                  <c:v>1.782747145073486E-2</c:v>
                </c:pt>
                <c:pt idx="4">
                  <c:v>1.5284659175408995E-2</c:v>
                </c:pt>
                <c:pt idx="5">
                  <c:v>1.6362064520921003E-2</c:v>
                </c:pt>
                <c:pt idx="6">
                  <c:v>1.483292495828239E-2</c:v>
                </c:pt>
                <c:pt idx="7">
                  <c:v>1.4217588093557526E-2</c:v>
                </c:pt>
                <c:pt idx="8">
                  <c:v>2.0625394053419632E-2</c:v>
                </c:pt>
                <c:pt idx="9">
                  <c:v>2.3577268008024274E-2</c:v>
                </c:pt>
                <c:pt idx="10">
                  <c:v>1.850175041474364E-2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89-474E-A0CF-FF5DB0656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80207"/>
        <c:axId val="446473263"/>
      </c:scatterChart>
      <c:valAx>
        <c:axId val="446480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C</a:t>
                </a:r>
                <a:r>
                  <a:rPr lang="en-GB" sz="1400" baseline="-25000">
                    <a:solidFill>
                      <a:schemeClr val="tx1"/>
                    </a:solidFill>
                  </a:rPr>
                  <a:t>L</a:t>
                </a:r>
              </a:p>
            </c:rich>
          </c:tx>
          <c:layout>
            <c:manualLayout>
              <c:xMode val="edge"/>
              <c:yMode val="edge"/>
              <c:x val="0.4620045930907164"/>
              <c:y val="0.920176647103190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73263"/>
        <c:crosses val="autoZero"/>
        <c:crossBetween val="midCat"/>
      </c:valAx>
      <c:valAx>
        <c:axId val="4464732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C</a:t>
                </a:r>
                <a:r>
                  <a:rPr lang="en-GB" sz="1400" baseline="-25000">
                    <a:solidFill>
                      <a:schemeClr val="tx1"/>
                    </a:solidFill>
                  </a:rPr>
                  <a:t>D</a:t>
                </a:r>
              </a:p>
            </c:rich>
          </c:tx>
          <c:layout>
            <c:manualLayout>
              <c:xMode val="edge"/>
              <c:yMode val="edge"/>
              <c:x val="2.0631936072355739E-3"/>
              <c:y val="0.3686566095719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80207"/>
        <c:crossesAt val="-0.2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390518363095128"/>
          <c:y val="2.8225640606708877E-2"/>
          <c:w val="0.14966090315182787"/>
          <c:h val="0.2042580541401283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340848384701156E-2"/>
          <c:y val="8.5765696831070215E-2"/>
          <c:w val="0.91657932572351719"/>
          <c:h val="0.83849424175032772"/>
        </c:manualLayout>
      </c:layout>
      <c:scatterChart>
        <c:scatterStyle val="lineMarker"/>
        <c:varyColors val="0"/>
        <c:ser>
          <c:idx val="0"/>
          <c:order val="0"/>
          <c:tx>
            <c:v>Tail-Off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758984525706768E-2"/>
                  <c:y val="-0.369214957378858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percentage"/>
            <c:noEndCap val="0"/>
            <c:val val="3.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'Wind Tunnel'!$V$3:$V$10</c:f>
              <c:numCache>
                <c:formatCode>General</c:formatCode>
                <c:ptCount val="8"/>
                <c:pt idx="0">
                  <c:v>3.6563276871415961E-4</c:v>
                </c:pt>
                <c:pt idx="1">
                  <c:v>0.13422650394900151</c:v>
                </c:pt>
                <c:pt idx="2">
                  <c:v>0.27202527754922773</c:v>
                </c:pt>
                <c:pt idx="3">
                  <c:v>0.40725300804978026</c:v>
                </c:pt>
                <c:pt idx="4">
                  <c:v>0.53714118975746716</c:v>
                </c:pt>
                <c:pt idx="5">
                  <c:v>0.64052218121012983</c:v>
                </c:pt>
                <c:pt idx="6">
                  <c:v>0.73078828838100296</c:v>
                </c:pt>
                <c:pt idx="7">
                  <c:v>0.80425842061917496</c:v>
                </c:pt>
              </c:numCache>
            </c:numRef>
          </c:xVal>
          <c:yVal>
            <c:numRef>
              <c:f>'Wind Tunnel'!$AE$3:$AE$10</c:f>
              <c:numCache>
                <c:formatCode>General</c:formatCode>
                <c:ptCount val="8"/>
                <c:pt idx="0">
                  <c:v>5.7565360795994534E-3</c:v>
                </c:pt>
                <c:pt idx="1">
                  <c:v>2.0528405229667306</c:v>
                </c:pt>
                <c:pt idx="2">
                  <c:v>3.9496063582102146</c:v>
                </c:pt>
                <c:pt idx="3">
                  <c:v>5.4469971419329788</c:v>
                </c:pt>
                <c:pt idx="4">
                  <c:v>6.414077477417937</c:v>
                </c:pt>
                <c:pt idx="5">
                  <c:v>6.6018107960579746</c:v>
                </c:pt>
                <c:pt idx="6">
                  <c:v>6.3261292673009226</c:v>
                </c:pt>
                <c:pt idx="7">
                  <c:v>6.1059900746517419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54E-4B55-9D60-DB4B5D296E9B}"/>
            </c:ext>
          </c:extLst>
        </c:ser>
        <c:ser>
          <c:idx val="1"/>
          <c:order val="1"/>
          <c:tx>
            <c:v>Tail 1 Degree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1334247043004056E-2"/>
                  <c:y val="-0.228618588709488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percentage"/>
            <c:noEndCap val="0"/>
            <c:val val="3.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'Wind Tunnel'!$V$14:$V$21</c:f>
              <c:numCache>
                <c:formatCode>General</c:formatCode>
                <c:ptCount val="8"/>
                <c:pt idx="0">
                  <c:v>-2.7900308254424334E-2</c:v>
                </c:pt>
                <c:pt idx="1">
                  <c:v>0.13044969826566172</c:v>
                </c:pt>
                <c:pt idx="2">
                  <c:v>0.28851875138101774</c:v>
                </c:pt>
                <c:pt idx="3">
                  <c:v>0.442530187658425</c:v>
                </c:pt>
                <c:pt idx="4">
                  <c:v>0.59816419851295677</c:v>
                </c:pt>
                <c:pt idx="5">
                  <c:v>0.72130710549759536</c:v>
                </c:pt>
                <c:pt idx="6">
                  <c:v>0.8257462307545399</c:v>
                </c:pt>
                <c:pt idx="7">
                  <c:v>0.90851822233131208</c:v>
                </c:pt>
              </c:numCache>
            </c:numRef>
          </c:xVal>
          <c:yVal>
            <c:numRef>
              <c:f>'Wind Tunnel'!$AE$14:$AE$21</c:f>
              <c:numCache>
                <c:formatCode>General</c:formatCode>
                <c:ptCount val="8"/>
                <c:pt idx="0">
                  <c:v>-0.39951320053706979</c:v>
                </c:pt>
                <c:pt idx="1">
                  <c:v>1.9046215228180019</c:v>
                </c:pt>
                <c:pt idx="2">
                  <c:v>3.8132273260227154</c:v>
                </c:pt>
                <c:pt idx="3">
                  <c:v>5.63362614579923</c:v>
                </c:pt>
                <c:pt idx="4">
                  <c:v>6.5206493926883082</c:v>
                </c:pt>
                <c:pt idx="5">
                  <c:v>6.727198403304242</c:v>
                </c:pt>
                <c:pt idx="6">
                  <c:v>6.5492110919563631</c:v>
                </c:pt>
                <c:pt idx="7">
                  <c:v>6.0817049493123889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54E-4B55-9D60-DB4B5D296E9B}"/>
            </c:ext>
          </c:extLst>
        </c:ser>
        <c:ser>
          <c:idx val="2"/>
          <c:order val="2"/>
          <c:tx>
            <c:v>Tail on -2 Degree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bg1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2">
                    <a:lumMod val="75000"/>
                    <a:lumOff val="2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1246499084574102E-2"/>
                  <c:y val="-0.120228559671936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percentage"/>
            <c:noEndCap val="0"/>
            <c:val val="3.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'Wind Tunnel'!$V$25:$V$33</c:f>
              <c:numCache>
                <c:formatCode>General</c:formatCode>
                <c:ptCount val="9"/>
                <c:pt idx="0">
                  <c:v>-7.9953276686860725E-2</c:v>
                </c:pt>
                <c:pt idx="1">
                  <c:v>8.1909421379272901E-2</c:v>
                </c:pt>
                <c:pt idx="2">
                  <c:v>0.23619577333770272</c:v>
                </c:pt>
                <c:pt idx="3">
                  <c:v>0.39543955936624459</c:v>
                </c:pt>
                <c:pt idx="4">
                  <c:v>0.54684397721992528</c:v>
                </c:pt>
                <c:pt idx="5">
                  <c:v>0.67010137375760304</c:v>
                </c:pt>
                <c:pt idx="6">
                  <c:v>0.7808291686431712</c:v>
                </c:pt>
                <c:pt idx="7">
                  <c:v>0.83251623567029309</c:v>
                </c:pt>
                <c:pt idx="8">
                  <c:v>0.87305688086457156</c:v>
                </c:pt>
              </c:numCache>
            </c:numRef>
          </c:xVal>
          <c:yVal>
            <c:numRef>
              <c:f>'Wind Tunnel'!$AE$25:$AE$33</c:f>
              <c:numCache>
                <c:formatCode>General</c:formatCode>
                <c:ptCount val="9"/>
                <c:pt idx="0">
                  <c:v>-1.0841865121584944</c:v>
                </c:pt>
                <c:pt idx="1">
                  <c:v>1.1577518205670942</c:v>
                </c:pt>
                <c:pt idx="2">
                  <c:v>3.2962215069735508</c:v>
                </c:pt>
                <c:pt idx="3">
                  <c:v>5.0590528069746741</c:v>
                </c:pt>
                <c:pt idx="4">
                  <c:v>6.287191747786105</c:v>
                </c:pt>
                <c:pt idx="5">
                  <c:v>6.578255682886522</c:v>
                </c:pt>
                <c:pt idx="6">
                  <c:v>6.5482882518143235</c:v>
                </c:pt>
                <c:pt idx="7">
                  <c:v>6.3807729872211567</c:v>
                </c:pt>
                <c:pt idx="8">
                  <c:v>6.0581390811877363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54E-4B55-9D60-DB4B5D296E9B}"/>
            </c:ext>
          </c:extLst>
        </c:ser>
        <c:ser>
          <c:idx val="3"/>
          <c:order val="3"/>
          <c:tx>
            <c:v>Glide Test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dash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9109551230621514"/>
                  <c:y val="-0.122509106382182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percentage"/>
            <c:noEndCap val="0"/>
            <c:val val="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2.200000000000000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'Wind Tunnel'!$BG$3:$BG$13</c:f>
              <c:numCache>
                <c:formatCode>General</c:formatCode>
                <c:ptCount val="11"/>
                <c:pt idx="0">
                  <c:v>0.33718210552496508</c:v>
                </c:pt>
                <c:pt idx="1">
                  <c:v>0.34566434286707748</c:v>
                </c:pt>
                <c:pt idx="2">
                  <c:v>0.28894717313949991</c:v>
                </c:pt>
                <c:pt idx="3">
                  <c:v>0.28894717313949991</c:v>
                </c:pt>
                <c:pt idx="4">
                  <c:v>0.22122517943492961</c:v>
                </c:pt>
                <c:pt idx="5">
                  <c:v>0.17172868049830547</c:v>
                </c:pt>
                <c:pt idx="6">
                  <c:v>0.16727801847631729</c:v>
                </c:pt>
                <c:pt idx="7">
                  <c:v>0.12793313735050649</c:v>
                </c:pt>
                <c:pt idx="8">
                  <c:v>0.39328920788431926</c:v>
                </c:pt>
                <c:pt idx="9">
                  <c:v>0.12138555798898744</c:v>
                </c:pt>
                <c:pt idx="10">
                  <c:v>0.19143336240989037</c:v>
                </c:pt>
              </c:numCache>
            </c:numRef>
          </c:xVal>
          <c:yVal>
            <c:numRef>
              <c:f>'Wind Tunnel'!$BF$3:$BF$13</c:f>
              <c:numCache>
                <c:formatCode>General</c:formatCode>
                <c:ptCount val="11"/>
                <c:pt idx="0">
                  <c:v>17.81645751640632</c:v>
                </c:pt>
                <c:pt idx="1">
                  <c:v>17.433785915559781</c:v>
                </c:pt>
                <c:pt idx="2">
                  <c:v>16.86264782488858</c:v>
                </c:pt>
                <c:pt idx="3">
                  <c:v>16.20797284337198</c:v>
                </c:pt>
                <c:pt idx="4">
                  <c:v>14.473674348647029</c:v>
                </c:pt>
                <c:pt idx="5">
                  <c:v>10.495538645427555</c:v>
                </c:pt>
                <c:pt idx="6">
                  <c:v>11.27748026412773</c:v>
                </c:pt>
                <c:pt idx="7">
                  <c:v>8.9982306779922361</c:v>
                </c:pt>
                <c:pt idx="8">
                  <c:v>19.068203345143509</c:v>
                </c:pt>
                <c:pt idx="9">
                  <c:v>5.1484149031887467</c:v>
                </c:pt>
                <c:pt idx="10">
                  <c:v>10.34677033894811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54E-4B55-9D60-DB4B5D296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20831"/>
        <c:axId val="81722751"/>
      </c:scatterChart>
      <c:valAx>
        <c:axId val="81720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C</a:t>
                </a:r>
                <a:r>
                  <a:rPr lang="en-GB" sz="1400" b="0" i="0" u="none" strike="noStrike" kern="1200" baseline="-250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</a:t>
                </a:r>
              </a:p>
            </c:rich>
          </c:tx>
          <c:layout>
            <c:manualLayout>
              <c:xMode val="edge"/>
              <c:yMode val="edge"/>
              <c:x val="0.44886663697942397"/>
              <c:y val="0.93593651951501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22751"/>
        <c:crossesAt val="-5"/>
        <c:crossBetween val="midCat"/>
      </c:valAx>
      <c:valAx>
        <c:axId val="817227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L/D</a:t>
                </a:r>
              </a:p>
            </c:rich>
          </c:tx>
          <c:layout>
            <c:manualLayout>
              <c:xMode val="edge"/>
              <c:yMode val="edge"/>
              <c:x val="6.0805797479538517E-3"/>
              <c:y val="0.406873062409696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20831"/>
        <c:crossesAt val="-0.2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0637590228049818"/>
          <c:y val="1.5143855120849524E-2"/>
          <c:w val="0.10620626683755037"/>
          <c:h val="0.515354178648748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371829408455925E-2"/>
          <c:y val="3.0726139200124979E-2"/>
          <c:w val="0.89941371416122695"/>
          <c:h val="0.84540352551495246"/>
        </c:manualLayout>
      </c:layout>
      <c:scatterChart>
        <c:scatterStyle val="lineMarker"/>
        <c:varyColors val="0"/>
        <c:ser>
          <c:idx val="0"/>
          <c:order val="0"/>
          <c:tx>
            <c:v>Tail Off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5">
                    <a:lumMod val="60000"/>
                    <a:lumOff val="40000"/>
                  </a:schemeClr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525953019487683"/>
                  <c:y val="0.41505939047900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percentage"/>
            <c:noEndCap val="0"/>
            <c:val val="3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2.9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'Wind Tunnel'!$X$3:$X$10</c:f>
              <c:numCache>
                <c:formatCode>General</c:formatCode>
                <c:ptCount val="8"/>
                <c:pt idx="0">
                  <c:v>1.3368732155758215E-7</c:v>
                </c:pt>
                <c:pt idx="1">
                  <c:v>1.801675436237132E-2</c:v>
                </c:pt>
                <c:pt idx="2">
                  <c:v>7.3997751625734381E-2</c:v>
                </c:pt>
                <c:pt idx="3">
                  <c:v>0.1658550125655944</c:v>
                </c:pt>
                <c:pt idx="4">
                  <c:v>0.28852065773406732</c:v>
                </c:pt>
                <c:pt idx="5">
                  <c:v>0.41026866462218237</c:v>
                </c:pt>
                <c:pt idx="6">
                  <c:v>0.53405152243483589</c:v>
                </c:pt>
                <c:pt idx="7">
                  <c:v>0.64683160713684973</c:v>
                </c:pt>
              </c:numCache>
            </c:numRef>
          </c:xVal>
          <c:yVal>
            <c:numRef>
              <c:f>'Wind Tunnel'!$AF$3:$AF$10</c:f>
              <c:numCache>
                <c:formatCode>General</c:formatCode>
                <c:ptCount val="8"/>
                <c:pt idx="0">
                  <c:v>6.351610823910632E-2</c:v>
                </c:pt>
                <c:pt idx="1">
                  <c:v>6.5385743533072721E-2</c:v>
                </c:pt>
                <c:pt idx="2">
                  <c:v>6.8874022593101519E-2</c:v>
                </c:pt>
                <c:pt idx="3">
                  <c:v>7.4766517667982133E-2</c:v>
                </c:pt>
                <c:pt idx="4">
                  <c:v>8.374410687251313E-2</c:v>
                </c:pt>
                <c:pt idx="5">
                  <c:v>9.7022196030306374E-2</c:v>
                </c:pt>
                <c:pt idx="6">
                  <c:v>0.11551902553720622</c:v>
                </c:pt>
                <c:pt idx="7">
                  <c:v>0.13171630002445528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0-4FC3-827E-012B8A0529F4}"/>
            </c:ext>
          </c:extLst>
        </c:ser>
        <c:ser>
          <c:idx val="1"/>
          <c:order val="1"/>
          <c:tx>
            <c:v>Tail on 1 Degree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0119675596519404E-2"/>
                  <c:y val="0.543994107249310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percentage"/>
            <c:noEndCap val="0"/>
            <c:val val="3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2.9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'Wind Tunnel'!$X$14:$X$21</c:f>
              <c:numCache>
                <c:formatCode>General</c:formatCode>
                <c:ptCount val="8"/>
                <c:pt idx="0">
                  <c:v>7.7842720069189869E-4</c:v>
                </c:pt>
                <c:pt idx="1">
                  <c:v>1.7017123777602186E-2</c:v>
                </c:pt>
                <c:pt idx="2">
                  <c:v>8.3243069898461516E-2</c:v>
                </c:pt>
                <c:pt idx="3">
                  <c:v>0.19583296698900085</c:v>
                </c:pt>
                <c:pt idx="4">
                  <c:v>0.35780040838264793</c:v>
                </c:pt>
                <c:pt idx="5">
                  <c:v>0.5202839404413192</c:v>
                </c:pt>
                <c:pt idx="6">
                  <c:v>0.68185683760532989</c:v>
                </c:pt>
                <c:pt idx="7">
                  <c:v>0.82540536030804745</c:v>
                </c:pt>
              </c:numCache>
            </c:numRef>
          </c:xVal>
          <c:yVal>
            <c:numRef>
              <c:f>'Wind Tunnel'!$AF$14:$AF$21</c:f>
              <c:numCache>
                <c:formatCode>General</c:formatCode>
                <c:ptCount val="8"/>
                <c:pt idx="0">
                  <c:v>6.9835760663021038E-2</c:v>
                </c:pt>
                <c:pt idx="1">
                  <c:v>6.8491139422100805E-2</c:v>
                </c:pt>
                <c:pt idx="2">
                  <c:v>7.5662615079901227E-2</c:v>
                </c:pt>
                <c:pt idx="3">
                  <c:v>7.8551571617580987E-2</c:v>
                </c:pt>
                <c:pt idx="4">
                  <c:v>9.1733838532046572E-2</c:v>
                </c:pt>
                <c:pt idx="5">
                  <c:v>0.10722251110407362</c:v>
                </c:pt>
                <c:pt idx="6">
                  <c:v>0.12608331280827217</c:v>
                </c:pt>
                <c:pt idx="7">
                  <c:v>0.14938544863706865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0-4FC3-827E-012B8A0529F4}"/>
            </c:ext>
          </c:extLst>
        </c:ser>
        <c:ser>
          <c:idx val="2"/>
          <c:order val="2"/>
          <c:tx>
            <c:v>Tail on -2 Degree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2">
                    <a:lumMod val="75000"/>
                    <a:lumOff val="2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1455959863352194E-2"/>
                  <c:y val="0.572794510087069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percentage"/>
            <c:noEndCap val="0"/>
            <c:val val="3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2.9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'Wind Tunnel'!$X$25:$X$33</c:f>
              <c:numCache>
                <c:formatCode>General</c:formatCode>
                <c:ptCount val="9"/>
                <c:pt idx="0">
                  <c:v>6.3925264529657065E-3</c:v>
                </c:pt>
                <c:pt idx="1">
                  <c:v>6.7091533106872882E-3</c:v>
                </c:pt>
                <c:pt idx="2">
                  <c:v>5.5788443342595438E-2</c:v>
                </c:pt>
                <c:pt idx="3">
                  <c:v>0.15637244511176968</c:v>
                </c:pt>
                <c:pt idx="4">
                  <c:v>0.29903833542170616</c:v>
                </c:pt>
                <c:pt idx="5">
                  <c:v>0.44903585111182681</c:v>
                </c:pt>
                <c:pt idx="6">
                  <c:v>0.60969419060398589</c:v>
                </c:pt>
                <c:pt idx="7">
                  <c:v>0.69308328265463504</c:v>
                </c:pt>
                <c:pt idx="8">
                  <c:v>0.76222831722497475</c:v>
                </c:pt>
              </c:numCache>
            </c:numRef>
          </c:xVal>
          <c:yVal>
            <c:numRef>
              <c:f>'Wind Tunnel'!$AF$25:$AF$33</c:f>
              <c:numCache>
                <c:formatCode>General</c:formatCode>
                <c:ptCount val="9"/>
                <c:pt idx="0">
                  <c:v>7.3744946824400789E-2</c:v>
                </c:pt>
                <c:pt idx="1">
                  <c:v>7.0748687174727765E-2</c:v>
                </c:pt>
                <c:pt idx="2">
                  <c:v>7.165652333679709E-2</c:v>
                </c:pt>
                <c:pt idx="3">
                  <c:v>7.8164742384398717E-2</c:v>
                </c:pt>
                <c:pt idx="4">
                  <c:v>8.6977461346313206E-2</c:v>
                </c:pt>
                <c:pt idx="5">
                  <c:v>0.10186611862790415</c:v>
                </c:pt>
                <c:pt idx="6">
                  <c:v>0.11924172220531498</c:v>
                </c:pt>
                <c:pt idx="7">
                  <c:v>0.13047263040662666</c:v>
                </c:pt>
                <c:pt idx="8">
                  <c:v>0.1441130467895107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70-4FC3-827E-012B8A0529F4}"/>
            </c:ext>
          </c:extLst>
        </c:ser>
        <c:ser>
          <c:idx val="3"/>
          <c:order val="3"/>
          <c:tx>
            <c:v>Glide Test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dash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63861216085161288"/>
                  <c:y val="1.17482555314763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'Wind Tunnel'!$BI$3:$BI$13</c:f>
              <c:numCache>
                <c:formatCode>General</c:formatCode>
                <c:ptCount val="11"/>
                <c:pt idx="0">
                  <c:v>0.11369177228624869</c:v>
                </c:pt>
                <c:pt idx="1">
                  <c:v>0.1194838379297285</c:v>
                </c:pt>
                <c:pt idx="2">
                  <c:v>8.3490468865308143E-2</c:v>
                </c:pt>
                <c:pt idx="3">
                  <c:v>8.3490468865308143E-2</c:v>
                </c:pt>
                <c:pt idx="4">
                  <c:v>4.8940580016016803E-2</c:v>
                </c:pt>
                <c:pt idx="5">
                  <c:v>2.9490739705689082E-2</c:v>
                </c:pt>
                <c:pt idx="6">
                  <c:v>2.798193546536315E-2</c:v>
                </c:pt>
                <c:pt idx="7">
                  <c:v>1.636688763234356E-2</c:v>
                </c:pt>
                <c:pt idx="8">
                  <c:v>0.15467640103827529</c:v>
                </c:pt>
                <c:pt idx="9">
                  <c:v>1.4734453688297832E-2</c:v>
                </c:pt>
                <c:pt idx="10">
                  <c:v>3.6646732243556426E-2</c:v>
                </c:pt>
              </c:numCache>
            </c:numRef>
          </c:xVal>
          <c:yVal>
            <c:numRef>
              <c:f>'Wind Tunnel'!$BH$3:$BH$13</c:f>
              <c:numCache>
                <c:formatCode>General</c:formatCode>
                <c:ptCount val="11"/>
                <c:pt idx="0">
                  <c:v>1.8925316955655764E-2</c:v>
                </c:pt>
                <c:pt idx="1">
                  <c:v>1.9827267843100536E-2</c:v>
                </c:pt>
                <c:pt idx="2">
                  <c:v>1.713533818295284E-2</c:v>
                </c:pt>
                <c:pt idx="3">
                  <c:v>1.782747145073486E-2</c:v>
                </c:pt>
                <c:pt idx="4">
                  <c:v>1.5284659175408995E-2</c:v>
                </c:pt>
                <c:pt idx="5">
                  <c:v>1.6362064520921003E-2</c:v>
                </c:pt>
                <c:pt idx="6">
                  <c:v>1.483292495828239E-2</c:v>
                </c:pt>
                <c:pt idx="7">
                  <c:v>1.4217588093557526E-2</c:v>
                </c:pt>
                <c:pt idx="8">
                  <c:v>2.0625394053419632E-2</c:v>
                </c:pt>
                <c:pt idx="9">
                  <c:v>2.3577268008024274E-2</c:v>
                </c:pt>
                <c:pt idx="10">
                  <c:v>1.850175041474364E-2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70-4FC3-827E-012B8A052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80207"/>
        <c:axId val="446473263"/>
      </c:scatterChart>
      <c:valAx>
        <c:axId val="446480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u="none" strike="noStrike" kern="1200" baseline="0">
                    <a:solidFill>
                      <a:schemeClr val="tx1"/>
                    </a:solidFill>
                  </a:rPr>
                  <a:t>C</a:t>
                </a:r>
                <a:r>
                  <a:rPr lang="en-GB" sz="1400" b="0" i="0" u="none" strike="noStrike" kern="1200" baseline="-25000">
                    <a:solidFill>
                      <a:schemeClr val="tx1"/>
                    </a:solidFill>
                  </a:rPr>
                  <a:t>L</a:t>
                </a:r>
                <a:r>
                  <a:rPr lang="en-GB" sz="1000" b="0" i="0" u="none" strike="noStrike" kern="1200" baseline="30000">
                    <a:solidFill>
                      <a:schemeClr val="tx1"/>
                    </a:solidFill>
                  </a:rPr>
                  <a:t>2</a:t>
                </a:r>
              </a:p>
            </c:rich>
          </c:tx>
          <c:layout>
            <c:manualLayout>
              <c:xMode val="edge"/>
              <c:yMode val="edge"/>
              <c:x val="0.51809412188749249"/>
              <c:y val="0.92409597426804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73263"/>
        <c:crosses val="autoZero"/>
        <c:crossBetween val="midCat"/>
      </c:valAx>
      <c:valAx>
        <c:axId val="4464732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u="none" strike="noStrike" kern="1200" baseline="0">
                    <a:solidFill>
                      <a:schemeClr val="tx1"/>
                    </a:solidFill>
                  </a:rPr>
                  <a:t>C</a:t>
                </a:r>
                <a:r>
                  <a:rPr lang="en-GB" sz="1400" b="0" i="0" u="none" strike="noStrike" kern="1200" baseline="-25000">
                    <a:solidFill>
                      <a:schemeClr val="tx1"/>
                    </a:solidFill>
                  </a:rPr>
                  <a:t>D</a:t>
                </a:r>
              </a:p>
            </c:rich>
          </c:tx>
          <c:layout>
            <c:manualLayout>
              <c:xMode val="edge"/>
              <c:yMode val="edge"/>
              <c:x val="9.1050994157141369E-3"/>
              <c:y val="0.378557799811484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80207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97504367953694"/>
          <c:y val="0.39675482557395542"/>
          <c:w val="0.27436604636902945"/>
          <c:h val="0.411026887413969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78979474220529E-2"/>
          <c:y val="2.5464595512328814E-2"/>
          <c:w val="0.9221628126796293"/>
          <c:h val="0.92172091419037994"/>
        </c:manualLayout>
      </c:layout>
      <c:scatterChart>
        <c:scatterStyle val="smoothMarker"/>
        <c:varyColors val="0"/>
        <c:ser>
          <c:idx val="0"/>
          <c:order val="0"/>
          <c:tx>
            <c:v>Tail-off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9688027124279084E-2"/>
                  <c:y val="-3.2516661952621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'Wind Tunnel'!$V$3:$V$10</c:f>
              <c:numCache>
                <c:formatCode>General</c:formatCode>
                <c:ptCount val="8"/>
                <c:pt idx="0">
                  <c:v>3.6563276871415961E-4</c:v>
                </c:pt>
                <c:pt idx="1">
                  <c:v>0.13422650394900151</c:v>
                </c:pt>
                <c:pt idx="2">
                  <c:v>0.27202527754922773</c:v>
                </c:pt>
                <c:pt idx="3">
                  <c:v>0.40725300804978026</c:v>
                </c:pt>
                <c:pt idx="4">
                  <c:v>0.53714118975746716</c:v>
                </c:pt>
                <c:pt idx="5">
                  <c:v>0.64052218121012983</c:v>
                </c:pt>
                <c:pt idx="6">
                  <c:v>0.73078828838100296</c:v>
                </c:pt>
                <c:pt idx="7">
                  <c:v>0.80425842061917496</c:v>
                </c:pt>
              </c:numCache>
              <c:extLst xmlns:c15="http://schemas.microsoft.com/office/drawing/2012/chart"/>
            </c:numRef>
          </c:xVal>
          <c:yVal>
            <c:numRef>
              <c:f>'Wind Tunnel'!$AP$3:$AP$10</c:f>
              <c:numCache>
                <c:formatCode>General</c:formatCode>
                <c:ptCount val="8"/>
                <c:pt idx="0">
                  <c:v>-3.8449804642539456E-2</c:v>
                </c:pt>
                <c:pt idx="1">
                  <c:v>-1.9411328306440857E-2</c:v>
                </c:pt>
                <c:pt idx="2">
                  <c:v>4.5242817531750759E-3</c:v>
                </c:pt>
                <c:pt idx="3">
                  <c:v>2.9419940032584344E-2</c:v>
                </c:pt>
                <c:pt idx="4">
                  <c:v>5.8543433175623223E-2</c:v>
                </c:pt>
                <c:pt idx="5">
                  <c:v>8.6446689740872204E-2</c:v>
                </c:pt>
                <c:pt idx="6">
                  <c:v>0.1116343699748558</c:v>
                </c:pt>
                <c:pt idx="7">
                  <c:v>0.13623891713282135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7D9A-4874-998B-0237D0E76E96}"/>
            </c:ext>
          </c:extLst>
        </c:ser>
        <c:ser>
          <c:idx val="1"/>
          <c:order val="1"/>
          <c:tx>
            <c:v>Tail-1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9399218847498982E-2"/>
                  <c:y val="3.03005351018839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'Wind Tunnel'!$V$14:$V$21</c:f>
              <c:numCache>
                <c:formatCode>General</c:formatCode>
                <c:ptCount val="8"/>
                <c:pt idx="0">
                  <c:v>-2.7900308254424334E-2</c:v>
                </c:pt>
                <c:pt idx="1">
                  <c:v>0.13044969826566172</c:v>
                </c:pt>
                <c:pt idx="2">
                  <c:v>0.28851875138101774</c:v>
                </c:pt>
                <c:pt idx="3">
                  <c:v>0.442530187658425</c:v>
                </c:pt>
                <c:pt idx="4">
                  <c:v>0.59816419851295677</c:v>
                </c:pt>
                <c:pt idx="5">
                  <c:v>0.72130710549759536</c:v>
                </c:pt>
                <c:pt idx="6">
                  <c:v>0.8257462307545399</c:v>
                </c:pt>
                <c:pt idx="7">
                  <c:v>0.90851822233131208</c:v>
                </c:pt>
              </c:numCache>
            </c:numRef>
          </c:xVal>
          <c:yVal>
            <c:numRef>
              <c:f>'Wind Tunnel'!$AP$14:$AP$21</c:f>
              <c:numCache>
                <c:formatCode>General</c:formatCode>
                <c:ptCount val="8"/>
                <c:pt idx="0">
                  <c:v>2.334640634833322E-2</c:v>
                </c:pt>
                <c:pt idx="1">
                  <c:v>-4.0865173484610131E-3</c:v>
                </c:pt>
                <c:pt idx="2">
                  <c:v>-2.7304638204560347E-2</c:v>
                </c:pt>
                <c:pt idx="3">
                  <c:v>-4.7930896747910054E-2</c:v>
                </c:pt>
                <c:pt idx="4">
                  <c:v>-7.4444622518943668E-2</c:v>
                </c:pt>
                <c:pt idx="5">
                  <c:v>-9.3070131702168185E-2</c:v>
                </c:pt>
                <c:pt idx="6">
                  <c:v>-0.10480009464755818</c:v>
                </c:pt>
                <c:pt idx="7">
                  <c:v>-0.11683616375050562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9A-4874-998B-0237D0E76E96}"/>
            </c:ext>
          </c:extLst>
        </c:ser>
        <c:ser>
          <c:idx val="2"/>
          <c:order val="2"/>
          <c:tx>
            <c:v>Tail-2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lgDashDot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199854623115446E-2"/>
                  <c:y val="6.65754901514557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'Wind Tunnel'!$V$25:$V$34</c:f>
              <c:numCache>
                <c:formatCode>General</c:formatCode>
                <c:ptCount val="10"/>
                <c:pt idx="0">
                  <c:v>-7.9953276686860725E-2</c:v>
                </c:pt>
                <c:pt idx="1">
                  <c:v>8.1909421379272901E-2</c:v>
                </c:pt>
                <c:pt idx="2">
                  <c:v>0.23619577333770272</c:v>
                </c:pt>
                <c:pt idx="3">
                  <c:v>0.39543955936624459</c:v>
                </c:pt>
                <c:pt idx="4">
                  <c:v>0.54684397721992528</c:v>
                </c:pt>
                <c:pt idx="5">
                  <c:v>0.67010137375760304</c:v>
                </c:pt>
                <c:pt idx="6">
                  <c:v>0.7808291686431712</c:v>
                </c:pt>
                <c:pt idx="7">
                  <c:v>0.83251623567029309</c:v>
                </c:pt>
                <c:pt idx="8">
                  <c:v>0.87305688086457156</c:v>
                </c:pt>
                <c:pt idx="9">
                  <c:v>0.91013373451618296</c:v>
                </c:pt>
              </c:numCache>
            </c:numRef>
          </c:xVal>
          <c:yVal>
            <c:numRef>
              <c:f>'Wind Tunnel'!$AP$25:$AP$39</c:f>
              <c:numCache>
                <c:formatCode>General</c:formatCode>
                <c:ptCount val="15"/>
                <c:pt idx="0">
                  <c:v>0.1367339290228041</c:v>
                </c:pt>
                <c:pt idx="1">
                  <c:v>0.10947921746694513</c:v>
                </c:pt>
                <c:pt idx="2">
                  <c:v>8.1404669421199949E-2</c:v>
                </c:pt>
                <c:pt idx="3">
                  <c:v>6.0425706904307513E-2</c:v>
                </c:pt>
                <c:pt idx="4">
                  <c:v>3.9546220096086881E-2</c:v>
                </c:pt>
                <c:pt idx="5">
                  <c:v>2.3133402025795419E-2</c:v>
                </c:pt>
                <c:pt idx="6">
                  <c:v>-6.4286894514104902E-3</c:v>
                </c:pt>
                <c:pt idx="7">
                  <c:v>-1.8018195546412777E-2</c:v>
                </c:pt>
                <c:pt idx="8">
                  <c:v>-3.3194750418401912E-2</c:v>
                </c:pt>
                <c:pt idx="9">
                  <c:v>-4.4560081743997018E-2</c:v>
                </c:pt>
                <c:pt idx="10">
                  <c:v>-8.732417984705608E-2</c:v>
                </c:pt>
                <c:pt idx="11">
                  <c:v>-9.6078556901837309E-2</c:v>
                </c:pt>
                <c:pt idx="12">
                  <c:v>-9.4939482309993051E-2</c:v>
                </c:pt>
                <c:pt idx="13">
                  <c:v>-0.17881629482825734</c:v>
                </c:pt>
                <c:pt idx="14">
                  <c:v>-0.23845638088481441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D9A-4874-998B-0237D0E76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121672"/>
        <c:axId val="939127816"/>
        <c:extLst/>
      </c:scatterChart>
      <c:valAx>
        <c:axId val="939121672"/>
        <c:scaling>
          <c:orientation val="minMax"/>
          <c:min val="-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HK" sz="1200" b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Lift</a:t>
                </a:r>
                <a:r>
                  <a:rPr lang="en-HK" sz="1200" b="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Coefficient, C</a:t>
                </a:r>
                <a:r>
                  <a:rPr lang="en-HK" sz="1200" b="0" baseline="-250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</a:t>
                </a:r>
                <a:endParaRPr lang="en-HK" sz="1200" b="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5413517645123513"/>
              <c:y val="0.954130125977799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H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9127816"/>
        <c:crosses val="autoZero"/>
        <c:crossBetween val="midCat"/>
        <c:majorUnit val="0.1"/>
      </c:valAx>
      <c:valAx>
        <c:axId val="939127816"/>
        <c:scaling>
          <c:orientation val="minMax"/>
          <c:max val="0.1500000000000000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HK" sz="12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Moment</a:t>
                </a:r>
                <a:r>
                  <a:rPr lang="en-HK" sz="12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Coefficient, C</a:t>
                </a:r>
                <a:r>
                  <a:rPr lang="en-HK" sz="1200" baseline="-250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</a:t>
                </a:r>
                <a:endParaRPr lang="en-HK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4043114077660105E-2"/>
              <c:y val="0.381115274497427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H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9121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86668002377552833"/>
          <c:y val="6.1062862584499097E-2"/>
          <c:w val="0.1209517890558036"/>
          <c:h val="0.19991650055864515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1765208</xdr:colOff>
      <xdr:row>64</xdr:row>
      <xdr:rowOff>15282</xdr:rowOff>
    </xdr:from>
    <xdr:to>
      <xdr:col>6</xdr:col>
      <xdr:colOff>9054</xdr:colOff>
      <xdr:row>83</xdr:row>
      <xdr:rowOff>47667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82947E-B4C5-4E7C-9D13-77B52974F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9325</xdr:colOff>
      <xdr:row>63</xdr:row>
      <xdr:rowOff>194675</xdr:rowOff>
    </xdr:from>
    <xdr:to>
      <xdr:col>18</xdr:col>
      <xdr:colOff>985083</xdr:colOff>
      <xdr:row>84</xdr:row>
      <xdr:rowOff>146775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A7258D-EED1-483D-A76B-B4DD9B866832}"/>
            </a:ext>
            <a:ext uri="{147F2762-F138-4A5C-976F-8EAC2B608ADB}">
              <a16:predDERef xmlns:a16="http://schemas.microsoft.com/office/drawing/2014/main" pred="{A582947E-B4C5-4E7C-9D13-77B52974FB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266392</xdr:colOff>
      <xdr:row>90</xdr:row>
      <xdr:rowOff>4651</xdr:rowOff>
    </xdr:from>
    <xdr:to>
      <xdr:col>41</xdr:col>
      <xdr:colOff>232833</xdr:colOff>
      <xdr:row>111</xdr:row>
      <xdr:rowOff>42333</xdr:rowOff>
    </xdr:to>
    <xdr:graphicFrame macro="">
      <xdr:nvGraphicFramePr>
        <xdr:cNvPr id="10" name="Chart 3">
          <a:extLst>
            <a:ext uri="{FF2B5EF4-FFF2-40B4-BE49-F238E27FC236}">
              <a16:creationId xmlns:a16="http://schemas.microsoft.com/office/drawing/2014/main" id="{FDA4CD7A-4632-42E5-9E8C-6DF7DFE86EC5}"/>
            </a:ext>
            <a:ext uri="{147F2762-F138-4A5C-976F-8EAC2B608ADB}">
              <a16:predDERef xmlns:a16="http://schemas.microsoft.com/office/drawing/2014/main" pred="{F1A7258D-EED1-483D-A76B-B4DD9B866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5012</xdr:colOff>
      <xdr:row>64</xdr:row>
      <xdr:rowOff>14891</xdr:rowOff>
    </xdr:from>
    <xdr:to>
      <xdr:col>40</xdr:col>
      <xdr:colOff>513221</xdr:colOff>
      <xdr:row>84</xdr:row>
      <xdr:rowOff>155406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2172C22E-8BD6-41AD-8CDE-F2623D7761F5}"/>
            </a:ext>
            <a:ext uri="{147F2762-F138-4A5C-976F-8EAC2B608ADB}">
              <a16:predDERef xmlns:a16="http://schemas.microsoft.com/office/drawing/2014/main" pred="{FDA4CD7A-4632-42E5-9E8C-6DF7DFE86EC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2472</xdr:colOff>
      <xdr:row>85</xdr:row>
      <xdr:rowOff>189508</xdr:rowOff>
    </xdr:from>
    <xdr:to>
      <xdr:col>18</xdr:col>
      <xdr:colOff>1019915</xdr:colOff>
      <xdr:row>107</xdr:row>
      <xdr:rowOff>32779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EA7A3533-FB42-40BC-A4F5-0B6682592E82}"/>
            </a:ext>
            <a:ext uri="{147F2762-F138-4A5C-976F-8EAC2B608ADB}">
              <a16:predDERef xmlns:a16="http://schemas.microsoft.com/office/drawing/2014/main" pred="{2172C22E-8BD6-41AD-8CDE-F2623D7761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46</xdr:col>
      <xdr:colOff>114300</xdr:colOff>
      <xdr:row>61</xdr:row>
      <xdr:rowOff>142875</xdr:rowOff>
    </xdr:from>
    <xdr:to>
      <xdr:col>53</xdr:col>
      <xdr:colOff>419100</xdr:colOff>
      <xdr:row>75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1E32C90-20A4-9E8C-CC67-1DFC9586A3DF}"/>
            </a:ext>
            <a:ext uri="{147F2762-F138-4A5C-976F-8EAC2B608ADB}">
              <a16:predDERef xmlns:a16="http://schemas.microsoft.com/office/drawing/2014/main" pred="{EA7A3533-FB42-40BC-A4F5-0B6682592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1690465</xdr:colOff>
      <xdr:row>28</xdr:row>
      <xdr:rowOff>1867</xdr:rowOff>
    </xdr:from>
    <xdr:to>
      <xdr:col>21</xdr:col>
      <xdr:colOff>522066</xdr:colOff>
      <xdr:row>42</xdr:row>
      <xdr:rowOff>78928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111D2CC-7550-6617-F94B-EA95E8B23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533401</xdr:colOff>
      <xdr:row>27</xdr:row>
      <xdr:rowOff>135466</xdr:rowOff>
    </xdr:from>
    <xdr:to>
      <xdr:col>15</xdr:col>
      <xdr:colOff>1430868</xdr:colOff>
      <xdr:row>42</xdr:row>
      <xdr:rowOff>42333</xdr:rowOff>
    </xdr:to>
    <xdr:graphicFrame macro="">
      <xdr:nvGraphicFramePr>
        <xdr:cNvPr id="4" name="Chart 8">
          <a:extLst>
            <a:ext uri="{FF2B5EF4-FFF2-40B4-BE49-F238E27FC236}">
              <a16:creationId xmlns:a16="http://schemas.microsoft.com/office/drawing/2014/main" id="{D61D0386-709F-73F1-D0D9-FFB267EC1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1765208</xdr:colOff>
      <xdr:row>64</xdr:row>
      <xdr:rowOff>15282</xdr:rowOff>
    </xdr:from>
    <xdr:to>
      <xdr:col>6</xdr:col>
      <xdr:colOff>9054</xdr:colOff>
      <xdr:row>83</xdr:row>
      <xdr:rowOff>47667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C346AA-A88A-4290-E521-21F74080E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9325</xdr:colOff>
      <xdr:row>63</xdr:row>
      <xdr:rowOff>194675</xdr:rowOff>
    </xdr:from>
    <xdr:to>
      <xdr:col>17</xdr:col>
      <xdr:colOff>985083</xdr:colOff>
      <xdr:row>84</xdr:row>
      <xdr:rowOff>146775</xdr:rowOff>
    </xdr:to>
    <xdr:graphicFrame macro="">
      <xdr:nvGraphicFramePr>
        <xdr:cNvPr id="191" name="Chart 2">
          <a:extLst>
            <a:ext uri="{FF2B5EF4-FFF2-40B4-BE49-F238E27FC236}">
              <a16:creationId xmlns:a16="http://schemas.microsoft.com/office/drawing/2014/main" id="{3056EC47-302F-BB46-ABBF-7E5887050B7E}"/>
            </a:ext>
            <a:ext uri="{147F2762-F138-4A5C-976F-8EAC2B608ADB}">
              <a16:predDERef xmlns:a16="http://schemas.microsoft.com/office/drawing/2014/main" pred="{04C346AA-A88A-4290-E521-21F74080EDD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38369</xdr:colOff>
      <xdr:row>85</xdr:row>
      <xdr:rowOff>172317</xdr:rowOff>
    </xdr:from>
    <xdr:to>
      <xdr:col>39</xdr:col>
      <xdr:colOff>304800</xdr:colOff>
      <xdr:row>106</xdr:row>
      <xdr:rowOff>76201</xdr:rowOff>
    </xdr:to>
    <xdr:graphicFrame macro="">
      <xdr:nvGraphicFramePr>
        <xdr:cNvPr id="17" name="Chart 3">
          <a:extLst>
            <a:ext uri="{FF2B5EF4-FFF2-40B4-BE49-F238E27FC236}">
              <a16:creationId xmlns:a16="http://schemas.microsoft.com/office/drawing/2014/main" id="{4D582F67-C0D0-0639-94FB-E74462278F0A}"/>
            </a:ext>
            <a:ext uri="{147F2762-F138-4A5C-976F-8EAC2B608ADB}">
              <a16:predDERef xmlns:a16="http://schemas.microsoft.com/office/drawing/2014/main" pred="{3056EC47-302F-BB46-ABBF-7E5887050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565725</xdr:colOff>
      <xdr:row>57</xdr:row>
      <xdr:rowOff>19837</xdr:rowOff>
    </xdr:from>
    <xdr:to>
      <xdr:col>39</xdr:col>
      <xdr:colOff>389043</xdr:colOff>
      <xdr:row>77</xdr:row>
      <xdr:rowOff>179741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B0C843-6886-483B-B7CA-7BAACBB9C842}"/>
            </a:ext>
            <a:ext uri="{147F2762-F138-4A5C-976F-8EAC2B608ADB}">
              <a16:predDERef xmlns:a16="http://schemas.microsoft.com/office/drawing/2014/main" pred="{4D582F67-C0D0-0639-94FB-E74462278F0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2472</xdr:colOff>
      <xdr:row>85</xdr:row>
      <xdr:rowOff>189508</xdr:rowOff>
    </xdr:from>
    <xdr:to>
      <xdr:col>17</xdr:col>
      <xdr:colOff>1019915</xdr:colOff>
      <xdr:row>107</xdr:row>
      <xdr:rowOff>32779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B274A0-01D4-195F-23AC-DD95407961B1}"/>
            </a:ext>
            <a:ext uri="{147F2762-F138-4A5C-976F-8EAC2B608ADB}">
              <a16:predDERef xmlns:a16="http://schemas.microsoft.com/office/drawing/2014/main" pred="{ACB0C843-6886-483B-B7CA-7BAACBB9C8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26457</xdr:colOff>
      <xdr:row>49</xdr:row>
      <xdr:rowOff>166157</xdr:rowOff>
    </xdr:from>
    <xdr:to>
      <xdr:col>22</xdr:col>
      <xdr:colOff>666750</xdr:colOff>
      <xdr:row>71</xdr:row>
      <xdr:rowOff>67931</xdr:rowOff>
    </xdr:to>
    <xdr:graphicFrame macro="">
      <xdr:nvGraphicFramePr>
        <xdr:cNvPr id="263" name="Chart 1">
          <a:extLst>
            <a:ext uri="{FF2B5EF4-FFF2-40B4-BE49-F238E27FC236}">
              <a16:creationId xmlns:a16="http://schemas.microsoft.com/office/drawing/2014/main" id="{58E76F4E-702D-C164-CCFA-3A12724E91E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44450</xdr:colOff>
      <xdr:row>1</xdr:row>
      <xdr:rowOff>66675</xdr:rowOff>
    </xdr:from>
    <xdr:to>
      <xdr:col>40</xdr:col>
      <xdr:colOff>482600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50BCB0-16A9-75EB-0F60-D64F7E7638BD}"/>
            </a:ext>
            <a:ext uri="{147F2762-F138-4A5C-976F-8EAC2B608ADB}">
              <a16:predDERef xmlns:a16="http://schemas.microsoft.com/office/drawing/2014/main" pred="{92214F73-8CDE-B98B-A858-7E11E2410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585189</xdr:colOff>
      <xdr:row>43</xdr:row>
      <xdr:rowOff>14601</xdr:rowOff>
    </xdr:from>
    <xdr:to>
      <xdr:col>54</xdr:col>
      <xdr:colOff>163286</xdr:colOff>
      <xdr:row>82</xdr:row>
      <xdr:rowOff>125184</xdr:rowOff>
    </xdr:to>
    <xdr:graphicFrame macro="">
      <xdr:nvGraphicFramePr>
        <xdr:cNvPr id="83" name="Chart 4">
          <a:extLst>
            <a:ext uri="{FF2B5EF4-FFF2-40B4-BE49-F238E27FC236}">
              <a16:creationId xmlns:a16="http://schemas.microsoft.com/office/drawing/2014/main" id="{242D2372-6897-463B-8D9D-2F7AFA4CC399}"/>
            </a:ext>
            <a:ext uri="{147F2762-F138-4A5C-976F-8EAC2B608ADB}">
              <a16:predDERef xmlns:a16="http://schemas.microsoft.com/office/drawing/2014/main" pred="{A150BCB0-16A9-75EB-0F60-D64F7E763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507617</xdr:colOff>
      <xdr:row>42</xdr:row>
      <xdr:rowOff>22270</xdr:rowOff>
    </xdr:from>
    <xdr:to>
      <xdr:col>67</xdr:col>
      <xdr:colOff>507619</xdr:colOff>
      <xdr:row>74</xdr:row>
      <xdr:rowOff>67891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FED0F77C-5592-2B88-4EE2-4A0CF3CF5B49}"/>
            </a:ext>
            <a:ext uri="{147F2762-F138-4A5C-976F-8EAC2B608ADB}">
              <a16:predDERef xmlns:a16="http://schemas.microsoft.com/office/drawing/2014/main" pred="{242D2372-6897-463B-8D9D-2F7AFA4CC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534566</xdr:colOff>
      <xdr:row>54</xdr:row>
      <xdr:rowOff>179226</xdr:rowOff>
    </xdr:from>
    <xdr:to>
      <xdr:col>42</xdr:col>
      <xdr:colOff>9622</xdr:colOff>
      <xdr:row>85</xdr:row>
      <xdr:rowOff>171354</xdr:rowOff>
    </xdr:to>
    <xdr:graphicFrame macro="">
      <xdr:nvGraphicFramePr>
        <xdr:cNvPr id="12" name="Chart 6">
          <a:extLst>
            <a:ext uri="{FF2B5EF4-FFF2-40B4-BE49-F238E27FC236}">
              <a16:creationId xmlns:a16="http://schemas.microsoft.com/office/drawing/2014/main" id="{C5A1E8F6-E6E4-9B3D-27D1-F6ECB80D7A6D}"/>
            </a:ext>
            <a:ext uri="{147F2762-F138-4A5C-976F-8EAC2B608ADB}">
              <a16:predDERef xmlns:a16="http://schemas.microsoft.com/office/drawing/2014/main" pred="{FED0F77C-5592-2B88-4EE2-4A0CF3CF5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267511</xdr:colOff>
      <xdr:row>41</xdr:row>
      <xdr:rowOff>72887</xdr:rowOff>
    </xdr:from>
    <xdr:to>
      <xdr:col>26</xdr:col>
      <xdr:colOff>391583</xdr:colOff>
      <xdr:row>59</xdr:row>
      <xdr:rowOff>127000</xdr:rowOff>
    </xdr:to>
    <xdr:graphicFrame macro="">
      <xdr:nvGraphicFramePr>
        <xdr:cNvPr id="6" name="Chart 115">
          <a:extLst>
            <a:ext uri="{FF2B5EF4-FFF2-40B4-BE49-F238E27FC236}">
              <a16:creationId xmlns:a16="http://schemas.microsoft.com/office/drawing/2014/main" id="{CFBE2F11-3D6F-B429-D82A-4396D378A388}"/>
            </a:ext>
            <a:ext uri="{147F2762-F138-4A5C-976F-8EAC2B608ADB}">
              <a16:predDERef xmlns:a16="http://schemas.microsoft.com/office/drawing/2014/main" pred="{C5A1E8F6-E6E4-9B3D-27D1-F6ECB80D7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230455</xdr:colOff>
      <xdr:row>86</xdr:row>
      <xdr:rowOff>41903</xdr:rowOff>
    </xdr:from>
    <xdr:to>
      <xdr:col>29</xdr:col>
      <xdr:colOff>435428</xdr:colOff>
      <xdr:row>114</xdr:row>
      <xdr:rowOff>54428</xdr:rowOff>
    </xdr:to>
    <xdr:graphicFrame macro="">
      <xdr:nvGraphicFramePr>
        <xdr:cNvPr id="10" name="Chart 1">
          <a:extLst>
            <a:ext uri="{FF2B5EF4-FFF2-40B4-BE49-F238E27FC236}">
              <a16:creationId xmlns:a16="http://schemas.microsoft.com/office/drawing/2014/main" id="{5658F040-6534-F046-F5FC-4A74C0706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297617</xdr:colOff>
      <xdr:row>60</xdr:row>
      <xdr:rowOff>57262</xdr:rowOff>
    </xdr:from>
    <xdr:to>
      <xdr:col>28</xdr:col>
      <xdr:colOff>225490</xdr:colOff>
      <xdr:row>86</xdr:row>
      <xdr:rowOff>15550</xdr:rowOff>
    </xdr:to>
    <xdr:graphicFrame macro="">
      <xdr:nvGraphicFramePr>
        <xdr:cNvPr id="152" name="Chart 90">
          <a:extLst>
            <a:ext uri="{FF2B5EF4-FFF2-40B4-BE49-F238E27FC236}">
              <a16:creationId xmlns:a16="http://schemas.microsoft.com/office/drawing/2014/main" id="{FE9B86C8-3375-4BD1-9BE2-9F902F10ABAC}"/>
            </a:ext>
            <a:ext uri="{147F2762-F138-4A5C-976F-8EAC2B608ADB}">
              <a16:predDERef xmlns:a16="http://schemas.microsoft.com/office/drawing/2014/main" pred="{C5A1E8F6-E6E4-9B3D-27D1-F6ECB80D7A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485775</xdr:colOff>
      <xdr:row>96</xdr:row>
      <xdr:rowOff>66675</xdr:rowOff>
    </xdr:from>
    <xdr:to>
      <xdr:col>46</xdr:col>
      <xdr:colOff>142875</xdr:colOff>
      <xdr:row>137</xdr:row>
      <xdr:rowOff>66675</xdr:rowOff>
    </xdr:to>
    <xdr:graphicFrame macro="">
      <xdr:nvGraphicFramePr>
        <xdr:cNvPr id="41" name="Chart 1">
          <a:extLst>
            <a:ext uri="{FF2B5EF4-FFF2-40B4-BE49-F238E27FC236}">
              <a16:creationId xmlns:a16="http://schemas.microsoft.com/office/drawing/2014/main" id="{6097CD57-C06C-4BFC-B469-5D4A45DFAE0E}"/>
            </a:ext>
            <a:ext uri="{147F2762-F138-4A5C-976F-8EAC2B608ADB}">
              <a16:predDERef xmlns:a16="http://schemas.microsoft.com/office/drawing/2014/main" pred="{FE9B86C8-3375-4BD1-9BE2-9F902F10A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2806-7E08-4550-81AD-BE8E1CA455F3}">
  <dimension ref="A1:BL99"/>
  <sheetViews>
    <sheetView zoomScale="59" zoomScaleNormal="59" workbookViewId="0">
      <selection activeCell="M3" sqref="M3:M14"/>
    </sheetView>
  </sheetViews>
  <sheetFormatPr defaultRowHeight="15" x14ac:dyDescent="0.2"/>
  <cols>
    <col min="1" max="1" width="26.6328125" customWidth="1"/>
    <col min="2" max="2" width="12.5078125" customWidth="1"/>
    <col min="3" max="3" width="16.6796875" customWidth="1"/>
    <col min="6" max="6" width="31.87890625" customWidth="1"/>
    <col min="7" max="7" width="18.16015625" customWidth="1"/>
    <col min="8" max="8" width="24.34765625" customWidth="1"/>
    <col min="9" max="9" width="21.65625" customWidth="1"/>
    <col min="10" max="10" width="9.14453125" customWidth="1"/>
    <col min="16" max="16" width="28.11328125" customWidth="1"/>
    <col min="19" max="19" width="18.0234375" customWidth="1"/>
    <col min="20" max="20" width="10.76171875" customWidth="1"/>
    <col min="23" max="23" width="16.6796875" customWidth="1"/>
  </cols>
  <sheetData>
    <row r="1" spans="1:20" ht="27" x14ac:dyDescent="0.4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P1" t="s">
        <v>1</v>
      </c>
      <c r="S1" t="s">
        <v>2</v>
      </c>
    </row>
    <row r="2" spans="1:20" ht="24.75" x14ac:dyDescent="0.35">
      <c r="A2" s="30" t="s">
        <v>3</v>
      </c>
      <c r="B2" s="30"/>
      <c r="C2" s="30"/>
      <c r="D2" s="30"/>
      <c r="F2" s="14" t="s">
        <v>4</v>
      </c>
      <c r="G2" s="31" t="s">
        <v>5</v>
      </c>
      <c r="H2" s="31"/>
      <c r="I2" s="31"/>
      <c r="J2" s="31"/>
      <c r="P2" t="s">
        <v>6</v>
      </c>
      <c r="Q2">
        <v>6011.7</v>
      </c>
      <c r="S2" t="s">
        <v>7</v>
      </c>
      <c r="T2">
        <v>73.73</v>
      </c>
    </row>
    <row r="3" spans="1:20" x14ac:dyDescent="0.2">
      <c r="A3" t="s">
        <v>8</v>
      </c>
      <c r="B3" t="s">
        <v>9</v>
      </c>
      <c r="C3" t="s">
        <v>10</v>
      </c>
      <c r="D3" t="s">
        <v>11</v>
      </c>
      <c r="F3" s="14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P3" t="s">
        <v>20</v>
      </c>
      <c r="Q3">
        <v>1081.81</v>
      </c>
      <c r="S3" t="s">
        <v>21</v>
      </c>
      <c r="T3">
        <v>3.79</v>
      </c>
    </row>
    <row r="4" spans="1:20" x14ac:dyDescent="0.2">
      <c r="A4" s="3">
        <v>81</v>
      </c>
      <c r="B4" s="3">
        <v>78</v>
      </c>
      <c r="C4" s="2" t="s">
        <v>22</v>
      </c>
      <c r="D4" cm="1">
        <f t="array" ref="D4:D17">2*9.81*C52/(Q4*(B4:B17*0.514444)^2*T2)</f>
        <v>1.4544719226491096</v>
      </c>
      <c r="F4" s="14" t="s">
        <v>23</v>
      </c>
      <c r="G4" s="4">
        <v>162</v>
      </c>
      <c r="H4" s="4">
        <v>60.56</v>
      </c>
      <c r="I4">
        <f>-1000/H4</f>
        <v>-16.512549537648614</v>
      </c>
      <c r="J4" cm="1">
        <f t="array" ref="J4:J14">-(Q5/(G4:G14*0.514444))*I4:I14*0.3048</f>
        <v>5.612788058900868E-2</v>
      </c>
      <c r="K4" cm="1">
        <f t="array" ref="K4:K14">2*C52*9.81/(Q4*(G4:G14*0.514444)^2*T2)</f>
        <v>0.33718210552496508</v>
      </c>
      <c r="L4" cm="1">
        <f t="array" ref="L4:L14">_xlfn.ANCHORARRAY(J4)*_xlfn.ANCHORARRAY(K4)</f>
        <v>1.8925316955655764E-2</v>
      </c>
      <c r="M4">
        <f>K4^2</f>
        <v>0.11369177228624869</v>
      </c>
      <c r="P4" t="s">
        <v>24</v>
      </c>
      <c r="Q4">
        <v>1.0580000000000001</v>
      </c>
      <c r="S4" t="s">
        <v>25</v>
      </c>
      <c r="T4">
        <v>5.93</v>
      </c>
    </row>
    <row r="5" spans="1:20" x14ac:dyDescent="0.2">
      <c r="A5" s="3">
        <v>78</v>
      </c>
      <c r="B5" s="3">
        <v>76</v>
      </c>
      <c r="C5" s="2"/>
      <c r="D5">
        <v>1.5320303284967425</v>
      </c>
      <c r="F5" s="14" t="s">
        <v>26</v>
      </c>
      <c r="G5" s="3">
        <v>160</v>
      </c>
      <c r="H5" s="3">
        <v>60</v>
      </c>
      <c r="I5">
        <f t="shared" ref="I5:I11" si="0">-1000/H5</f>
        <v>-16.666666666666668</v>
      </c>
      <c r="J5">
        <v>5.7359887567937425E-2</v>
      </c>
      <c r="K5">
        <v>0.34566434286707748</v>
      </c>
      <c r="L5">
        <v>1.9827267843100536E-2</v>
      </c>
      <c r="M5">
        <f t="shared" ref="M5:M14" si="1">K5^2</f>
        <v>0.1194838379297285</v>
      </c>
      <c r="P5" t="s">
        <v>27</v>
      </c>
      <c r="Q5">
        <v>0.9294</v>
      </c>
    </row>
    <row r="6" spans="1:20" x14ac:dyDescent="0.2">
      <c r="A6" s="3">
        <v>77</v>
      </c>
      <c r="B6" s="3">
        <v>71</v>
      </c>
      <c r="C6" s="2"/>
      <c r="D6">
        <v>1.7554070972817262</v>
      </c>
      <c r="F6" s="14"/>
      <c r="G6" s="4">
        <v>175</v>
      </c>
      <c r="H6" s="4">
        <v>53.06</v>
      </c>
      <c r="I6">
        <f t="shared" si="0"/>
        <v>-18.846588767433094</v>
      </c>
      <c r="J6">
        <v>5.9302667670260004E-2</v>
      </c>
      <c r="K6">
        <v>0.28894717313949991</v>
      </c>
      <c r="L6">
        <v>1.713533818295284E-2</v>
      </c>
      <c r="M6">
        <f t="shared" si="1"/>
        <v>8.3490468865308143E-2</v>
      </c>
      <c r="S6" t="s">
        <v>28</v>
      </c>
    </row>
    <row r="7" spans="1:20" x14ac:dyDescent="0.2">
      <c r="A7" s="4">
        <v>80</v>
      </c>
      <c r="B7" s="4">
        <v>70</v>
      </c>
      <c r="C7" s="2"/>
      <c r="D7">
        <v>1.8059198321218743</v>
      </c>
      <c r="F7" s="14"/>
      <c r="G7" s="3">
        <v>175</v>
      </c>
      <c r="H7" s="3">
        <v>51</v>
      </c>
      <c r="I7">
        <f t="shared" si="0"/>
        <v>-19.607843137254903</v>
      </c>
      <c r="J7">
        <v>6.1698030325176401E-2</v>
      </c>
      <c r="K7">
        <v>0.28894717313949991</v>
      </c>
      <c r="L7">
        <v>1.782747145073486E-2</v>
      </c>
      <c r="M7">
        <f t="shared" si="1"/>
        <v>8.3490468865308143E-2</v>
      </c>
      <c r="S7" t="s">
        <v>29</v>
      </c>
      <c r="T7">
        <v>24398</v>
      </c>
    </row>
    <row r="8" spans="1:20" x14ac:dyDescent="0.2">
      <c r="A8" s="4">
        <v>79</v>
      </c>
      <c r="B8" s="4">
        <v>70</v>
      </c>
      <c r="C8" s="2"/>
      <c r="D8">
        <v>1.8059198321218743</v>
      </c>
      <c r="F8" s="14"/>
      <c r="G8" s="3">
        <v>200</v>
      </c>
      <c r="H8" s="3">
        <v>39.85</v>
      </c>
      <c r="I8">
        <f t="shared" si="0"/>
        <v>-25.09410288582183</v>
      </c>
      <c r="J8">
        <v>6.9090956167151718E-2</v>
      </c>
      <c r="K8">
        <v>0.22122517943492961</v>
      </c>
      <c r="L8">
        <v>1.5284659175408995E-2</v>
      </c>
      <c r="M8">
        <f t="shared" si="1"/>
        <v>4.8940580016016803E-2</v>
      </c>
      <c r="S8" t="s">
        <v>30</v>
      </c>
      <c r="T8">
        <v>13434</v>
      </c>
    </row>
    <row r="9" spans="1:20" x14ac:dyDescent="0.2">
      <c r="A9" s="5">
        <v>78</v>
      </c>
      <c r="B9" s="5">
        <v>69</v>
      </c>
      <c r="C9" s="2"/>
      <c r="D9">
        <v>1.8586446497368585</v>
      </c>
      <c r="F9" s="14"/>
      <c r="G9" s="4">
        <v>227</v>
      </c>
      <c r="H9" s="4">
        <v>25.46</v>
      </c>
      <c r="I9">
        <f t="shared" si="0"/>
        <v>-39.277297721916732</v>
      </c>
      <c r="J9">
        <v>9.527857824006547E-2</v>
      </c>
      <c r="K9">
        <v>0.17172868049830547</v>
      </c>
      <c r="L9">
        <v>1.6362064520921003E-2</v>
      </c>
      <c r="M9">
        <f t="shared" si="1"/>
        <v>2.9490739705689082E-2</v>
      </c>
      <c r="P9" t="s">
        <v>31</v>
      </c>
      <c r="S9" t="s">
        <v>32</v>
      </c>
      <c r="T9">
        <v>8800</v>
      </c>
    </row>
    <row r="10" spans="1:20" x14ac:dyDescent="0.2">
      <c r="A10" s="5">
        <v>79</v>
      </c>
      <c r="B10" s="5">
        <v>69</v>
      </c>
      <c r="C10" s="2"/>
      <c r="D10">
        <v>1.8586446497368585</v>
      </c>
      <c r="G10" s="3">
        <v>230</v>
      </c>
      <c r="H10" s="3">
        <v>27</v>
      </c>
      <c r="I10">
        <f t="shared" si="0"/>
        <v>-37.037037037037038</v>
      </c>
      <c r="J10">
        <v>8.8672289960096518E-2</v>
      </c>
      <c r="K10">
        <v>0.16727801847631729</v>
      </c>
      <c r="L10">
        <v>1.483292495828239E-2</v>
      </c>
      <c r="M10">
        <f t="shared" si="1"/>
        <v>2.798193546536315E-2</v>
      </c>
      <c r="P10" s="3" t="s">
        <v>33</v>
      </c>
      <c r="S10" t="s">
        <v>34</v>
      </c>
      <c r="T10">
        <v>10.14</v>
      </c>
    </row>
    <row r="11" spans="1:20" x14ac:dyDescent="0.2">
      <c r="A11" s="3">
        <v>61</v>
      </c>
      <c r="B11" s="3">
        <v>59</v>
      </c>
      <c r="C11" s="1" t="s">
        <v>35</v>
      </c>
      <c r="D11">
        <v>2.5420876694619894</v>
      </c>
      <c r="G11" s="4">
        <v>263</v>
      </c>
      <c r="H11" s="4">
        <v>18.84</v>
      </c>
      <c r="I11">
        <f t="shared" si="0"/>
        <v>-53.07855626326964</v>
      </c>
      <c r="J11">
        <v>0.111132958887772</v>
      </c>
      <c r="K11">
        <v>0.12793313735050649</v>
      </c>
      <c r="L11">
        <v>1.4217588093557526E-2</v>
      </c>
      <c r="M11">
        <f t="shared" si="1"/>
        <v>1.636688763234356E-2</v>
      </c>
      <c r="P11" s="4" t="s">
        <v>36</v>
      </c>
      <c r="S11" t="s">
        <v>37</v>
      </c>
      <c r="T11">
        <v>10.06</v>
      </c>
    </row>
    <row r="12" spans="1:20" x14ac:dyDescent="0.2">
      <c r="A12" s="3">
        <v>64</v>
      </c>
      <c r="B12" s="3">
        <v>57</v>
      </c>
      <c r="C12" s="1"/>
      <c r="D12">
        <v>2.7236094728830977</v>
      </c>
      <c r="G12" s="5">
        <v>150</v>
      </c>
      <c r="H12" s="5">
        <v>70</v>
      </c>
      <c r="I12">
        <f>-1000/H12</f>
        <v>-14.285714285714286</v>
      </c>
      <c r="J12">
        <v>5.2443325776399929E-2</v>
      </c>
      <c r="K12">
        <v>0.39328920788431926</v>
      </c>
      <c r="L12">
        <v>2.0625394053419632E-2</v>
      </c>
      <c r="M12">
        <f t="shared" si="1"/>
        <v>0.15467640103827529</v>
      </c>
      <c r="P12" s="5" t="s">
        <v>38</v>
      </c>
    </row>
    <row r="13" spans="1:20" x14ac:dyDescent="0.2">
      <c r="A13" s="3">
        <v>64</v>
      </c>
      <c r="B13" s="3">
        <v>57</v>
      </c>
      <c r="C13" s="1"/>
      <c r="D13">
        <v>2.7236094728830977</v>
      </c>
      <c r="G13" s="5">
        <v>270</v>
      </c>
      <c r="H13" s="5">
        <v>10.5</v>
      </c>
      <c r="I13">
        <f t="shared" ref="I13:I14" si="2">-1000/H13</f>
        <v>-95.238095238095241</v>
      </c>
      <c r="J13">
        <v>0.19423453991259235</v>
      </c>
      <c r="K13">
        <v>0.12138555798898744</v>
      </c>
      <c r="L13" s="1">
        <v>2.3577268008024274E-2</v>
      </c>
      <c r="M13">
        <f t="shared" si="1"/>
        <v>1.4734453688297832E-2</v>
      </c>
      <c r="S13" t="s">
        <v>39</v>
      </c>
    </row>
    <row r="14" spans="1:20" x14ac:dyDescent="0.2">
      <c r="A14" s="3">
        <v>67</v>
      </c>
      <c r="B14" s="3">
        <v>59</v>
      </c>
      <c r="C14" s="1"/>
      <c r="D14">
        <v>2.5420876694619894</v>
      </c>
      <c r="G14" s="5">
        <v>215</v>
      </c>
      <c r="H14" s="5">
        <v>26.5</v>
      </c>
      <c r="I14">
        <f t="shared" si="2"/>
        <v>-37.735849056603776</v>
      </c>
      <c r="J14">
        <v>9.6648516130267537E-2</v>
      </c>
      <c r="K14">
        <v>0.19143336240989037</v>
      </c>
      <c r="L14">
        <v>1.850175041474364E-2</v>
      </c>
      <c r="M14">
        <f t="shared" si="1"/>
        <v>3.6646732243556426E-2</v>
      </c>
      <c r="S14" t="s">
        <v>40</v>
      </c>
      <c r="T14">
        <v>18.43</v>
      </c>
    </row>
    <row r="15" spans="1:20" x14ac:dyDescent="0.2">
      <c r="A15" s="4">
        <v>64</v>
      </c>
      <c r="B15" s="4">
        <v>55</v>
      </c>
      <c r="C15" s="1"/>
      <c r="D15">
        <v>2.9252916288916304</v>
      </c>
      <c r="S15" t="s">
        <v>41</v>
      </c>
      <c r="T15">
        <v>1.97</v>
      </c>
    </row>
    <row r="16" spans="1:20" x14ac:dyDescent="0.2">
      <c r="A16" s="4">
        <v>60</v>
      </c>
      <c r="B16" s="4">
        <v>56</v>
      </c>
      <c r="C16" s="1"/>
      <c r="D16">
        <v>2.8217497376904284</v>
      </c>
      <c r="S16" t="s">
        <v>42</v>
      </c>
      <c r="T16">
        <v>4.74</v>
      </c>
    </row>
    <row r="17" spans="1:21" x14ac:dyDescent="0.2">
      <c r="A17" s="5">
        <v>62</v>
      </c>
      <c r="B17" s="5">
        <v>55</v>
      </c>
      <c r="C17" s="1"/>
      <c r="D17">
        <v>2.9252916288916304</v>
      </c>
      <c r="S17" t="s">
        <v>43</v>
      </c>
      <c r="T17">
        <v>0.63049999999999995</v>
      </c>
    </row>
    <row r="18" spans="1:21" x14ac:dyDescent="0.2">
      <c r="C18" s="1"/>
      <c r="S18" t="s">
        <v>44</v>
      </c>
      <c r="T18">
        <v>5</v>
      </c>
      <c r="U18">
        <v>-10</v>
      </c>
    </row>
    <row r="22" spans="1:21" ht="24.75" x14ac:dyDescent="0.35">
      <c r="A22" s="32" t="s">
        <v>45</v>
      </c>
      <c r="B22" s="32"/>
      <c r="C22" s="32"/>
      <c r="D22" s="32"/>
    </row>
    <row r="23" spans="1:21" x14ac:dyDescent="0.2">
      <c r="A23" t="s">
        <v>46</v>
      </c>
      <c r="B23" t="s">
        <v>47</v>
      </c>
      <c r="C23" t="s">
        <v>48</v>
      </c>
      <c r="D23" t="s">
        <v>49</v>
      </c>
      <c r="E23" t="s">
        <v>17</v>
      </c>
      <c r="G23" t="s">
        <v>49</v>
      </c>
      <c r="H23" t="s">
        <v>50</v>
      </c>
    </row>
    <row r="24" spans="1:21" x14ac:dyDescent="0.2">
      <c r="A24" s="3">
        <v>190</v>
      </c>
      <c r="B24" s="3">
        <v>0</v>
      </c>
      <c r="C24" s="3">
        <v>0.03</v>
      </c>
      <c r="D24" s="3">
        <v>-4</v>
      </c>
      <c r="E24">
        <f>2*$C$52*9.81/($Q$4*(A24*0.514444)^2*$T$2)</f>
        <v>0.24512485255947877</v>
      </c>
      <c r="G24" s="3">
        <v>-4</v>
      </c>
      <c r="H24" s="3">
        <v>10.014971149999999</v>
      </c>
      <c r="I24">
        <f>I25-0.1016</f>
        <v>10.01366774556843</v>
      </c>
      <c r="K24">
        <f>K25-0.1016</f>
        <v>10.014971147693998</v>
      </c>
    </row>
    <row r="25" spans="1:21" x14ac:dyDescent="0.2">
      <c r="A25" s="3">
        <v>210</v>
      </c>
      <c r="B25" s="3">
        <v>-0.5</v>
      </c>
      <c r="C25" s="3">
        <v>0.32</v>
      </c>
      <c r="D25" s="3">
        <v>-4</v>
      </c>
      <c r="E25">
        <f t="shared" ref="E25:E42" si="3">2*$C$52*9.81/($Q$4*(A25*0.514444)^2*$T$2)</f>
        <v>0.20065775912465267</v>
      </c>
      <c r="G25" s="3">
        <v>0</v>
      </c>
      <c r="H25" s="5">
        <v>10.11657115</v>
      </c>
      <c r="I25">
        <f>(10.14*T8+10.06*Q2)/(T8+Q2)</f>
        <v>10.115267745568429</v>
      </c>
      <c r="K25">
        <f>((T8+Q3)*T10+Q2*T11)/(T8+Q2+Q3)</f>
        <v>10.116571147693998</v>
      </c>
    </row>
    <row r="26" spans="1:21" x14ac:dyDescent="0.2">
      <c r="A26" s="3">
        <v>230</v>
      </c>
      <c r="B26" s="3">
        <v>-0.8</v>
      </c>
      <c r="C26" s="3"/>
      <c r="D26" s="3">
        <v>-4</v>
      </c>
      <c r="E26">
        <f t="shared" si="3"/>
        <v>0.16727801847631729</v>
      </c>
      <c r="F26" s="3">
        <v>0.59</v>
      </c>
      <c r="G26" s="3">
        <v>4</v>
      </c>
      <c r="H26" s="4">
        <v>10.21817115</v>
      </c>
      <c r="I26">
        <f>I25+0.1016</f>
        <v>10.216867745568429</v>
      </c>
      <c r="K26">
        <f>K25+0.1016</f>
        <v>10.218171147693997</v>
      </c>
    </row>
    <row r="27" spans="1:21" x14ac:dyDescent="0.2">
      <c r="A27" s="3">
        <v>250</v>
      </c>
      <c r="B27" s="3">
        <v>-1.1000000000000001</v>
      </c>
      <c r="C27" s="3">
        <v>0.66</v>
      </c>
      <c r="D27" s="3">
        <v>-4</v>
      </c>
      <c r="E27">
        <f t="shared" si="3"/>
        <v>0.14158411483835498</v>
      </c>
    </row>
    <row r="28" spans="1:21" x14ac:dyDescent="0.2">
      <c r="A28" s="3">
        <v>270</v>
      </c>
      <c r="B28" s="3">
        <v>-1.2</v>
      </c>
      <c r="C28" s="3">
        <v>0.81</v>
      </c>
      <c r="D28" s="3">
        <v>-4</v>
      </c>
      <c r="E28">
        <f t="shared" si="3"/>
        <v>0.12138555798898744</v>
      </c>
    </row>
    <row r="29" spans="1:21" x14ac:dyDescent="0.2">
      <c r="A29" s="3">
        <v>290</v>
      </c>
      <c r="B29" s="3">
        <v>-1.4</v>
      </c>
      <c r="D29" s="3">
        <v>-4</v>
      </c>
      <c r="E29">
        <f t="shared" si="3"/>
        <v>0.10522006156239219</v>
      </c>
      <c r="F29" s="3">
        <v>0.98</v>
      </c>
    </row>
    <row r="30" spans="1:21" x14ac:dyDescent="0.2">
      <c r="A30" s="5">
        <v>210</v>
      </c>
      <c r="B30" s="5">
        <v>-0.5</v>
      </c>
      <c r="C30" s="5">
        <v>0.45</v>
      </c>
      <c r="D30" s="5">
        <v>0</v>
      </c>
      <c r="E30">
        <f t="shared" si="3"/>
        <v>0.20065775912465267</v>
      </c>
      <c r="H30" t="s">
        <v>51</v>
      </c>
    </row>
    <row r="31" spans="1:21" x14ac:dyDescent="0.2">
      <c r="A31" s="5">
        <v>229</v>
      </c>
      <c r="B31" s="5">
        <v>-0.7</v>
      </c>
      <c r="C31" s="5">
        <v>0.57999999999999996</v>
      </c>
      <c r="D31" s="5">
        <v>0</v>
      </c>
      <c r="E31">
        <f t="shared" si="3"/>
        <v>0.16874215170185891</v>
      </c>
      <c r="H31">
        <v>4.0099999999999997E-2</v>
      </c>
    </row>
    <row r="32" spans="1:21" ht="15" customHeight="1" x14ac:dyDescent="0.2">
      <c r="A32" s="5">
        <v>251</v>
      </c>
      <c r="B32" s="5">
        <v>-1.1000000000000001</v>
      </c>
      <c r="C32" s="5"/>
      <c r="D32" s="5">
        <v>0</v>
      </c>
      <c r="E32">
        <f t="shared" si="3"/>
        <v>0.14045820189198874</v>
      </c>
      <c r="F32" s="5">
        <v>0.83</v>
      </c>
      <c r="H32" t="s">
        <v>52</v>
      </c>
    </row>
    <row r="33" spans="1:8" ht="15" customHeight="1" x14ac:dyDescent="0.2">
      <c r="A33" s="5">
        <v>270</v>
      </c>
      <c r="B33" s="5">
        <v>-1.2</v>
      </c>
      <c r="C33" s="5"/>
      <c r="D33" s="5">
        <v>0</v>
      </c>
      <c r="E33">
        <f t="shared" si="3"/>
        <v>0.12138555798898744</v>
      </c>
      <c r="F33" s="5">
        <v>0.89</v>
      </c>
      <c r="H33">
        <f>H31*PI()* 5.93</f>
        <v>0.74704874187507764</v>
      </c>
    </row>
    <row r="34" spans="1:8" ht="15" customHeight="1" x14ac:dyDescent="0.2">
      <c r="A34" s="5">
        <v>291</v>
      </c>
      <c r="B34" s="5">
        <v>-1.5</v>
      </c>
      <c r="C34" s="5">
        <v>0.85</v>
      </c>
      <c r="D34" s="5">
        <v>0</v>
      </c>
      <c r="E34">
        <f t="shared" si="3"/>
        <v>0.10449814217353579</v>
      </c>
    </row>
    <row r="35" spans="1:8" ht="15" customHeight="1" x14ac:dyDescent="0.2">
      <c r="A35" s="5">
        <v>270</v>
      </c>
      <c r="B35" s="5">
        <v>-1.2</v>
      </c>
      <c r="C35" s="5">
        <v>0.8</v>
      </c>
      <c r="D35" s="5">
        <v>0</v>
      </c>
      <c r="E35">
        <f t="shared" si="3"/>
        <v>0.12138555798898744</v>
      </c>
    </row>
    <row r="36" spans="1:8" ht="15" customHeight="1" x14ac:dyDescent="0.2">
      <c r="A36" s="5">
        <v>291</v>
      </c>
      <c r="B36" s="5">
        <v>-1.5</v>
      </c>
      <c r="C36" s="5">
        <v>0.85</v>
      </c>
      <c r="D36" s="5">
        <v>0</v>
      </c>
      <c r="E36">
        <f t="shared" si="3"/>
        <v>0.10449814217353579</v>
      </c>
    </row>
    <row r="37" spans="1:8" x14ac:dyDescent="0.2">
      <c r="A37" s="4">
        <v>190</v>
      </c>
      <c r="B37" s="4">
        <v>-0.1</v>
      </c>
      <c r="C37" s="4">
        <v>0.35</v>
      </c>
      <c r="D37" s="4">
        <v>4</v>
      </c>
      <c r="E37">
        <f t="shared" si="3"/>
        <v>0.24512485255947877</v>
      </c>
    </row>
    <row r="38" spans="1:8" x14ac:dyDescent="0.2">
      <c r="A38" s="4">
        <v>210</v>
      </c>
      <c r="B38" s="4">
        <v>-0.5</v>
      </c>
      <c r="C38" s="4">
        <v>0.56000000000000005</v>
      </c>
      <c r="D38" s="4">
        <v>4</v>
      </c>
      <c r="E38">
        <f t="shared" si="3"/>
        <v>0.20065775912465267</v>
      </c>
    </row>
    <row r="39" spans="1:8" x14ac:dyDescent="0.2">
      <c r="A39" s="4">
        <v>230</v>
      </c>
      <c r="B39" s="4">
        <v>-0.8</v>
      </c>
      <c r="C39" s="4">
        <v>0.71</v>
      </c>
      <c r="D39" s="4">
        <v>4</v>
      </c>
      <c r="E39">
        <f t="shared" si="3"/>
        <v>0.16727801847631729</v>
      </c>
    </row>
    <row r="40" spans="1:8" x14ac:dyDescent="0.2">
      <c r="A40" s="4">
        <v>250</v>
      </c>
      <c r="B40" s="4">
        <v>-1.1000000000000001</v>
      </c>
      <c r="C40" s="4">
        <v>0.86</v>
      </c>
      <c r="D40" s="4">
        <v>4</v>
      </c>
      <c r="E40">
        <f t="shared" si="3"/>
        <v>0.14158411483835498</v>
      </c>
    </row>
    <row r="41" spans="1:8" x14ac:dyDescent="0.2">
      <c r="A41" s="4">
        <v>270</v>
      </c>
      <c r="B41" s="4">
        <v>-1.2</v>
      </c>
      <c r="C41" s="4">
        <v>0.92</v>
      </c>
      <c r="D41" s="4">
        <v>4</v>
      </c>
      <c r="E41">
        <f t="shared" si="3"/>
        <v>0.12138555798898744</v>
      </c>
    </row>
    <row r="42" spans="1:8" x14ac:dyDescent="0.2">
      <c r="A42" s="4">
        <v>295</v>
      </c>
      <c r="B42" s="4">
        <v>-1.5</v>
      </c>
      <c r="C42" s="4"/>
      <c r="D42" s="4">
        <v>4</v>
      </c>
      <c r="E42">
        <f t="shared" si="3"/>
        <v>0.10168350677847954</v>
      </c>
      <c r="F42" s="4">
        <v>1.1499999999999999</v>
      </c>
    </row>
    <row r="43" spans="1:8" x14ac:dyDescent="0.2">
      <c r="A43" s="4"/>
      <c r="B43" s="4"/>
      <c r="C43" s="4"/>
      <c r="D43" s="4"/>
    </row>
    <row r="44" spans="1:8" x14ac:dyDescent="0.2">
      <c r="A44" s="4"/>
      <c r="B44" s="4"/>
      <c r="C44" s="4"/>
      <c r="D44" s="4"/>
    </row>
    <row r="47" spans="1:8" x14ac:dyDescent="0.2">
      <c r="A47" t="s">
        <v>53</v>
      </c>
    </row>
    <row r="49" spans="1:64" x14ac:dyDescent="0.2">
      <c r="A49" t="s">
        <v>54</v>
      </c>
    </row>
    <row r="51" spans="1:64" x14ac:dyDescent="0.2">
      <c r="C51" t="s">
        <v>55</v>
      </c>
    </row>
    <row r="52" spans="1:64" x14ac:dyDescent="0.2">
      <c r="A52" t="s">
        <v>56</v>
      </c>
      <c r="B52">
        <f>T8+Q2+Q3</f>
        <v>20527.510000000002</v>
      </c>
      <c r="C52">
        <f>0.453592*B52</f>
        <v>9311.1143159200001</v>
      </c>
    </row>
    <row r="53" spans="1:64" x14ac:dyDescent="0.2">
      <c r="A53" t="s">
        <v>57</v>
      </c>
      <c r="B53">
        <f>((T8+Q3)*T10 + (Q2*T11))/B52</f>
        <v>10.116571147693998</v>
      </c>
    </row>
    <row r="54" spans="1:64" x14ac:dyDescent="0.2">
      <c r="A54" s="1" t="s">
        <v>58</v>
      </c>
      <c r="B54" s="1">
        <v>0.25458999999999998</v>
      </c>
    </row>
    <row r="55" spans="1:64" x14ac:dyDescent="0.2">
      <c r="A55" s="1" t="s">
        <v>59</v>
      </c>
      <c r="B55" s="1">
        <v>10.98</v>
      </c>
    </row>
    <row r="56" spans="1:64" x14ac:dyDescent="0.2">
      <c r="A56" t="s">
        <v>60</v>
      </c>
      <c r="B56">
        <v>0.63049999999999995</v>
      </c>
    </row>
    <row r="57" spans="1:64" x14ac:dyDescent="0.2">
      <c r="A57" t="s">
        <v>61</v>
      </c>
      <c r="B57">
        <f>1.5231/(B54*B56)</f>
        <v>9.4885966610992067</v>
      </c>
    </row>
    <row r="58" spans="1:64" x14ac:dyDescent="0.2">
      <c r="A58" t="s">
        <v>62</v>
      </c>
      <c r="B58">
        <v>0.87</v>
      </c>
    </row>
    <row r="62" spans="1:64" ht="21" x14ac:dyDescent="0.3">
      <c r="J62" s="16"/>
      <c r="K62" s="18" t="s">
        <v>63</v>
      </c>
    </row>
    <row r="63" spans="1:64" x14ac:dyDescent="0.2">
      <c r="J63" s="16"/>
    </row>
    <row r="64" spans="1:64" ht="16.5" x14ac:dyDescent="0.25">
      <c r="J64" s="16"/>
      <c r="K64" s="17" t="s">
        <v>64</v>
      </c>
      <c r="BF64" t="s">
        <v>65</v>
      </c>
      <c r="BG64" t="s">
        <v>66</v>
      </c>
      <c r="BH64" t="s">
        <v>67</v>
      </c>
      <c r="BI64" t="s">
        <v>59</v>
      </c>
      <c r="BJ64" s="22" t="s">
        <v>61</v>
      </c>
      <c r="BL64" t="s">
        <v>68</v>
      </c>
    </row>
    <row r="65" spans="10:64" x14ac:dyDescent="0.2">
      <c r="J65" s="16"/>
      <c r="AQ65" t="s">
        <v>69</v>
      </c>
      <c r="BE65" t="s">
        <v>70</v>
      </c>
      <c r="BF65">
        <f>(-119.23*2*AR67)+2419.8</f>
        <v>31.629979571000149</v>
      </c>
      <c r="BG65">
        <v>-6.1951999999999998</v>
      </c>
      <c r="BH65" s="2">
        <f>1/(BF65*0.6305)</f>
        <v>5.0143656261175208E-2</v>
      </c>
      <c r="BI65">
        <f>BG65*BH65*0.6305*-1+AR67</f>
        <v>10.21083596192925</v>
      </c>
      <c r="BJ65" s="22">
        <f>1.5231/(BH65*0.6305)</f>
        <v>48.175621884590313</v>
      </c>
      <c r="BL65">
        <f>((BI65-AR67)/1.97)*100</f>
        <v>9.9423762400635134</v>
      </c>
    </row>
    <row r="66" spans="10:64" x14ac:dyDescent="0.2">
      <c r="J66" s="16"/>
      <c r="T66" t="s">
        <v>71</v>
      </c>
      <c r="AR66" t="s">
        <v>50</v>
      </c>
      <c r="AS66" t="s">
        <v>72</v>
      </c>
      <c r="BE66" t="s">
        <v>73</v>
      </c>
      <c r="BF66">
        <f t="shared" ref="BF66:BF67" si="4">(-119.23*2*AR68)+2419.8</f>
        <v>7.4024435709998215</v>
      </c>
      <c r="BG66">
        <v>-4.2214999999999998</v>
      </c>
      <c r="BH66" s="22">
        <f>1/(BF66*0.6305)</f>
        <v>0.21425936016179645</v>
      </c>
      <c r="BI66">
        <f t="shared" ref="BI66" si="5">BG66*BH66*0.6305*-1+AR68</f>
        <v>10.686855807965967</v>
      </c>
      <c r="BJ66" s="22">
        <f>1.5231/(BH66*0.6305)</f>
        <v>11.274661802989828</v>
      </c>
      <c r="BL66">
        <f>((BI66-AR68)/1.97)*100</f>
        <v>28.948459795226753</v>
      </c>
    </row>
    <row r="67" spans="10:64" x14ac:dyDescent="0.2">
      <c r="J67" s="16"/>
      <c r="U67" t="s">
        <v>74</v>
      </c>
      <c r="V67" t="s">
        <v>72</v>
      </c>
      <c r="W67" t="s">
        <v>75</v>
      </c>
      <c r="Y67" t="s">
        <v>50</v>
      </c>
      <c r="AQ67" t="s">
        <v>70</v>
      </c>
      <c r="AR67" s="3">
        <v>10.014971149999999</v>
      </c>
      <c r="AS67">
        <v>-6.1951999999999998</v>
      </c>
      <c r="BE67" t="s">
        <v>76</v>
      </c>
      <c r="BF67">
        <f t="shared" si="4"/>
        <v>-16.825092429000051</v>
      </c>
      <c r="BG67">
        <v>-4.7093999999999996</v>
      </c>
      <c r="BH67" s="1">
        <f>1/(BF67*0.6305)</f>
        <v>-9.4266514721933509E-2</v>
      </c>
      <c r="BI67">
        <f>BG67*BH67*0.6305*-1+AR69</f>
        <v>9.938267784245955</v>
      </c>
      <c r="BJ67" s="22">
        <f>1.5231/(BH67*0.6305)</f>
        <v>-25.626298278609976</v>
      </c>
      <c r="BL67">
        <f>((BI67-AR69)/1.97)*100</f>
        <v>-14.208292677870297</v>
      </c>
    </row>
    <row r="68" spans="10:64" x14ac:dyDescent="0.2">
      <c r="J68" s="16"/>
      <c r="T68" t="s">
        <v>70</v>
      </c>
      <c r="U68" s="25" cm="1">
        <f t="array" ref="U68:U86">2*C52*9.81/(Q4*(A24:A42*0.514444)^2*T2)</f>
        <v>0.24512485255947877</v>
      </c>
      <c r="V68" cm="1">
        <f t="array" ref="V68:V73">(1.352*U68:U73) - 6.7483</f>
        <v>-6.4168911993395854</v>
      </c>
      <c r="W68" cm="1">
        <f t="array" ref="W68:W73">(_xlfn.ANCHORARRAY(V68))/6</f>
        <v>-1.0694818665565975</v>
      </c>
      <c r="X68">
        <f xml:space="preserve"> (SUM(_xlfn.ANCHORARRAY(W68)))</f>
        <v>-6.5271915845213577</v>
      </c>
      <c r="Y68" s="3">
        <v>10.014971149999999</v>
      </c>
      <c r="AQ68" t="s">
        <v>73</v>
      </c>
      <c r="AR68" s="5">
        <v>10.11657115</v>
      </c>
      <c r="AS68">
        <v>-4.2214999999999998</v>
      </c>
    </row>
    <row r="69" spans="10:64" x14ac:dyDescent="0.2">
      <c r="J69" s="16"/>
      <c r="U69" s="25">
        <v>0.20065775912465267</v>
      </c>
      <c r="V69">
        <v>-6.4770107096634701</v>
      </c>
      <c r="W69">
        <v>-1.0795017849439117</v>
      </c>
      <c r="AQ69" t="s">
        <v>76</v>
      </c>
      <c r="AR69" s="4">
        <v>10.21817115</v>
      </c>
      <c r="AS69">
        <v>-4.7093999999999996</v>
      </c>
    </row>
    <row r="70" spans="10:64" x14ac:dyDescent="0.2">
      <c r="J70" s="16"/>
      <c r="U70" s="25">
        <v>0.16727801847631729</v>
      </c>
      <c r="V70">
        <v>-6.522140119020019</v>
      </c>
      <c r="W70">
        <v>-1.0870233531700031</v>
      </c>
    </row>
    <row r="71" spans="10:64" x14ac:dyDescent="0.2">
      <c r="J71" s="16"/>
      <c r="U71" s="25">
        <v>0.14158411483835498</v>
      </c>
      <c r="V71">
        <v>-6.5568782767385443</v>
      </c>
      <c r="W71">
        <v>-1.0928130461230907</v>
      </c>
    </row>
    <row r="72" spans="10:64" x14ac:dyDescent="0.2">
      <c r="J72" s="16"/>
      <c r="U72" s="25">
        <v>0.12138555798898744</v>
      </c>
      <c r="V72">
        <v>-6.5841867255988893</v>
      </c>
      <c r="W72">
        <v>-1.0973644542664815</v>
      </c>
    </row>
    <row r="73" spans="10:64" x14ac:dyDescent="0.2">
      <c r="J73" s="16"/>
      <c r="U73" s="25">
        <v>0.10522006156239219</v>
      </c>
      <c r="V73">
        <v>-6.6060424767676462</v>
      </c>
      <c r="W73">
        <v>-1.1010070794612743</v>
      </c>
    </row>
    <row r="74" spans="10:64" x14ac:dyDescent="0.2">
      <c r="J74" s="16"/>
      <c r="T74" t="s">
        <v>73</v>
      </c>
      <c r="U74" s="24">
        <v>0.20065775912465267</v>
      </c>
      <c r="V74" cm="1">
        <f t="array" ref="V74:V80" xml:space="preserve"> (-72.596*U74:U80) +6.5523</f>
        <v>-8.0146506814132863</v>
      </c>
      <c r="W74" cm="1">
        <f t="array" ref="W74:W80" xml:space="preserve"> (_xlfn.ANCHORARRAY(V74))/7</f>
        <v>-1.1449500973447553</v>
      </c>
      <c r="X74">
        <f>(SUM(_xlfn.ANCHORARRAY(W74)))</f>
        <v>-3.4205808207013315</v>
      </c>
      <c r="Y74" s="5">
        <v>10.11657115</v>
      </c>
    </row>
    <row r="75" spans="10:64" x14ac:dyDescent="0.2">
      <c r="J75" s="16"/>
      <c r="U75" s="24">
        <v>0.16874215170185891</v>
      </c>
      <c r="V75">
        <v>-5.6977052449481507</v>
      </c>
      <c r="W75">
        <v>-0.81395789213545011</v>
      </c>
    </row>
    <row r="76" spans="10:64" x14ac:dyDescent="0.2">
      <c r="J76" s="16"/>
      <c r="U76" s="24">
        <v>0.14045820189198874</v>
      </c>
      <c r="V76">
        <v>-3.6444036245508142</v>
      </c>
      <c r="W76">
        <v>-0.52062908922154494</v>
      </c>
    </row>
    <row r="77" spans="10:64" x14ac:dyDescent="0.2">
      <c r="J77" s="16"/>
      <c r="U77" s="24">
        <v>0.12138555798898744</v>
      </c>
      <c r="V77">
        <v>-2.2598059677685329</v>
      </c>
      <c r="W77">
        <v>-0.32282942396693326</v>
      </c>
    </row>
    <row r="78" spans="10:64" x14ac:dyDescent="0.2">
      <c r="J78" s="16"/>
      <c r="U78" s="24">
        <v>0.10449814217353579</v>
      </c>
      <c r="V78">
        <v>-1.0338471292300042</v>
      </c>
      <c r="W78">
        <v>-0.14769244703285775</v>
      </c>
    </row>
    <row r="79" spans="10:64" x14ac:dyDescent="0.2">
      <c r="J79" s="16"/>
      <c r="U79" s="24">
        <v>0.12138555798898744</v>
      </c>
      <c r="V79">
        <v>-2.2598059677685329</v>
      </c>
      <c r="W79">
        <v>-0.32282942396693326</v>
      </c>
    </row>
    <row r="80" spans="10:64" x14ac:dyDescent="0.2">
      <c r="J80" s="16"/>
      <c r="U80" s="24">
        <v>0.10449814217353579</v>
      </c>
      <c r="V80">
        <v>-1.0338471292300042</v>
      </c>
      <c r="W80">
        <v>-0.14769244703285775</v>
      </c>
    </row>
    <row r="81" spans="10:50" x14ac:dyDescent="0.2">
      <c r="J81" s="16"/>
      <c r="T81" t="s">
        <v>76</v>
      </c>
      <c r="U81" s="23">
        <v>0.24512485255947877</v>
      </c>
      <c r="V81" cm="1">
        <f t="array" ref="V81:V86" xml:space="preserve"> (24.732*U81:U86) -9.536</f>
        <v>-3.4735721464989711</v>
      </c>
      <c r="W81" cm="1">
        <f t="array" ref="W81:W86" xml:space="preserve"> (_xlfn.ANCHORARRAY(V81))/6</f>
        <v>-0.57892869108316181</v>
      </c>
      <c r="X81">
        <f>SUM(_xlfn.ANCHORARRAY(W81))</f>
        <v>-5.5058636761434316</v>
      </c>
      <c r="Y81" s="4">
        <v>10.21817115</v>
      </c>
    </row>
    <row r="82" spans="10:50" x14ac:dyDescent="0.2">
      <c r="J82" s="16"/>
      <c r="U82" s="23">
        <v>0.20065775912465267</v>
      </c>
      <c r="V82">
        <v>-4.5733323013290903</v>
      </c>
      <c r="W82">
        <v>-0.76222205022151501</v>
      </c>
    </row>
    <row r="83" spans="10:50" x14ac:dyDescent="0.2">
      <c r="J83" s="16"/>
      <c r="U83" s="23">
        <v>0.16727801847631729</v>
      </c>
      <c r="V83">
        <v>-5.3988800470437202</v>
      </c>
      <c r="W83">
        <v>-0.8998133411739534</v>
      </c>
    </row>
    <row r="84" spans="10:50" x14ac:dyDescent="0.2">
      <c r="J84" s="16"/>
      <c r="U84" s="23">
        <v>0.14158411483835498</v>
      </c>
      <c r="V84">
        <v>-6.0343416718178045</v>
      </c>
      <c r="W84">
        <v>-1.005723611969634</v>
      </c>
    </row>
    <row r="85" spans="10:50" x14ac:dyDescent="0.2">
      <c r="J85" s="16"/>
      <c r="U85" s="23">
        <v>0.12138555798898744</v>
      </c>
      <c r="V85">
        <v>-6.5338923798163622</v>
      </c>
      <c r="W85">
        <v>-1.088982063302727</v>
      </c>
    </row>
    <row r="86" spans="10:50" x14ac:dyDescent="0.2">
      <c r="J86" s="16"/>
      <c r="U86" s="23">
        <v>0.10168350677847954</v>
      </c>
      <c r="V86">
        <v>-7.0211635103546435</v>
      </c>
      <c r="W86">
        <v>-1.1701939183924406</v>
      </c>
    </row>
    <row r="87" spans="10:50" x14ac:dyDescent="0.2">
      <c r="J87" s="16"/>
    </row>
    <row r="92" spans="10:50" x14ac:dyDescent="0.2">
      <c r="AR92" t="s">
        <v>65</v>
      </c>
      <c r="AS92" t="s">
        <v>66</v>
      </c>
      <c r="AT92" t="s">
        <v>67</v>
      </c>
      <c r="AU92" t="s">
        <v>59</v>
      </c>
      <c r="AV92" s="22" t="s">
        <v>61</v>
      </c>
      <c r="AX92" t="s">
        <v>77</v>
      </c>
    </row>
    <row r="93" spans="10:50" x14ac:dyDescent="0.2">
      <c r="V93" t="s">
        <v>65</v>
      </c>
      <c r="W93" t="s">
        <v>66</v>
      </c>
      <c r="X93" t="s">
        <v>67</v>
      </c>
      <c r="Y93" t="s">
        <v>59</v>
      </c>
      <c r="Z93" s="22" t="s">
        <v>61</v>
      </c>
      <c r="AQ93" t="s">
        <v>70</v>
      </c>
      <c r="AR93">
        <v>7.3120000000000003</v>
      </c>
      <c r="AS93">
        <v>-6.5118</v>
      </c>
      <c r="AT93" s="2">
        <f>1/(AR93*0.6305)</f>
        <v>0.2169095764710374</v>
      </c>
      <c r="AU93">
        <f>AS93*AT93*0.6305*-1+H24</f>
        <v>10.905534607330415</v>
      </c>
      <c r="AV93" s="22">
        <f>1.5231/(AT93*0.6305)</f>
        <v>11.136907199999998</v>
      </c>
      <c r="AX93">
        <v>1.5527</v>
      </c>
    </row>
    <row r="94" spans="10:50" x14ac:dyDescent="0.2">
      <c r="U94" t="s">
        <v>70</v>
      </c>
      <c r="V94">
        <f>(-502.96*Y68) +5093.3</f>
        <v>56.170110396000382</v>
      </c>
      <c r="W94">
        <v>-6.52719</v>
      </c>
      <c r="X94" s="2">
        <f>1/(V94*0.6305)</f>
        <v>2.8236419903300745E-2</v>
      </c>
      <c r="Y94">
        <f>W94*X94*0.6305*-1+Y68</f>
        <v>10.131175123144848</v>
      </c>
      <c r="Z94" s="22">
        <f>1.5231/(X94*0.6305)</f>
        <v>85.552695144148174</v>
      </c>
      <c r="AQ94" t="s">
        <v>73</v>
      </c>
      <c r="AR94">
        <v>7.3120000000000003</v>
      </c>
      <c r="AS94">
        <v>-4.391</v>
      </c>
      <c r="AT94" s="22">
        <f>1/(AR94*0.6305)</f>
        <v>0.2169095764710374</v>
      </c>
      <c r="AU94">
        <f>AS94*AT94*0.6305*-1+H25</f>
        <v>10.717090843654267</v>
      </c>
      <c r="AV94" s="22">
        <f>1.5231/(AT94*0.6305)</f>
        <v>11.136907199999998</v>
      </c>
      <c r="AX94">
        <v>1.3520000000000001</v>
      </c>
    </row>
    <row r="95" spans="10:50" x14ac:dyDescent="0.2">
      <c r="U95" t="s">
        <v>73</v>
      </c>
      <c r="V95">
        <f>(-502.96*Y74) +5093.3</f>
        <v>5.0693743960000575</v>
      </c>
      <c r="W95">
        <v>-3.4205800000000002</v>
      </c>
      <c r="X95" s="22">
        <f>1/(V95*0.6305)</f>
        <v>0.31286756496179835</v>
      </c>
      <c r="Y95" t="e">
        <f>W95*X95*0.6305*-1+#REF!</f>
        <v>#REF!</v>
      </c>
      <c r="Z95" s="22">
        <f>1.5231/(X95*0.6305)</f>
        <v>7.7211641425476873</v>
      </c>
      <c r="AQ95" t="s">
        <v>76</v>
      </c>
      <c r="AR95">
        <v>7.3120000000000003</v>
      </c>
      <c r="AS95">
        <v>-5.2458999999999998</v>
      </c>
      <c r="AT95" s="1">
        <f>1/(AR95*0.6305)</f>
        <v>0.2169095764710374</v>
      </c>
      <c r="AU95">
        <f>AS95*AT95*0.6305*-1+H26</f>
        <v>10.935608239715537</v>
      </c>
      <c r="AV95" s="22">
        <f>1.5231/(AT95*0.6305)</f>
        <v>11.136907199999998</v>
      </c>
      <c r="AX95">
        <v>1.5051000000000001</v>
      </c>
    </row>
    <row r="96" spans="10:50" x14ac:dyDescent="0.2">
      <c r="U96" t="s">
        <v>76</v>
      </c>
      <c r="V96">
        <f>(-502.96*Y81) +5093.3</f>
        <v>-46.031361603999358</v>
      </c>
      <c r="W96">
        <v>-5.5058600000000002</v>
      </c>
      <c r="X96" s="1">
        <f>1/(V96*0.6305)</f>
        <v>-3.4455700806782667E-2</v>
      </c>
      <c r="Y96" t="e">
        <f>W96*X96*0.6305*-1+#REF!</f>
        <v>#REF!</v>
      </c>
      <c r="Z96" s="22">
        <f>1.5231/(X96*0.6305)</f>
        <v>-70.110366859051425</v>
      </c>
      <c r="AQ96" t="s">
        <v>78</v>
      </c>
    </row>
    <row r="97" spans="44:48" x14ac:dyDescent="0.2">
      <c r="AR97" cm="1">
        <f t="array" ref="AR97:AR99">RADIANS(AR93:AR95)</f>
        <v>0.12761847490582537</v>
      </c>
      <c r="AS97" cm="1">
        <f t="array" ref="AS97:AS99">RADIANS(AS93:AS95)</f>
        <v>-0.11365235023136676</v>
      </c>
      <c r="AT97" cm="1">
        <f t="array" ref="AT97:AT99">1/(_xlfn.ANCHORARRAY(AR97)*0.6305)</f>
        <v>12.428003267760626</v>
      </c>
      <c r="AV97" cm="1">
        <f t="array" ref="AV97:AV99">-AX93:AX95/(_xlfn.ANCHORARRAY(AT97)*0.6035)</f>
        <v>-0.20701838670148537</v>
      </c>
    </row>
    <row r="98" spans="44:48" x14ac:dyDescent="0.2">
      <c r="AR98">
        <v>0.12761847490582537</v>
      </c>
      <c r="AS98">
        <v>-7.6637407455071013E-2</v>
      </c>
      <c r="AT98">
        <v>12.428003267760626</v>
      </c>
      <c r="AV98">
        <v>-0.1802594569591088</v>
      </c>
    </row>
    <row r="99" spans="44:48" x14ac:dyDescent="0.2">
      <c r="AR99">
        <v>0.12761847490582537</v>
      </c>
      <c r="AS99">
        <v>-9.1558227230370534E-2</v>
      </c>
      <c r="AT99">
        <v>12.428003267760626</v>
      </c>
      <c r="AV99">
        <v>-0.20067197386771796</v>
      </c>
    </row>
  </sheetData>
  <mergeCells count="4">
    <mergeCell ref="A1:J1"/>
    <mergeCell ref="A2:D2"/>
    <mergeCell ref="G2:J2"/>
    <mergeCell ref="A22:D22"/>
  </mergeCells>
  <pageMargins left="0.7" right="0.7" top="0.75" bottom="0.75" header="0.3" footer="0.3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9AEF-31BE-4FA0-945B-D842808D556B}">
  <dimension ref="A1:AY116"/>
  <sheetViews>
    <sheetView zoomScale="68" zoomScaleNormal="68" workbookViewId="0">
      <selection activeCell="J5" sqref="J5"/>
    </sheetView>
  </sheetViews>
  <sheetFormatPr defaultRowHeight="15" x14ac:dyDescent="0.2"/>
  <cols>
    <col min="1" max="1" width="26.6328125" customWidth="1"/>
    <col min="2" max="2" width="12.5078125" customWidth="1"/>
    <col min="3" max="3" width="16.6796875" customWidth="1"/>
    <col min="6" max="6" width="31.87890625" customWidth="1"/>
    <col min="7" max="7" width="18.16015625" customWidth="1"/>
    <col min="8" max="8" width="24.34765625" customWidth="1"/>
    <col min="9" max="9" width="21.65625" customWidth="1"/>
    <col min="10" max="10" width="9.14453125" customWidth="1"/>
    <col min="15" max="15" width="28.11328125" customWidth="1"/>
    <col min="18" max="18" width="18.0234375" customWidth="1"/>
    <col min="19" max="19" width="10.76171875" customWidth="1"/>
    <col min="22" max="22" width="16.6796875" customWidth="1"/>
    <col min="40" max="40" width="15.33203125" customWidth="1"/>
    <col min="42" max="43" width="11.296875" customWidth="1"/>
    <col min="49" max="49" width="13.046875" customWidth="1"/>
  </cols>
  <sheetData>
    <row r="1" spans="1:19" ht="27" x14ac:dyDescent="0.4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O1" t="s">
        <v>1</v>
      </c>
      <c r="R1" t="s">
        <v>2</v>
      </c>
    </row>
    <row r="2" spans="1:19" ht="24.75" x14ac:dyDescent="0.35">
      <c r="A2" s="30" t="s">
        <v>3</v>
      </c>
      <c r="B2" s="30"/>
      <c r="C2" s="30"/>
      <c r="D2" s="30"/>
      <c r="F2" s="14" t="s">
        <v>4</v>
      </c>
      <c r="G2" s="31" t="s">
        <v>5</v>
      </c>
      <c r="H2" s="31"/>
      <c r="I2" s="31"/>
      <c r="J2" s="31"/>
      <c r="O2" t="s">
        <v>6</v>
      </c>
      <c r="P2">
        <v>6011.7</v>
      </c>
      <c r="R2" t="s">
        <v>7</v>
      </c>
      <c r="S2">
        <v>73.73</v>
      </c>
    </row>
    <row r="3" spans="1:19" x14ac:dyDescent="0.2">
      <c r="A3" t="s">
        <v>8</v>
      </c>
      <c r="B3" t="s">
        <v>9</v>
      </c>
      <c r="C3" t="s">
        <v>10</v>
      </c>
      <c r="D3" t="s">
        <v>11</v>
      </c>
      <c r="F3" s="14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79</v>
      </c>
      <c r="O3" t="s">
        <v>20</v>
      </c>
      <c r="P3">
        <v>1081.81</v>
      </c>
      <c r="R3" t="s">
        <v>21</v>
      </c>
      <c r="S3">
        <v>3.79</v>
      </c>
    </row>
    <row r="4" spans="1:19" x14ac:dyDescent="0.2">
      <c r="A4" s="3">
        <v>81</v>
      </c>
      <c r="B4" s="3">
        <v>78</v>
      </c>
      <c r="C4" s="2" t="s">
        <v>22</v>
      </c>
      <c r="D4" cm="1">
        <f t="array" ref="D4:D17">2*C52*9.81/(P4*(B4:B17*0.514444)^2*S2)</f>
        <v>1.4544719226491096</v>
      </c>
      <c r="F4" s="14" t="s">
        <v>23</v>
      </c>
      <c r="G4" s="4">
        <v>162</v>
      </c>
      <c r="H4" s="4">
        <v>60.56</v>
      </c>
      <c r="I4">
        <f>-1000/H4</f>
        <v>-16.512549537648614</v>
      </c>
      <c r="J4" cm="1">
        <f t="array" ref="J4:J14">-(P5/(G4:G14*0.514444))*I4:I14*0.3048</f>
        <v>5.612788058900868E-2</v>
      </c>
      <c r="K4" cm="1">
        <f t="array" ref="K4:K14">2*C52*9.81/(P4*(G4:G14*0.514444)^2*S2)</f>
        <v>0.33718210552496508</v>
      </c>
      <c r="L4" cm="1">
        <f t="array" ref="L4:L14">_xlfn.ANCHORARRAY(J4)*_xlfn.ANCHORARRAY(K4)</f>
        <v>1.8925316955655764E-2</v>
      </c>
      <c r="O4" t="s">
        <v>24</v>
      </c>
      <c r="P4">
        <v>1.0580000000000001</v>
      </c>
      <c r="R4" t="s">
        <v>25</v>
      </c>
      <c r="S4">
        <v>5.93</v>
      </c>
    </row>
    <row r="5" spans="1:19" x14ac:dyDescent="0.2">
      <c r="A5" s="3">
        <v>78</v>
      </c>
      <c r="B5" s="3">
        <v>76</v>
      </c>
      <c r="C5" s="2"/>
      <c r="D5">
        <v>1.5320303284967425</v>
      </c>
      <c r="F5" s="14" t="s">
        <v>26</v>
      </c>
      <c r="G5" s="3">
        <v>160</v>
      </c>
      <c r="H5" s="3">
        <v>60</v>
      </c>
      <c r="I5">
        <f t="shared" ref="I5:I11" si="0">-1000/H5</f>
        <v>-16.666666666666668</v>
      </c>
      <c r="J5">
        <v>5.7359887567937425E-2</v>
      </c>
      <c r="K5">
        <v>0.34566434286707748</v>
      </c>
      <c r="L5">
        <v>1.9827267843100536E-2</v>
      </c>
      <c r="O5" t="s">
        <v>27</v>
      </c>
      <c r="P5">
        <v>0.9294</v>
      </c>
    </row>
    <row r="6" spans="1:19" x14ac:dyDescent="0.2">
      <c r="A6" s="3">
        <v>77</v>
      </c>
      <c r="B6" s="3">
        <v>71</v>
      </c>
      <c r="C6" s="2"/>
      <c r="D6">
        <v>1.7554070972817262</v>
      </c>
      <c r="F6" s="14"/>
      <c r="G6" s="4">
        <v>175</v>
      </c>
      <c r="H6" s="4">
        <v>53.06</v>
      </c>
      <c r="I6">
        <f t="shared" si="0"/>
        <v>-18.846588767433094</v>
      </c>
      <c r="J6">
        <v>5.9302667670260004E-2</v>
      </c>
      <c r="K6">
        <v>0.28894717313949991</v>
      </c>
      <c r="L6">
        <v>1.713533818295284E-2</v>
      </c>
      <c r="R6" t="s">
        <v>28</v>
      </c>
    </row>
    <row r="7" spans="1:19" x14ac:dyDescent="0.2">
      <c r="A7" s="4">
        <v>80</v>
      </c>
      <c r="B7" s="4">
        <v>60</v>
      </c>
      <c r="C7" s="2"/>
      <c r="D7">
        <v>2.4580575492769952</v>
      </c>
      <c r="F7" s="14"/>
      <c r="G7" s="3">
        <v>175</v>
      </c>
      <c r="H7" s="3">
        <v>51</v>
      </c>
      <c r="I7">
        <f t="shared" si="0"/>
        <v>-19.607843137254903</v>
      </c>
      <c r="J7">
        <v>6.1698030325176401E-2</v>
      </c>
      <c r="K7">
        <v>0.28894717313949991</v>
      </c>
      <c r="L7">
        <v>1.782747145073486E-2</v>
      </c>
      <c r="R7" t="s">
        <v>29</v>
      </c>
      <c r="S7">
        <v>24398</v>
      </c>
    </row>
    <row r="8" spans="1:19" x14ac:dyDescent="0.2">
      <c r="A8" s="4">
        <v>79</v>
      </c>
      <c r="B8" s="4">
        <v>60</v>
      </c>
      <c r="C8" s="2"/>
      <c r="D8">
        <v>2.4580575492769952</v>
      </c>
      <c r="F8" s="14"/>
      <c r="G8" s="3">
        <v>200</v>
      </c>
      <c r="H8" s="3">
        <v>39.85</v>
      </c>
      <c r="I8">
        <f t="shared" si="0"/>
        <v>-25.09410288582183</v>
      </c>
      <c r="J8">
        <v>6.9090956167151718E-2</v>
      </c>
      <c r="K8">
        <v>0.22122517943492961</v>
      </c>
      <c r="L8">
        <v>1.5284659175408995E-2</v>
      </c>
      <c r="R8" t="s">
        <v>30</v>
      </c>
      <c r="S8">
        <v>13434</v>
      </c>
    </row>
    <row r="9" spans="1:19" x14ac:dyDescent="0.2">
      <c r="A9" s="5">
        <v>78</v>
      </c>
      <c r="B9" s="5">
        <v>59</v>
      </c>
      <c r="C9" s="2"/>
      <c r="D9">
        <v>2.5420876694619894</v>
      </c>
      <c r="F9" s="14"/>
      <c r="G9" s="4">
        <v>227</v>
      </c>
      <c r="H9" s="4">
        <v>25.46</v>
      </c>
      <c r="I9">
        <f t="shared" si="0"/>
        <v>-39.277297721916732</v>
      </c>
      <c r="J9">
        <v>9.527857824006547E-2</v>
      </c>
      <c r="K9">
        <v>0.17172868049830547</v>
      </c>
      <c r="L9">
        <v>1.6362064520921003E-2</v>
      </c>
      <c r="O9" t="s">
        <v>31</v>
      </c>
      <c r="R9" t="s">
        <v>32</v>
      </c>
      <c r="S9">
        <v>8800</v>
      </c>
    </row>
    <row r="10" spans="1:19" x14ac:dyDescent="0.2">
      <c r="A10" s="5">
        <v>79</v>
      </c>
      <c r="B10" s="5">
        <v>59</v>
      </c>
      <c r="C10" s="2"/>
      <c r="D10">
        <v>2.5420876694619894</v>
      </c>
      <c r="G10" s="3">
        <v>230</v>
      </c>
      <c r="H10" s="3">
        <v>27</v>
      </c>
      <c r="I10">
        <f t="shared" si="0"/>
        <v>-37.037037037037038</v>
      </c>
      <c r="J10">
        <v>8.8672289960096518E-2</v>
      </c>
      <c r="K10">
        <v>0.16727801847631729</v>
      </c>
      <c r="L10">
        <v>1.483292495828239E-2</v>
      </c>
      <c r="O10" s="3" t="s">
        <v>33</v>
      </c>
      <c r="R10" t="s">
        <v>34</v>
      </c>
      <c r="S10">
        <v>10.14</v>
      </c>
    </row>
    <row r="11" spans="1:19" x14ac:dyDescent="0.2">
      <c r="A11" s="3">
        <v>61</v>
      </c>
      <c r="B11" s="3">
        <v>59</v>
      </c>
      <c r="C11" s="1" t="s">
        <v>35</v>
      </c>
      <c r="D11">
        <v>2.5420876694619894</v>
      </c>
      <c r="G11" s="4">
        <v>263</v>
      </c>
      <c r="H11" s="4">
        <v>18.84</v>
      </c>
      <c r="I11">
        <f t="shared" si="0"/>
        <v>-53.07855626326964</v>
      </c>
      <c r="J11">
        <v>0.111132958887772</v>
      </c>
      <c r="K11">
        <v>0.12793313735050649</v>
      </c>
      <c r="L11">
        <v>1.4217588093557526E-2</v>
      </c>
      <c r="O11" s="4" t="s">
        <v>36</v>
      </c>
      <c r="R11" t="s">
        <v>37</v>
      </c>
      <c r="S11">
        <v>10.06</v>
      </c>
    </row>
    <row r="12" spans="1:19" x14ac:dyDescent="0.2">
      <c r="A12" s="3">
        <v>64</v>
      </c>
      <c r="B12" s="3">
        <v>57</v>
      </c>
      <c r="C12" s="1"/>
      <c r="D12">
        <v>2.7236094728830977</v>
      </c>
      <c r="G12" s="5">
        <v>150</v>
      </c>
      <c r="H12" s="5">
        <v>70</v>
      </c>
      <c r="I12">
        <f>-1000/H12</f>
        <v>-14.285714285714286</v>
      </c>
      <c r="J12">
        <v>5.2443325776399929E-2</v>
      </c>
      <c r="K12">
        <v>0.39328920788431926</v>
      </c>
      <c r="L12">
        <v>2.0625394053419632E-2</v>
      </c>
      <c r="O12" s="5" t="s">
        <v>80</v>
      </c>
    </row>
    <row r="13" spans="1:19" x14ac:dyDescent="0.2">
      <c r="A13" s="3">
        <v>64</v>
      </c>
      <c r="B13" s="3">
        <v>57</v>
      </c>
      <c r="C13" s="1"/>
      <c r="D13">
        <v>2.7236094728830977</v>
      </c>
      <c r="G13" s="5">
        <v>270</v>
      </c>
      <c r="H13" s="5">
        <v>10.5</v>
      </c>
      <c r="I13">
        <f t="shared" ref="I13:I14" si="1">-1000/H13</f>
        <v>-95.238095238095241</v>
      </c>
      <c r="J13">
        <v>0.19423453991259235</v>
      </c>
      <c r="K13">
        <v>0.12138555798898744</v>
      </c>
      <c r="L13">
        <v>2.3577268008024274E-2</v>
      </c>
      <c r="R13" t="s">
        <v>39</v>
      </c>
    </row>
    <row r="14" spans="1:19" x14ac:dyDescent="0.2">
      <c r="A14" s="3">
        <v>67</v>
      </c>
      <c r="B14" s="3">
        <v>59</v>
      </c>
      <c r="C14" s="1"/>
      <c r="D14">
        <v>2.5420876694619894</v>
      </c>
      <c r="G14" s="5">
        <v>215</v>
      </c>
      <c r="H14" s="5">
        <v>26.5</v>
      </c>
      <c r="I14">
        <f t="shared" si="1"/>
        <v>-37.735849056603776</v>
      </c>
      <c r="J14">
        <v>9.6648516130267537E-2</v>
      </c>
      <c r="K14">
        <v>0.19143336240989037</v>
      </c>
      <c r="L14">
        <v>1.850175041474364E-2</v>
      </c>
      <c r="R14" t="s">
        <v>40</v>
      </c>
      <c r="S14">
        <v>18.43</v>
      </c>
    </row>
    <row r="15" spans="1:19" x14ac:dyDescent="0.2">
      <c r="A15" s="4">
        <v>64</v>
      </c>
      <c r="B15" s="4">
        <v>55</v>
      </c>
      <c r="C15" s="1"/>
      <c r="D15">
        <v>2.9252916288916304</v>
      </c>
      <c r="R15" t="s">
        <v>41</v>
      </c>
      <c r="S15">
        <v>1.97</v>
      </c>
    </row>
    <row r="16" spans="1:19" x14ac:dyDescent="0.2">
      <c r="A16" s="4">
        <v>60</v>
      </c>
      <c r="B16" s="4">
        <v>56</v>
      </c>
      <c r="C16" s="1"/>
      <c r="D16">
        <v>2.8217497376904284</v>
      </c>
      <c r="R16" t="s">
        <v>42</v>
      </c>
      <c r="S16">
        <v>4.74</v>
      </c>
    </row>
    <row r="17" spans="1:20" x14ac:dyDescent="0.2">
      <c r="A17" s="5">
        <v>62</v>
      </c>
      <c r="B17" s="5">
        <v>55</v>
      </c>
      <c r="C17" s="1"/>
      <c r="D17">
        <v>2.9252916288916304</v>
      </c>
      <c r="R17" t="s">
        <v>43</v>
      </c>
      <c r="S17">
        <v>0.63049999999999995</v>
      </c>
    </row>
    <row r="18" spans="1:20" x14ac:dyDescent="0.2">
      <c r="C18" s="1"/>
      <c r="R18" t="s">
        <v>44</v>
      </c>
      <c r="S18">
        <v>5</v>
      </c>
      <c r="T18">
        <v>-10</v>
      </c>
    </row>
    <row r="22" spans="1:20" ht="24.75" x14ac:dyDescent="0.35">
      <c r="A22" s="32" t="s">
        <v>45</v>
      </c>
      <c r="B22" s="32"/>
      <c r="C22" s="32"/>
      <c r="D22" s="32"/>
    </row>
    <row r="23" spans="1:20" x14ac:dyDescent="0.2">
      <c r="A23" t="s">
        <v>46</v>
      </c>
      <c r="B23" t="s">
        <v>47</v>
      </c>
      <c r="C23" t="s">
        <v>48</v>
      </c>
      <c r="D23" t="s">
        <v>49</v>
      </c>
      <c r="E23" t="s">
        <v>17</v>
      </c>
      <c r="G23" t="s">
        <v>49</v>
      </c>
      <c r="H23" t="s">
        <v>50</v>
      </c>
    </row>
    <row r="24" spans="1:20" x14ac:dyDescent="0.2">
      <c r="A24" s="3">
        <v>190</v>
      </c>
      <c r="B24" s="3">
        <v>0</v>
      </c>
      <c r="C24" s="3">
        <v>0.03</v>
      </c>
      <c r="D24" s="3">
        <v>-4</v>
      </c>
      <c r="E24" cm="1">
        <f t="array" ref="E24:E42">2*C52*9.81/(P4*(A24:A42*0.514444)^2*S2)</f>
        <v>0.24512485255947877</v>
      </c>
      <c r="G24" s="3">
        <v>-4</v>
      </c>
      <c r="H24" s="3">
        <v>10.014971149999999</v>
      </c>
    </row>
    <row r="25" spans="1:20" x14ac:dyDescent="0.2">
      <c r="A25" s="3">
        <v>210</v>
      </c>
      <c r="B25" s="3">
        <v>-0.5</v>
      </c>
      <c r="C25" s="3">
        <v>0.32</v>
      </c>
      <c r="D25" s="3">
        <v>-4</v>
      </c>
      <c r="E25">
        <v>0.20065775912465267</v>
      </c>
      <c r="G25" s="3">
        <v>0</v>
      </c>
      <c r="H25" s="5">
        <v>10.11657115</v>
      </c>
    </row>
    <row r="26" spans="1:20" x14ac:dyDescent="0.2">
      <c r="A26" s="3">
        <v>230</v>
      </c>
      <c r="B26" s="3">
        <v>-0.8</v>
      </c>
      <c r="C26" s="3">
        <v>0.59</v>
      </c>
      <c r="D26" s="3">
        <v>-4</v>
      </c>
      <c r="E26">
        <v>0.16727801847631729</v>
      </c>
      <c r="G26" s="3">
        <v>4</v>
      </c>
      <c r="H26" s="4">
        <v>10.21817115</v>
      </c>
    </row>
    <row r="27" spans="1:20" x14ac:dyDescent="0.2">
      <c r="A27" s="3">
        <v>250</v>
      </c>
      <c r="B27" s="3">
        <v>-1.1000000000000001</v>
      </c>
      <c r="C27" s="3">
        <v>0.66</v>
      </c>
      <c r="D27" s="3">
        <v>-4</v>
      </c>
      <c r="E27">
        <v>0.14158411483835498</v>
      </c>
    </row>
    <row r="28" spans="1:20" x14ac:dyDescent="0.2">
      <c r="A28" s="3">
        <v>270</v>
      </c>
      <c r="B28" s="3">
        <v>-1.2</v>
      </c>
      <c r="C28" s="3">
        <v>0.81</v>
      </c>
      <c r="D28" s="3">
        <v>-4</v>
      </c>
      <c r="E28">
        <v>0.12138555798898744</v>
      </c>
    </row>
    <row r="29" spans="1:20" x14ac:dyDescent="0.2">
      <c r="A29" s="3">
        <v>290</v>
      </c>
      <c r="B29" s="3">
        <v>-1.4</v>
      </c>
      <c r="C29" s="3">
        <v>0.98</v>
      </c>
      <c r="D29" s="3">
        <v>-4</v>
      </c>
      <c r="E29">
        <v>0.10522006156239219</v>
      </c>
    </row>
    <row r="30" spans="1:20" x14ac:dyDescent="0.2">
      <c r="A30" s="5">
        <v>210</v>
      </c>
      <c r="B30" s="5">
        <v>-0.5</v>
      </c>
      <c r="C30" s="5">
        <v>0.45</v>
      </c>
      <c r="D30" s="5">
        <v>0</v>
      </c>
      <c r="E30">
        <v>0.20065775912465267</v>
      </c>
    </row>
    <row r="31" spans="1:20" x14ac:dyDescent="0.2">
      <c r="A31" s="5">
        <v>229</v>
      </c>
      <c r="B31" s="5">
        <v>-0.7</v>
      </c>
      <c r="C31" s="5">
        <v>0.57999999999999996</v>
      </c>
      <c r="D31" s="5">
        <v>0</v>
      </c>
      <c r="E31">
        <v>0.16874215170185891</v>
      </c>
    </row>
    <row r="32" spans="1:20" ht="15" customHeight="1" x14ac:dyDescent="0.2">
      <c r="A32" s="5">
        <v>251</v>
      </c>
      <c r="B32" s="5">
        <v>-1.1000000000000001</v>
      </c>
      <c r="C32" s="5">
        <v>0.83</v>
      </c>
      <c r="D32" s="5">
        <v>0</v>
      </c>
      <c r="E32">
        <v>0.14045820189198874</v>
      </c>
    </row>
    <row r="33" spans="1:5" ht="15" customHeight="1" x14ac:dyDescent="0.2">
      <c r="A33" s="5">
        <v>270</v>
      </c>
      <c r="B33" s="5">
        <v>-1.2</v>
      </c>
      <c r="C33" s="5">
        <v>0.89</v>
      </c>
      <c r="D33" s="5">
        <v>0</v>
      </c>
      <c r="E33">
        <v>0.12138555798898744</v>
      </c>
    </row>
    <row r="34" spans="1:5" ht="15" customHeight="1" x14ac:dyDescent="0.2">
      <c r="A34" s="5">
        <v>291</v>
      </c>
      <c r="B34" s="5">
        <v>-1.5</v>
      </c>
      <c r="C34" s="5">
        <v>0.85</v>
      </c>
      <c r="D34" s="5">
        <v>0</v>
      </c>
      <c r="E34">
        <v>0.10449814217353579</v>
      </c>
    </row>
    <row r="35" spans="1:5" ht="15" customHeight="1" x14ac:dyDescent="0.2">
      <c r="A35" s="5">
        <v>270</v>
      </c>
      <c r="B35" s="5">
        <v>-1.2</v>
      </c>
      <c r="C35" s="5">
        <v>0.8</v>
      </c>
      <c r="D35" s="5">
        <v>0</v>
      </c>
      <c r="E35">
        <v>0.12138555798898744</v>
      </c>
    </row>
    <row r="36" spans="1:5" ht="15" customHeight="1" x14ac:dyDescent="0.2">
      <c r="A36" s="5">
        <v>291</v>
      </c>
      <c r="B36" s="5">
        <v>-1.5</v>
      </c>
      <c r="C36" s="5">
        <v>0.85</v>
      </c>
      <c r="D36" s="5">
        <v>0</v>
      </c>
      <c r="E36">
        <v>0.10449814217353579</v>
      </c>
    </row>
    <row r="37" spans="1:5" x14ac:dyDescent="0.2">
      <c r="A37" s="4">
        <v>190</v>
      </c>
      <c r="B37" s="4">
        <v>-0.1</v>
      </c>
      <c r="C37" s="4">
        <v>0.35</v>
      </c>
      <c r="D37" s="4">
        <v>4</v>
      </c>
      <c r="E37">
        <v>0.24512485255947877</v>
      </c>
    </row>
    <row r="38" spans="1:5" x14ac:dyDescent="0.2">
      <c r="A38" s="4">
        <v>210</v>
      </c>
      <c r="B38" s="4">
        <v>-0.5</v>
      </c>
      <c r="C38" s="4">
        <v>0.56000000000000005</v>
      </c>
      <c r="D38" s="4">
        <v>4</v>
      </c>
      <c r="E38">
        <v>0.20065775912465267</v>
      </c>
    </row>
    <row r="39" spans="1:5" x14ac:dyDescent="0.2">
      <c r="A39" s="4">
        <v>230</v>
      </c>
      <c r="B39" s="4">
        <v>-0.8</v>
      </c>
      <c r="C39" s="4">
        <v>0.71</v>
      </c>
      <c r="D39" s="4">
        <v>4</v>
      </c>
      <c r="E39">
        <v>0.16727801847631729</v>
      </c>
    </row>
    <row r="40" spans="1:5" x14ac:dyDescent="0.2">
      <c r="A40" s="4">
        <v>250</v>
      </c>
      <c r="B40" s="4">
        <v>-1.1000000000000001</v>
      </c>
      <c r="C40" s="4">
        <v>0.86</v>
      </c>
      <c r="D40" s="4">
        <v>4</v>
      </c>
      <c r="E40">
        <v>0.14158411483835498</v>
      </c>
    </row>
    <row r="41" spans="1:5" x14ac:dyDescent="0.2">
      <c r="A41" s="4">
        <v>270</v>
      </c>
      <c r="B41" s="4">
        <v>-1.2</v>
      </c>
      <c r="C41" s="4">
        <v>0.92</v>
      </c>
      <c r="D41" s="4">
        <v>4</v>
      </c>
      <c r="E41">
        <v>0.12138555798898744</v>
      </c>
    </row>
    <row r="42" spans="1:5" x14ac:dyDescent="0.2">
      <c r="A42" s="4">
        <v>295</v>
      </c>
      <c r="B42" s="4">
        <v>-1.5</v>
      </c>
      <c r="C42" s="4">
        <v>1.1499999999999999</v>
      </c>
      <c r="D42" s="4">
        <v>4</v>
      </c>
      <c r="E42">
        <v>0.10168350677847954</v>
      </c>
    </row>
    <row r="43" spans="1:5" x14ac:dyDescent="0.2">
      <c r="A43" s="4"/>
      <c r="B43" s="4"/>
      <c r="C43" s="4"/>
      <c r="D43" s="4"/>
    </row>
    <row r="44" spans="1:5" x14ac:dyDescent="0.2">
      <c r="A44" s="4"/>
      <c r="B44" s="4"/>
      <c r="C44" s="4"/>
      <c r="D44" s="4"/>
    </row>
    <row r="47" spans="1:5" x14ac:dyDescent="0.2">
      <c r="A47" t="s">
        <v>53</v>
      </c>
    </row>
    <row r="49" spans="1:11" x14ac:dyDescent="0.2">
      <c r="A49" t="s">
        <v>54</v>
      </c>
    </row>
    <row r="51" spans="1:11" x14ac:dyDescent="0.2">
      <c r="C51" t="s">
        <v>55</v>
      </c>
    </row>
    <row r="52" spans="1:11" x14ac:dyDescent="0.2">
      <c r="A52" t="s">
        <v>56</v>
      </c>
      <c r="B52">
        <f>S8+P2+P3</f>
        <v>20527.510000000002</v>
      </c>
      <c r="C52">
        <f>0.453592*B52</f>
        <v>9311.1143159200001</v>
      </c>
    </row>
    <row r="53" spans="1:11" x14ac:dyDescent="0.2">
      <c r="A53" t="s">
        <v>57</v>
      </c>
      <c r="B53">
        <f>((S8+P3)*S10 + (P2*S11))/B52</f>
        <v>10.116571147693998</v>
      </c>
    </row>
    <row r="54" spans="1:11" x14ac:dyDescent="0.2">
      <c r="A54" s="1" t="s">
        <v>58</v>
      </c>
      <c r="B54" s="1">
        <v>0.25458999999999998</v>
      </c>
    </row>
    <row r="55" spans="1:11" x14ac:dyDescent="0.2">
      <c r="A55" s="1" t="s">
        <v>59</v>
      </c>
      <c r="B55" s="1">
        <v>10.98</v>
      </c>
    </row>
    <row r="56" spans="1:11" x14ac:dyDescent="0.2">
      <c r="A56" t="s">
        <v>60</v>
      </c>
      <c r="B56">
        <v>0.63049999999999995</v>
      </c>
    </row>
    <row r="57" spans="1:11" x14ac:dyDescent="0.2">
      <c r="A57" t="s">
        <v>61</v>
      </c>
      <c r="B57">
        <f>1.5231/(B54*B56)</f>
        <v>9.4885966610992067</v>
      </c>
    </row>
    <row r="58" spans="1:11" x14ac:dyDescent="0.2">
      <c r="A58" t="s">
        <v>62</v>
      </c>
      <c r="B58">
        <v>0.87</v>
      </c>
    </row>
    <row r="62" spans="1:11" ht="21" x14ac:dyDescent="0.3">
      <c r="J62" s="16"/>
      <c r="K62" s="18" t="s">
        <v>63</v>
      </c>
    </row>
    <row r="63" spans="1:11" x14ac:dyDescent="0.2">
      <c r="J63" s="16"/>
    </row>
    <row r="64" spans="1:11" ht="16.5" x14ac:dyDescent="0.25">
      <c r="J64" s="16"/>
      <c r="K64" s="17" t="s">
        <v>64</v>
      </c>
    </row>
    <row r="65" spans="10:46" x14ac:dyDescent="0.2">
      <c r="J65" s="16"/>
      <c r="AP65" t="s">
        <v>69</v>
      </c>
    </row>
    <row r="66" spans="10:46" x14ac:dyDescent="0.2">
      <c r="J66" s="16"/>
      <c r="S66" t="s">
        <v>71</v>
      </c>
      <c r="AR66" t="s">
        <v>72</v>
      </c>
      <c r="AT66" t="s">
        <v>81</v>
      </c>
    </row>
    <row r="67" spans="10:46" x14ac:dyDescent="0.2">
      <c r="J67" s="16"/>
      <c r="T67" t="s">
        <v>74</v>
      </c>
      <c r="U67" t="s">
        <v>72</v>
      </c>
      <c r="V67" t="s">
        <v>75</v>
      </c>
      <c r="X67" t="s">
        <v>50</v>
      </c>
      <c r="AP67" t="s">
        <v>70</v>
      </c>
      <c r="AR67">
        <v>-6.5118</v>
      </c>
      <c r="AT67">
        <v>-6.1951999999999998</v>
      </c>
    </row>
    <row r="68" spans="10:46" x14ac:dyDescent="0.2">
      <c r="J68" s="16"/>
      <c r="S68" t="s">
        <v>70</v>
      </c>
      <c r="T68" s="25" cm="1">
        <f t="array" ref="T68:T86">2*C52*9.81/(P4*(A24:A42*0.514444)^2*S2)</f>
        <v>0.24512485255947877</v>
      </c>
      <c r="U68" cm="1">
        <f t="array" ref="U68:U73">(1.352*T68:T73) - 6.7483</f>
        <v>-6.4168911993395854</v>
      </c>
      <c r="V68" cm="1">
        <f t="array" ref="V68:V73">(_xlfn.ANCHORARRAY(U68))/6</f>
        <v>-1.0694818665565975</v>
      </c>
      <c r="W68">
        <f xml:space="preserve"> (SUM(_xlfn.ANCHORARRAY(V68)))</f>
        <v>-6.5271915845213577</v>
      </c>
      <c r="X68" s="3">
        <v>10.014971149999999</v>
      </c>
      <c r="AP68" t="s">
        <v>73</v>
      </c>
      <c r="AR68">
        <v>-4.391</v>
      </c>
      <c r="AT68">
        <v>-4.2214999999999998</v>
      </c>
    </row>
    <row r="69" spans="10:46" x14ac:dyDescent="0.2">
      <c r="J69" s="16"/>
      <c r="T69" s="25">
        <v>0.20065775912465267</v>
      </c>
      <c r="U69">
        <v>-6.4770107096634701</v>
      </c>
      <c r="V69">
        <v>-1.0795017849439117</v>
      </c>
      <c r="AP69" t="s">
        <v>76</v>
      </c>
      <c r="AR69">
        <v>-5.2458999999999998</v>
      </c>
      <c r="AT69">
        <v>-4.7093999999999996</v>
      </c>
    </row>
    <row r="70" spans="10:46" x14ac:dyDescent="0.2">
      <c r="J70" s="16"/>
      <c r="T70" s="25">
        <v>0.16727801847631729</v>
      </c>
      <c r="U70">
        <v>-6.522140119020019</v>
      </c>
      <c r="V70">
        <v>-1.0870233531700031</v>
      </c>
    </row>
    <row r="71" spans="10:46" x14ac:dyDescent="0.2">
      <c r="J71" s="16"/>
      <c r="T71" s="25">
        <v>0.14158411483835498</v>
      </c>
      <c r="U71">
        <v>-6.5568782767385443</v>
      </c>
      <c r="V71">
        <v>-1.0928130461230907</v>
      </c>
    </row>
    <row r="72" spans="10:46" x14ac:dyDescent="0.2">
      <c r="J72" s="16"/>
      <c r="T72" s="25">
        <v>0.12138555798898744</v>
      </c>
      <c r="U72">
        <v>-6.5841867255988893</v>
      </c>
      <c r="V72">
        <v>-1.0973644542664815</v>
      </c>
    </row>
    <row r="73" spans="10:46" x14ac:dyDescent="0.2">
      <c r="J73" s="16"/>
      <c r="T73" s="25">
        <v>0.10522006156239219</v>
      </c>
      <c r="U73">
        <v>-6.6060424767676462</v>
      </c>
      <c r="V73">
        <v>-1.1010070794612743</v>
      </c>
    </row>
    <row r="74" spans="10:46" x14ac:dyDescent="0.2">
      <c r="J74" s="16"/>
      <c r="S74" t="s">
        <v>73</v>
      </c>
      <c r="T74" s="24">
        <v>0.20065775912465267</v>
      </c>
      <c r="U74" cm="1">
        <f t="array" ref="U74:U80" xml:space="preserve"> (-72.596*T74:T80) +6.5523</f>
        <v>-8.0146506814132863</v>
      </c>
      <c r="V74" cm="1">
        <f t="array" ref="V74:V80" xml:space="preserve"> (_xlfn.ANCHORARRAY(U74))/7</f>
        <v>-1.1449500973447553</v>
      </c>
      <c r="W74">
        <f>(SUM(_xlfn.ANCHORARRAY(V74)))</f>
        <v>-3.4205808207013315</v>
      </c>
      <c r="X74" s="5">
        <v>10.11657115</v>
      </c>
    </row>
    <row r="75" spans="10:46" x14ac:dyDescent="0.2">
      <c r="J75" s="16"/>
      <c r="T75" s="24">
        <v>0.16874215170185891</v>
      </c>
      <c r="U75">
        <v>-5.6977052449481507</v>
      </c>
      <c r="V75">
        <v>-0.81395789213545011</v>
      </c>
    </row>
    <row r="76" spans="10:46" x14ac:dyDescent="0.2">
      <c r="J76" s="16"/>
      <c r="T76" s="24">
        <v>0.14045820189198874</v>
      </c>
      <c r="U76">
        <v>-3.6444036245508142</v>
      </c>
      <c r="V76">
        <v>-0.52062908922154494</v>
      </c>
    </row>
    <row r="77" spans="10:46" x14ac:dyDescent="0.2">
      <c r="J77" s="16"/>
      <c r="T77" s="24">
        <v>0.12138555798898744</v>
      </c>
      <c r="U77">
        <v>-2.2598059677685329</v>
      </c>
      <c r="V77">
        <v>-0.32282942396693326</v>
      </c>
    </row>
    <row r="78" spans="10:46" x14ac:dyDescent="0.2">
      <c r="J78" s="16"/>
      <c r="T78" s="24">
        <v>0.10449814217353579</v>
      </c>
      <c r="U78">
        <v>-1.0338471292300042</v>
      </c>
      <c r="V78">
        <v>-0.14769244703285775</v>
      </c>
    </row>
    <row r="79" spans="10:46" x14ac:dyDescent="0.2">
      <c r="J79" s="16"/>
      <c r="T79" s="24">
        <v>0.12138555798898744</v>
      </c>
      <c r="U79">
        <v>-2.2598059677685329</v>
      </c>
      <c r="V79">
        <v>-0.32282942396693326</v>
      </c>
    </row>
    <row r="80" spans="10:46" x14ac:dyDescent="0.2">
      <c r="J80" s="16"/>
      <c r="T80" s="24">
        <v>0.10449814217353579</v>
      </c>
      <c r="U80">
        <v>-1.0338471292300042</v>
      </c>
      <c r="V80">
        <v>-0.14769244703285775</v>
      </c>
    </row>
    <row r="81" spans="10:51" x14ac:dyDescent="0.2">
      <c r="J81" s="16"/>
      <c r="S81" t="s">
        <v>76</v>
      </c>
      <c r="T81" s="23">
        <v>0.24512485255947877</v>
      </c>
      <c r="U81" cm="1">
        <f t="array" ref="U81:U86" xml:space="preserve"> (24.732*T81:T86) -9.536</f>
        <v>-3.4735721464989711</v>
      </c>
      <c r="V81" cm="1">
        <f t="array" ref="V81:V86" xml:space="preserve"> (_xlfn.ANCHORARRAY(U81))/6</f>
        <v>-0.57892869108316181</v>
      </c>
      <c r="W81">
        <f>SUM(_xlfn.ANCHORARRAY(V81))</f>
        <v>-5.5058636761434316</v>
      </c>
      <c r="X81" s="4">
        <v>10.21817115</v>
      </c>
    </row>
    <row r="82" spans="10:51" x14ac:dyDescent="0.2">
      <c r="J82" s="16"/>
      <c r="T82" s="23">
        <v>0.20065775912465267</v>
      </c>
      <c r="U82">
        <v>-4.5733323013290903</v>
      </c>
      <c r="V82">
        <v>-0.76222205022151501</v>
      </c>
    </row>
    <row r="83" spans="10:51" x14ac:dyDescent="0.2">
      <c r="J83" s="16"/>
      <c r="T83" s="23">
        <v>0.16727801847631729</v>
      </c>
      <c r="U83">
        <v>-5.3988800470437202</v>
      </c>
      <c r="V83">
        <v>-0.8998133411739534</v>
      </c>
    </row>
    <row r="84" spans="10:51" x14ac:dyDescent="0.2">
      <c r="J84" s="16"/>
      <c r="T84" s="23">
        <v>0.14158411483835498</v>
      </c>
      <c r="U84">
        <v>-6.0343416718178045</v>
      </c>
      <c r="V84">
        <v>-1.005723611969634</v>
      </c>
    </row>
    <row r="85" spans="10:51" x14ac:dyDescent="0.2">
      <c r="J85" s="16"/>
      <c r="T85" s="23">
        <v>0.12138555798898744</v>
      </c>
      <c r="U85">
        <v>-6.5338923798163622</v>
      </c>
      <c r="V85">
        <v>-1.088982063302727</v>
      </c>
      <c r="AQ85">
        <v>35.384116878000441</v>
      </c>
    </row>
    <row r="86" spans="10:51" x14ac:dyDescent="0.2">
      <c r="J86" s="16"/>
      <c r="T86" s="23">
        <v>0.10168350677847954</v>
      </c>
      <c r="U86">
        <v>-7.0211635103546435</v>
      </c>
      <c r="V86">
        <v>-1.1701939183924406</v>
      </c>
      <c r="AQ86">
        <v>6.0948688779999429</v>
      </c>
      <c r="AU86" t="s">
        <v>82</v>
      </c>
      <c r="AV86" t="s">
        <v>61</v>
      </c>
    </row>
    <row r="87" spans="10:51" x14ac:dyDescent="0.2">
      <c r="J87" s="16"/>
      <c r="AQ87">
        <v>-23.194379121999646</v>
      </c>
      <c r="AU87">
        <v>1.5298999999999998</v>
      </c>
      <c r="AV87">
        <f>AU87/(AS93*0.6035)</f>
        <v>9.804095942178952</v>
      </c>
    </row>
    <row r="88" spans="10:51" x14ac:dyDescent="0.2">
      <c r="AU88">
        <v>1.5230999999999999</v>
      </c>
      <c r="AV88">
        <f t="shared" ref="AV88:AV89" si="2">AU88/(AS94*0.6035)</f>
        <v>9.7605193342916294</v>
      </c>
    </row>
    <row r="89" spans="10:51" x14ac:dyDescent="0.2">
      <c r="AU89">
        <f t="shared" ref="AU89" si="3">$AO$113+$AO$115*AU88</f>
        <v>1.5205107299999998</v>
      </c>
      <c r="AV89">
        <f t="shared" si="2"/>
        <v>9.7439264514233326</v>
      </c>
    </row>
    <row r="91" spans="10:51" x14ac:dyDescent="0.2">
      <c r="AP91" t="s">
        <v>83</v>
      </c>
    </row>
    <row r="92" spans="10:51" x14ac:dyDescent="0.2">
      <c r="AQ92" s="1" t="s">
        <v>65</v>
      </c>
      <c r="AR92" t="s">
        <v>66</v>
      </c>
      <c r="AS92" t="s">
        <v>84</v>
      </c>
      <c r="AT92" t="s">
        <v>59</v>
      </c>
      <c r="AU92" s="22" t="s">
        <v>61</v>
      </c>
      <c r="AW92" t="s">
        <v>85</v>
      </c>
    </row>
    <row r="93" spans="10:51" x14ac:dyDescent="0.2">
      <c r="U93" t="s">
        <v>65</v>
      </c>
      <c r="V93" t="s">
        <v>66</v>
      </c>
      <c r="W93" t="s">
        <v>67</v>
      </c>
      <c r="X93" t="s">
        <v>59</v>
      </c>
      <c r="Y93" s="22" t="s">
        <v>61</v>
      </c>
      <c r="AP93" t="s">
        <v>70</v>
      </c>
      <c r="AQ93" s="1">
        <v>6.1338999999999997</v>
      </c>
      <c r="AR93">
        <v>-6.0150999999999994</v>
      </c>
      <c r="AS93" s="2">
        <f>1/(AQ93*0.6305)</f>
        <v>0.25857004893399393</v>
      </c>
      <c r="AT93">
        <f>-AR93*AS93*0.6305 + H24</f>
        <v>10.995603374196676</v>
      </c>
      <c r="AU93" s="22">
        <f>1.5231/(AS93*0.6305)</f>
        <v>9.3425430899999995</v>
      </c>
      <c r="AW93" t="s">
        <v>86</v>
      </c>
      <c r="AX93" t="s">
        <v>87</v>
      </c>
      <c r="AY93" t="s">
        <v>88</v>
      </c>
    </row>
    <row r="94" spans="10:51" x14ac:dyDescent="0.2">
      <c r="T94" t="s">
        <v>70</v>
      </c>
      <c r="U94">
        <f>(-502.96*X68) +5093.3</f>
        <v>56.170110396000382</v>
      </c>
      <c r="V94">
        <v>-6.52719</v>
      </c>
      <c r="W94" s="2">
        <f>1/(U94*0.6305)</f>
        <v>2.8236419903300745E-2</v>
      </c>
      <c r="X94">
        <f>V94*W94*0.6305*-1+X68</f>
        <v>10.131175123144848</v>
      </c>
      <c r="Y94" s="22">
        <f>1.5231/(W94*0.6305)</f>
        <v>85.552695144148174</v>
      </c>
      <c r="AP94" t="s">
        <v>73</v>
      </c>
      <c r="AQ94" s="1">
        <v>6.1338999999999997</v>
      </c>
      <c r="AR94">
        <v>-5.3918999999999997</v>
      </c>
      <c r="AS94" s="22">
        <f>1/(AQ94*0.6305)</f>
        <v>0.25857004893399393</v>
      </c>
      <c r="AT94">
        <f>AR94*AS94*0.6305*-1+H25</f>
        <v>10.995604065437162</v>
      </c>
      <c r="AU94" s="22">
        <f>1.5231/(AS94*0.6305)</f>
        <v>9.3425430899999995</v>
      </c>
      <c r="AW94">
        <f>AS93*AX94/AY94</f>
        <v>6.4633744769476573E-2</v>
      </c>
      <c r="AX94">
        <v>18.43</v>
      </c>
      <c r="AY94">
        <v>73.73</v>
      </c>
    </row>
    <row r="95" spans="10:51" x14ac:dyDescent="0.2">
      <c r="T95" t="s">
        <v>73</v>
      </c>
      <c r="U95">
        <f>(-502.96*X74) +5093.3</f>
        <v>5.0693743960000575</v>
      </c>
      <c r="V95">
        <v>-3.4205800000000002</v>
      </c>
      <c r="W95" s="22">
        <f>1/(U95*0.6305)</f>
        <v>0.31286756496179835</v>
      </c>
      <c r="X95" t="e">
        <f>V95*W95*0.6305*-1+#REF!</f>
        <v>#REF!</v>
      </c>
      <c r="Y95" s="22">
        <f>1.5231/(W95*0.6305)</f>
        <v>7.7211641425476873</v>
      </c>
      <c r="AP95" t="s">
        <v>76</v>
      </c>
      <c r="AQ95" s="1">
        <v>6.1338999999999997</v>
      </c>
      <c r="AR95">
        <f>$AO$114+$AO$116*AR112</f>
        <v>-4.7686999999999999</v>
      </c>
      <c r="AS95" s="1">
        <f>1/(AQ95*0.6305)</f>
        <v>0.25857004893399393</v>
      </c>
      <c r="AT95">
        <f>AR95*AS95*0.6305*-1+H26</f>
        <v>10.995604756677643</v>
      </c>
      <c r="AU95" s="22">
        <f>1.5231/(AS95*0.6305)</f>
        <v>9.3425430899999995</v>
      </c>
    </row>
    <row r="96" spans="10:51" x14ac:dyDescent="0.2">
      <c r="T96" t="s">
        <v>76</v>
      </c>
      <c r="U96">
        <f>(-502.96*X81) +5093.3</f>
        <v>-46.031361603999358</v>
      </c>
      <c r="V96">
        <v>-5.5058600000000002</v>
      </c>
      <c r="W96" s="1">
        <f>1/(U96*0.6305)</f>
        <v>-3.4455700806782667E-2</v>
      </c>
      <c r="X96" t="e">
        <f>V96*W96*0.6305*-1+#REF!</f>
        <v>#REF!</v>
      </c>
      <c r="Y96" s="22">
        <f>1.5231/(W96*0.6305)</f>
        <v>-70.110366859051425</v>
      </c>
      <c r="AP96" t="s">
        <v>78</v>
      </c>
    </row>
    <row r="97" spans="41:46" x14ac:dyDescent="0.2">
      <c r="AP97" t="s">
        <v>89</v>
      </c>
      <c r="AQ97" t="s">
        <v>90</v>
      </c>
      <c r="AR97" t="s">
        <v>67</v>
      </c>
      <c r="AS97" t="s">
        <v>59</v>
      </c>
      <c r="AT97" t="s">
        <v>61</v>
      </c>
    </row>
    <row r="98" spans="41:46" x14ac:dyDescent="0.2">
      <c r="AP98">
        <f t="shared" ref="AP98:AQ100" si="4">RADIANS(AQ93)</f>
        <v>0.10705675098808018</v>
      </c>
      <c r="AQ98">
        <f t="shared" si="4"/>
        <v>-0.10498329983671091</v>
      </c>
      <c r="AR98">
        <f>1/(AP98*0.6305)</f>
        <v>14.814972512409023</v>
      </c>
      <c r="AS98">
        <f>H24-AR98*0.6035*AQ98</f>
        <v>10.95360960726042</v>
      </c>
      <c r="AT98">
        <f>-AU87/(AR98*0.6035)</f>
        <v>-0.17111375437243834</v>
      </c>
    </row>
    <row r="99" spans="41:46" x14ac:dyDescent="0.2">
      <c r="AP99">
        <f t="shared" si="4"/>
        <v>0.10705675098808018</v>
      </c>
      <c r="AQ99">
        <f t="shared" si="4"/>
        <v>-9.4106407938282247E-2</v>
      </c>
      <c r="AR99">
        <f t="shared" ref="AR99:AR100" si="5">1/(AP99*0.6305)</f>
        <v>14.814972512409023</v>
      </c>
      <c r="AS99">
        <f>H25-AR99*0.6035*AQ99</f>
        <v>10.957961101572288</v>
      </c>
      <c r="AT99">
        <f>-AU88/(AR99*0.6035)</f>
        <v>-0.17035319908795402</v>
      </c>
    </row>
    <row r="100" spans="41:46" x14ac:dyDescent="0.2">
      <c r="AP100">
        <f t="shared" si="4"/>
        <v>0.10705675098808018</v>
      </c>
      <c r="AQ100">
        <f t="shared" si="4"/>
        <v>-8.3229516039853596E-2</v>
      </c>
      <c r="AR100">
        <f t="shared" si="5"/>
        <v>14.814972512409023</v>
      </c>
      <c r="AS100">
        <f>H26-AR100*0.6035*AQ100</f>
        <v>10.962312595884152</v>
      </c>
      <c r="AT100">
        <f>-AU89/(AR100*0.6035)</f>
        <v>-0.17006359864950449</v>
      </c>
    </row>
    <row r="102" spans="41:46" x14ac:dyDescent="0.2">
      <c r="AP102" t="s">
        <v>91</v>
      </c>
      <c r="AQ102" t="s">
        <v>92</v>
      </c>
    </row>
    <row r="103" spans="41:46" x14ac:dyDescent="0.2">
      <c r="AP103">
        <v>3.79</v>
      </c>
      <c r="AQ103">
        <f>(10.94-H24)/$AP$103</f>
        <v>0.24407093667546184</v>
      </c>
      <c r="AR103" t="s">
        <v>93</v>
      </c>
    </row>
    <row r="104" spans="41:46" x14ac:dyDescent="0.2">
      <c r="AQ104">
        <f>100*(10.72-H25)/$AP$103</f>
        <v>15.921605540897104</v>
      </c>
      <c r="AR104" t="s">
        <v>94</v>
      </c>
    </row>
    <row r="105" spans="41:46" x14ac:dyDescent="0.2">
      <c r="AQ105">
        <f>100*(10.91-H26)/$AP$103</f>
        <v>18.254059366754625</v>
      </c>
      <c r="AR105" t="s">
        <v>95</v>
      </c>
    </row>
    <row r="111" spans="41:46" x14ac:dyDescent="0.2">
      <c r="AP111" s="33" t="s">
        <v>96</v>
      </c>
      <c r="AQ111" s="33"/>
      <c r="AR111" s="33"/>
    </row>
    <row r="112" spans="41:46" x14ac:dyDescent="0.2">
      <c r="AO112" t="s">
        <v>97</v>
      </c>
      <c r="AP112">
        <v>-4</v>
      </c>
      <c r="AQ112">
        <v>0</v>
      </c>
      <c r="AR112">
        <v>4</v>
      </c>
    </row>
    <row r="113" spans="40:44" x14ac:dyDescent="0.2">
      <c r="AN113" t="s">
        <v>82</v>
      </c>
      <c r="AO113">
        <v>1.5230999999999999</v>
      </c>
      <c r="AP113">
        <f>$AO$113+$AO$115*AP112</f>
        <v>1.5298999999999998</v>
      </c>
      <c r="AQ113">
        <f t="shared" ref="AQ113:AR113" si="6">$AO$113+$AO$115*AQ112</f>
        <v>1.5230999999999999</v>
      </c>
      <c r="AR113">
        <f t="shared" si="6"/>
        <v>1.5163</v>
      </c>
    </row>
    <row r="114" spans="40:44" x14ac:dyDescent="0.2">
      <c r="AN114" t="s">
        <v>98</v>
      </c>
      <c r="AO114">
        <v>-5.3918999999999997</v>
      </c>
      <c r="AP114">
        <f>$AO$114+$AO$116*AP112</f>
        <v>-6.0150999999999994</v>
      </c>
      <c r="AQ114">
        <f t="shared" ref="AQ114:AR114" si="7">$AO$114+$AO$116*AQ112</f>
        <v>-5.3918999999999997</v>
      </c>
      <c r="AR114">
        <f t="shared" si="7"/>
        <v>-4.7686999999999999</v>
      </c>
    </row>
    <row r="115" spans="40:44" x14ac:dyDescent="0.2">
      <c r="AN115" t="s">
        <v>99</v>
      </c>
      <c r="AO115">
        <v>-1.6999999999999999E-3</v>
      </c>
    </row>
    <row r="116" spans="40:44" x14ac:dyDescent="0.2">
      <c r="AN116" t="s">
        <v>100</v>
      </c>
      <c r="AO116">
        <v>0.15579999999999999</v>
      </c>
    </row>
  </sheetData>
  <sortState xmlns:xlrd2="http://schemas.microsoft.com/office/spreadsheetml/2017/richdata2" ref="A24:D42">
    <sortCondition ref="D24:D42"/>
  </sortState>
  <mergeCells count="5">
    <mergeCell ref="G2:J2"/>
    <mergeCell ref="A2:D2"/>
    <mergeCell ref="A22:D22"/>
    <mergeCell ref="A1:J1"/>
    <mergeCell ref="AP111:AR111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B7FE-1053-417A-AC60-31D7E6307F4B}">
  <dimension ref="A1:X59"/>
  <sheetViews>
    <sheetView zoomScale="43" zoomScaleNormal="43" workbookViewId="0">
      <selection activeCell="AD31" sqref="AD31"/>
    </sheetView>
  </sheetViews>
  <sheetFormatPr defaultRowHeight="15" x14ac:dyDescent="0.2"/>
  <cols>
    <col min="19" max="19" width="16.94921875" customWidth="1"/>
    <col min="20" max="21" width="21.5234375" customWidth="1"/>
    <col min="22" max="22" width="30.1328125" customWidth="1"/>
    <col min="23" max="23" width="32.8203125" customWidth="1"/>
  </cols>
  <sheetData>
    <row r="1" spans="1:12" x14ac:dyDescent="0.2">
      <c r="A1" s="33" t="s">
        <v>101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x14ac:dyDescent="0.2">
      <c r="A2" t="s">
        <v>102</v>
      </c>
      <c r="B2" t="s">
        <v>74</v>
      </c>
      <c r="C2" t="s">
        <v>103</v>
      </c>
      <c r="E2" t="s">
        <v>104</v>
      </c>
      <c r="G2" t="s">
        <v>105</v>
      </c>
      <c r="H2" t="s">
        <v>106</v>
      </c>
      <c r="I2" t="s">
        <v>107</v>
      </c>
      <c r="J2" t="s">
        <v>108</v>
      </c>
      <c r="L2" t="s">
        <v>109</v>
      </c>
    </row>
    <row r="3" spans="1:12" x14ac:dyDescent="0.2">
      <c r="A3">
        <v>4.1516106233796493E-2</v>
      </c>
      <c r="B3">
        <v>3.6563276871415961E-4</v>
      </c>
      <c r="C3">
        <v>-3.8449804642539456E-2</v>
      </c>
      <c r="E3">
        <v>2.1999999999999999E-2</v>
      </c>
      <c r="G3">
        <v>-1.9996965248019674</v>
      </c>
      <c r="H3">
        <v>2.005309823363732E-9</v>
      </c>
      <c r="I3">
        <v>1.5173759901637623E-4</v>
      </c>
      <c r="J3">
        <v>5.2736718658139537E-6</v>
      </c>
      <c r="L3">
        <v>6.351610823910632E-2</v>
      </c>
    </row>
    <row r="4" spans="1:12" x14ac:dyDescent="0.2">
      <c r="A4">
        <v>4.3115492217637164E-2</v>
      </c>
      <c r="B4">
        <v>0.13422650394900151</v>
      </c>
      <c r="C4">
        <v>-1.9411328306440857E-2</v>
      </c>
      <c r="E4">
        <v>2.1999999999999999E-2</v>
      </c>
      <c r="G4">
        <v>0.11140799827767126</v>
      </c>
      <c r="H4">
        <v>2.7025131543556981E-4</v>
      </c>
      <c r="I4">
        <v>5.5703999138835628E-2</v>
      </c>
      <c r="J4">
        <v>1.9360040950700537E-3</v>
      </c>
      <c r="L4">
        <v>6.5385743533072721E-2</v>
      </c>
    </row>
    <row r="5" spans="1:12" x14ac:dyDescent="0.2">
      <c r="A5">
        <v>4.5764056318715503E-2</v>
      </c>
      <c r="B5">
        <v>0.27202527754922773</v>
      </c>
      <c r="C5">
        <v>4.5242817531750759E-3</v>
      </c>
      <c r="E5">
        <v>2.1999999999999999E-2</v>
      </c>
      <c r="G5">
        <v>2.225780980365859</v>
      </c>
      <c r="H5">
        <v>1.1099662743860156E-3</v>
      </c>
      <c r="I5">
        <v>0.1128904901829295</v>
      </c>
      <c r="J5">
        <v>3.923532505159838E-3</v>
      </c>
      <c r="L5">
        <v>6.8874022593101519E-2</v>
      </c>
    </row>
    <row r="6" spans="1:12" x14ac:dyDescent="0.2">
      <c r="A6">
        <v>5.0278692479498212E-2</v>
      </c>
      <c r="B6">
        <v>0.40725300804978026</v>
      </c>
      <c r="C6">
        <v>2.9419940032584344E-2</v>
      </c>
      <c r="E6">
        <v>2.1999999999999999E-2</v>
      </c>
      <c r="G6">
        <v>4.338019996681318</v>
      </c>
      <c r="H6">
        <v>2.4878251884839159E-3</v>
      </c>
      <c r="I6">
        <v>0.1690099983406588</v>
      </c>
      <c r="J6">
        <v>5.8739777027459203E-3</v>
      </c>
      <c r="L6">
        <v>7.4766517667982133E-2</v>
      </c>
    </row>
    <row r="7" spans="1:12" x14ac:dyDescent="0.2">
      <c r="A7">
        <v>5.7416297006502116E-2</v>
      </c>
      <c r="B7">
        <v>0.53714118975746716</v>
      </c>
      <c r="C7">
        <v>5.8543433175623223E-2</v>
      </c>
      <c r="E7">
        <v>2.1999999999999999E-2</v>
      </c>
      <c r="G7">
        <v>6.4458271874986979</v>
      </c>
      <c r="H7">
        <v>4.3278098660110096E-3</v>
      </c>
      <c r="I7">
        <v>0.22291359374934885</v>
      </c>
      <c r="J7">
        <v>7.7474083910906546E-3</v>
      </c>
      <c r="L7">
        <v>8.374410687251313E-2</v>
      </c>
    </row>
    <row r="8" spans="1:12" x14ac:dyDescent="0.2">
      <c r="A8">
        <v>6.8868166060973651E-2</v>
      </c>
      <c r="B8">
        <v>0.64052218121012983</v>
      </c>
      <c r="C8">
        <v>8.6446689740872204E-2</v>
      </c>
      <c r="E8">
        <v>2.1999999999999999E-2</v>
      </c>
      <c r="G8">
        <v>8.5316334104044085</v>
      </c>
      <c r="H8">
        <v>6.1540299693327348E-3</v>
      </c>
      <c r="I8">
        <v>0.26581670520220385</v>
      </c>
      <c r="J8">
        <v>9.2385149677828501E-3</v>
      </c>
      <c r="L8">
        <v>9.7022196030306374E-2</v>
      </c>
    </row>
    <row r="9" spans="1:12" x14ac:dyDescent="0.2">
      <c r="A9">
        <v>8.5508252700683685E-2</v>
      </c>
      <c r="B9">
        <v>0.73078828838100296</v>
      </c>
      <c r="C9">
        <v>0.1116343699748558</v>
      </c>
      <c r="E9">
        <v>2.1999999999999999E-2</v>
      </c>
      <c r="G9">
        <v>10.606554279356232</v>
      </c>
      <c r="H9">
        <v>8.0107728365225381E-3</v>
      </c>
      <c r="I9">
        <v>0.3032771396781162</v>
      </c>
      <c r="J9">
        <v>1.0540460172250367E-2</v>
      </c>
      <c r="L9">
        <v>0.11551902553720622</v>
      </c>
    </row>
    <row r="10" spans="1:12" x14ac:dyDescent="0.2">
      <c r="A10">
        <v>0.10001382591740253</v>
      </c>
      <c r="B10">
        <v>0.80425842061917496</v>
      </c>
      <c r="C10">
        <v>0.13623891713282135</v>
      </c>
      <c r="E10">
        <v>2.1999999999999999E-2</v>
      </c>
      <c r="G10" s="1">
        <v>12.667534489113915</v>
      </c>
      <c r="H10">
        <v>9.702474107052746E-3</v>
      </c>
      <c r="I10">
        <v>0.33376724455695761</v>
      </c>
      <c r="J10">
        <v>1.1600150119419683E-2</v>
      </c>
      <c r="L10">
        <v>0.13171630002445528</v>
      </c>
    </row>
    <row r="14" spans="1:12" x14ac:dyDescent="0.2">
      <c r="A14">
        <v>4.7824084255010668E-2</v>
      </c>
      <c r="B14">
        <v>-2.7900308254424334E-2</v>
      </c>
      <c r="C14">
        <v>2.3748823974101115E-2</v>
      </c>
      <c r="E14">
        <v>2.1999999999999999E-2</v>
      </c>
      <c r="G14">
        <v>-2.0231572558511721</v>
      </c>
      <c r="H14">
        <v>1.167640801037848E-5</v>
      </c>
      <c r="I14">
        <v>-1.1578627925586098E-2</v>
      </c>
      <c r="J14">
        <v>-4.0241762576789618E-4</v>
      </c>
      <c r="L14">
        <v>6.9835760663021038E-2</v>
      </c>
    </row>
    <row r="15" spans="1:12" x14ac:dyDescent="0.2">
      <c r="A15">
        <v>4.6235882565436773E-2</v>
      </c>
      <c r="B15">
        <v>0.13044969826566172</v>
      </c>
      <c r="C15">
        <v>-5.9680470211620849E-3</v>
      </c>
      <c r="E15">
        <v>2.1999999999999999E-2</v>
      </c>
      <c r="G15">
        <v>0.10827324956049922</v>
      </c>
      <c r="H15">
        <v>2.5525685666403277E-4</v>
      </c>
      <c r="I15">
        <v>5.4136624780249609E-2</v>
      </c>
      <c r="J15">
        <v>1.881529672701072E-3</v>
      </c>
      <c r="L15">
        <v>6.8491139422100805E-2</v>
      </c>
    </row>
    <row r="16" spans="1:12" x14ac:dyDescent="0.2">
      <c r="A16">
        <v>5.2413969031424312E-2</v>
      </c>
      <c r="B16">
        <v>0.28851875138101774</v>
      </c>
      <c r="C16">
        <v>-3.1466062869173347E-2</v>
      </c>
      <c r="E16">
        <v>2.1999999999999999E-2</v>
      </c>
      <c r="G16">
        <v>2.2394705636462446</v>
      </c>
      <c r="H16">
        <v>1.2486460484769227E-3</v>
      </c>
      <c r="I16">
        <v>0.11973528182312236</v>
      </c>
      <c r="J16">
        <v>4.1614246646129996E-3</v>
      </c>
      <c r="L16">
        <v>7.5662615079901227E-2</v>
      </c>
    </row>
    <row r="17" spans="1:24" x14ac:dyDescent="0.2">
      <c r="A17">
        <v>5.3614077112745989E-2</v>
      </c>
      <c r="B17">
        <v>0.442530187658425</v>
      </c>
      <c r="C17">
        <v>-5.431369172724098E-2</v>
      </c>
      <c r="E17">
        <v>2.1999999999999999E-2</v>
      </c>
      <c r="G17">
        <v>4.3673000557564929</v>
      </c>
      <c r="H17">
        <v>2.9374945048350125E-3</v>
      </c>
      <c r="I17">
        <v>0.18365002787824636</v>
      </c>
      <c r="J17">
        <v>6.3827949793309295E-3</v>
      </c>
      <c r="L17">
        <v>7.8551571617580987E-2</v>
      </c>
    </row>
    <row r="18" spans="1:24" x14ac:dyDescent="0.2">
      <c r="A18">
        <v>6.4366832406306862E-2</v>
      </c>
      <c r="B18">
        <v>0.59816419851295677</v>
      </c>
      <c r="C18">
        <v>-8.3072190873740223E-2</v>
      </c>
      <c r="E18">
        <v>2.1999999999999999E-2</v>
      </c>
      <c r="G18">
        <v>6.4964762847657544</v>
      </c>
      <c r="H18">
        <v>5.3670061257397187E-3</v>
      </c>
      <c r="I18">
        <v>0.24823814238287706</v>
      </c>
      <c r="J18">
        <v>8.6275683547965588E-3</v>
      </c>
      <c r="L18">
        <v>9.1733838532046572E-2</v>
      </c>
    </row>
    <row r="19" spans="1:24" x14ac:dyDescent="0.2">
      <c r="A19">
        <v>7.7418251997453835E-2</v>
      </c>
      <c r="B19">
        <v>0.72130710549759536</v>
      </c>
      <c r="C19">
        <v>-0.10347384087257946</v>
      </c>
      <c r="E19">
        <v>2.1999999999999999E-2</v>
      </c>
      <c r="G19">
        <v>8.5986848975630039</v>
      </c>
      <c r="H19">
        <v>7.8042591066197877E-3</v>
      </c>
      <c r="I19">
        <v>0.29934244878150207</v>
      </c>
      <c r="J19">
        <v>1.0403709170411272E-2</v>
      </c>
      <c r="L19">
        <v>0.10722251110407362</v>
      </c>
    </row>
    <row r="20" spans="1:24" x14ac:dyDescent="0.2">
      <c r="A20">
        <v>9.3855460244192224E-2</v>
      </c>
      <c r="B20">
        <v>0.8257462307545399</v>
      </c>
      <c r="C20">
        <v>-0.11671017229389878</v>
      </c>
      <c r="E20">
        <v>2.1999999999999999E-2</v>
      </c>
      <c r="G20" s="1">
        <v>10.685369371526267</v>
      </c>
      <c r="H20">
        <v>1.0227852564079948E-2</v>
      </c>
      <c r="I20">
        <v>0.34268468576313404</v>
      </c>
      <c r="J20">
        <v>1.1910077646340597E-2</v>
      </c>
      <c r="L20">
        <v>0.12608331280827217</v>
      </c>
    </row>
    <row r="21" spans="1:24" x14ac:dyDescent="0.2">
      <c r="A21">
        <v>0.11500436823244793</v>
      </c>
      <c r="B21">
        <v>0.90851822233131208</v>
      </c>
      <c r="C21">
        <v>-0.12994009588858371</v>
      </c>
      <c r="E21">
        <v>2.1999999999999999E-2</v>
      </c>
      <c r="G21">
        <v>12.754070124534989</v>
      </c>
      <c r="H21">
        <v>1.2381080404620711E-2</v>
      </c>
      <c r="I21">
        <v>0.3770350622674945</v>
      </c>
      <c r="J21">
        <v>1.3103932138078084E-2</v>
      </c>
      <c r="L21">
        <v>0.14938544863706865</v>
      </c>
    </row>
    <row r="25" spans="1:24" x14ac:dyDescent="0.2">
      <c r="A25">
        <v>5.1649058927606302E-2</v>
      </c>
      <c r="B25">
        <v>-7.9953276686860725E-2</v>
      </c>
      <c r="C25">
        <v>0.13788712802990066</v>
      </c>
      <c r="E25">
        <v>2.1999999999999999E-2</v>
      </c>
      <c r="G25">
        <v>-2.0663612196500942</v>
      </c>
      <c r="H25">
        <v>9.5887896794485594E-5</v>
      </c>
      <c r="I25">
        <v>-3.3180609825047197E-2</v>
      </c>
      <c r="J25">
        <v>-1.1531990070965629E-3</v>
      </c>
      <c r="L25">
        <v>7.3744946824400789E-2</v>
      </c>
    </row>
    <row r="26" spans="1:24" x14ac:dyDescent="0.2">
      <c r="A26">
        <v>4.8648049875067455E-2</v>
      </c>
      <c r="B26">
        <v>8.1909421379272901E-2</v>
      </c>
      <c r="C26">
        <v>0.10829780418007787</v>
      </c>
      <c r="E26">
        <v>2.1999999999999999E-2</v>
      </c>
      <c r="G26">
        <v>6.7984819744796504E-2</v>
      </c>
      <c r="H26">
        <v>1.0063729966030932E-4</v>
      </c>
      <c r="I26">
        <v>3.3992409872398252E-2</v>
      </c>
      <c r="J26">
        <v>1.1814132868672585E-3</v>
      </c>
      <c r="L26">
        <v>7.0748687174727765E-2</v>
      </c>
    </row>
    <row r="27" spans="1:24" x14ac:dyDescent="0.2">
      <c r="A27">
        <v>4.8819696686658164E-2</v>
      </c>
      <c r="B27">
        <v>0.23619577333770272</v>
      </c>
      <c r="C27">
        <v>7.7997920597631026E-2</v>
      </c>
      <c r="E27">
        <v>2.1999999999999999E-2</v>
      </c>
      <c r="G27">
        <v>2.1960424918702932</v>
      </c>
      <c r="H27">
        <v>8.3682665013893156E-4</v>
      </c>
      <c r="I27">
        <v>9.802124593514662E-2</v>
      </c>
      <c r="J27">
        <v>3.4067488235689255E-3</v>
      </c>
      <c r="L27">
        <v>7.165652333679709E-2</v>
      </c>
    </row>
    <row r="28" spans="1:24" x14ac:dyDescent="0.2">
      <c r="A28">
        <v>5.3819155707722173E-2</v>
      </c>
      <c r="B28">
        <v>0.39543955936624459</v>
      </c>
      <c r="C28">
        <v>5.4722119432666132E-2</v>
      </c>
      <c r="E28">
        <v>2.1999999999999999E-2</v>
      </c>
      <c r="G28">
        <v>4.3282148342739832</v>
      </c>
      <c r="H28">
        <v>2.3455866766765449E-3</v>
      </c>
      <c r="I28">
        <v>0.16410741713699151</v>
      </c>
      <c r="J28">
        <v>5.7035874716413791E-3</v>
      </c>
      <c r="L28">
        <v>7.8164742384398717E-2</v>
      </c>
    </row>
    <row r="29" spans="1:24" x14ac:dyDescent="0.2">
      <c r="A29">
        <v>6.0491886314987621E-2</v>
      </c>
      <c r="B29">
        <v>0.54684397721992528</v>
      </c>
      <c r="C29">
        <v>3.1658864409132438E-2</v>
      </c>
      <c r="E29">
        <v>2.1999999999999999E-2</v>
      </c>
      <c r="G29">
        <v>6.453880501092538</v>
      </c>
      <c r="H29">
        <v>4.4855750313255926E-3</v>
      </c>
      <c r="I29">
        <v>0.22694025054626898</v>
      </c>
      <c r="J29">
        <v>7.8873556869544469E-3</v>
      </c>
      <c r="L29">
        <v>8.6977461346313206E-2</v>
      </c>
    </row>
    <row r="30" spans="1:24" x14ac:dyDescent="0.2">
      <c r="A30">
        <v>7.3130580861226757E-2</v>
      </c>
      <c r="B30">
        <v>0.67010137375760304</v>
      </c>
      <c r="C30">
        <v>1.3468254193295096E-2</v>
      </c>
      <c r="E30">
        <v>2.1999999999999999E-2</v>
      </c>
      <c r="G30">
        <v>8.5561841402188108</v>
      </c>
      <c r="H30">
        <v>6.7355377666774019E-3</v>
      </c>
      <c r="I30">
        <v>0.27809207010940523</v>
      </c>
      <c r="J30">
        <v>9.6651478325003228E-3</v>
      </c>
      <c r="L30">
        <v>0.10186611862790415</v>
      </c>
    </row>
    <row r="31" spans="1:24" ht="18.75" x14ac:dyDescent="0.3">
      <c r="A31">
        <v>8.8096309346255189E-2</v>
      </c>
      <c r="B31">
        <v>0.7808291686431712</v>
      </c>
      <c r="C31">
        <v>-1.7690909829419302E-2</v>
      </c>
      <c r="E31">
        <v>2.1999999999999999E-2</v>
      </c>
      <c r="G31" s="1">
        <v>10.648088209973832</v>
      </c>
      <c r="H31">
        <v>9.1454128590597872E-3</v>
      </c>
      <c r="I31">
        <v>0.32404410498691605</v>
      </c>
      <c r="J31">
        <v>1.1262220378008812E-2</v>
      </c>
      <c r="L31">
        <v>0.11924172220531498</v>
      </c>
      <c r="T31" t="s">
        <v>110</v>
      </c>
      <c r="U31" t="s">
        <v>111</v>
      </c>
      <c r="V31" s="26" t="s">
        <v>112</v>
      </c>
      <c r="W31" t="s">
        <v>113</v>
      </c>
      <c r="X31" s="26" t="s">
        <v>114</v>
      </c>
    </row>
    <row r="32" spans="1:24" x14ac:dyDescent="0.2">
      <c r="A32">
        <v>9.8076381166807128E-2</v>
      </c>
      <c r="B32">
        <v>0.83251623567029309</v>
      </c>
      <c r="C32">
        <v>-3.0025919759228224E-2</v>
      </c>
      <c r="E32">
        <v>2.1999999999999999E-2</v>
      </c>
      <c r="G32">
        <v>11.690988475606343</v>
      </c>
      <c r="H32">
        <v>1.0396249239819525E-2</v>
      </c>
      <c r="I32">
        <v>0.34549423780317162</v>
      </c>
      <c r="J32">
        <v>1.2007724212815445E-2</v>
      </c>
      <c r="L32">
        <v>0.13047263040662666</v>
      </c>
      <c r="R32" t="s">
        <v>115</v>
      </c>
      <c r="S32" t="s">
        <v>116</v>
      </c>
    </row>
    <row r="33" spans="1:24" x14ac:dyDescent="0.2">
      <c r="A33">
        <v>0.1106796220311361</v>
      </c>
      <c r="B33">
        <v>0.87305688086457156</v>
      </c>
      <c r="C33">
        <v>-4.578720903764074E-2</v>
      </c>
      <c r="E33">
        <v>2.1999999999999999E-2</v>
      </c>
      <c r="G33">
        <v>12.724637211117594</v>
      </c>
      <c r="H33">
        <v>1.1433424758374621E-2</v>
      </c>
      <c r="I33">
        <v>0.36231860555879719</v>
      </c>
      <c r="J33">
        <v>1.2592458619238828E-2</v>
      </c>
      <c r="L33">
        <v>0.1441130467895107</v>
      </c>
      <c r="S33">
        <v>-4</v>
      </c>
      <c r="T33">
        <v>0.1011</v>
      </c>
      <c r="U33">
        <f>180/(PI())*T33</f>
        <v>5.7926033087726223</v>
      </c>
      <c r="V33" s="27">
        <f>-W33/T33</f>
        <v>-2.4510385756676558</v>
      </c>
      <c r="W33">
        <v>0.24779999999999999</v>
      </c>
      <c r="X33">
        <f>($D$59-W33)/T33</f>
        <v>14.605677988052909</v>
      </c>
    </row>
    <row r="34" spans="1:24" x14ac:dyDescent="0.2">
      <c r="A34">
        <v>0.12011909230804227</v>
      </c>
      <c r="B34">
        <v>0.91013373451618296</v>
      </c>
      <c r="C34">
        <v>-5.7687315079033442E-2</v>
      </c>
      <c r="E34">
        <v>2.1999999999999999E-2</v>
      </c>
      <c r="G34">
        <v>13.755410999648431</v>
      </c>
      <c r="H34">
        <v>1.2425151220565606E-2</v>
      </c>
      <c r="I34">
        <v>0.37770549982421592</v>
      </c>
      <c r="J34">
        <v>1.3127233335036428E-2</v>
      </c>
      <c r="L34">
        <v>0.15454424352860788</v>
      </c>
      <c r="S34">
        <v>0</v>
      </c>
      <c r="T34">
        <v>9.4299999999999995E-2</v>
      </c>
      <c r="U34">
        <f>180/(PI())*T34</f>
        <v>5.4029920080836629</v>
      </c>
      <c r="V34" s="27">
        <f>-W34/T34</f>
        <v>-2.5609756097560976</v>
      </c>
      <c r="W34">
        <v>0.24149999999999999</v>
      </c>
      <c r="X34">
        <f>($D$59-W34)/T34</f>
        <v>15.725705669057785</v>
      </c>
    </row>
    <row r="35" spans="1:24" x14ac:dyDescent="0.2">
      <c r="A35">
        <v>0.15645410306477864</v>
      </c>
      <c r="B35">
        <v>0.87902635280195318</v>
      </c>
      <c r="C35">
        <v>-0.10000273861623674</v>
      </c>
      <c r="E35">
        <v>2.1999999999999999E-2</v>
      </c>
      <c r="G35">
        <v>14.729591872825621</v>
      </c>
      <c r="H35">
        <v>1.1590309933804558E-2</v>
      </c>
      <c r="I35">
        <v>0.36479593641281055</v>
      </c>
      <c r="J35">
        <v>1.2678558769180656E-2</v>
      </c>
      <c r="L35">
        <v>0.19004441299858318</v>
      </c>
      <c r="S35">
        <v>4</v>
      </c>
      <c r="T35">
        <v>0.1042</v>
      </c>
      <c r="U35">
        <f>180/(PI())*T35</f>
        <v>5.9702202252631782</v>
      </c>
      <c r="V35" s="27">
        <f>-W35/T35</f>
        <v>-2.4309021113243765</v>
      </c>
      <c r="W35">
        <v>0.25330000000000003</v>
      </c>
      <c r="X35">
        <f>($D$59-W35)/T35</f>
        <v>14.118368950020624</v>
      </c>
    </row>
    <row r="36" spans="1:24" x14ac:dyDescent="0.2">
      <c r="A36">
        <v>0.17747814884420463</v>
      </c>
      <c r="B36">
        <v>0.91184534634520797</v>
      </c>
      <c r="C36">
        <v>-0.10923047751854072</v>
      </c>
      <c r="E36">
        <v>2.1999999999999999E-2</v>
      </c>
      <c r="G36">
        <v>15.756831637466522</v>
      </c>
      <c r="H36">
        <v>1.2471929034771184E-2</v>
      </c>
      <c r="I36">
        <v>0.3784158187332613</v>
      </c>
      <c r="J36">
        <v>1.3151920616703405E-2</v>
      </c>
      <c r="L36">
        <v>0.2119500778789758</v>
      </c>
      <c r="R36" t="s">
        <v>117</v>
      </c>
      <c r="S36" t="s">
        <v>118</v>
      </c>
      <c r="V36" s="27"/>
    </row>
    <row r="37" spans="1:24" x14ac:dyDescent="0.2">
      <c r="A37">
        <v>0.21029600000963214</v>
      </c>
      <c r="B37">
        <v>0.87608055238652893</v>
      </c>
      <c r="C37">
        <v>-0.10757555258770791</v>
      </c>
      <c r="E37">
        <v>2.1999999999999999E-2</v>
      </c>
      <c r="G37">
        <v>16.727146858480818</v>
      </c>
      <c r="H37">
        <v>1.1512757014048285E-2</v>
      </c>
      <c r="I37">
        <v>0.36357342924040947</v>
      </c>
      <c r="J37">
        <v>1.2636070277714863E-2</v>
      </c>
      <c r="L37">
        <v>0.24380875702368041</v>
      </c>
      <c r="S37" t="s">
        <v>119</v>
      </c>
      <c r="T37">
        <v>5.8900000000000001E-2</v>
      </c>
      <c r="U37">
        <f>180/(PI())*T37</f>
        <v>3.374721413320549</v>
      </c>
      <c r="V37" s="27">
        <f>-W37/T37</f>
        <v>-2.2784380305602721</v>
      </c>
      <c r="W37">
        <v>0.13420000000000001</v>
      </c>
    </row>
    <row r="38" spans="1:24" x14ac:dyDescent="0.2">
      <c r="A38">
        <v>0.23804109881844776</v>
      </c>
      <c r="B38">
        <v>0.76169963396285201</v>
      </c>
      <c r="C38">
        <v>-0.18980260205656546</v>
      </c>
      <c r="E38">
        <v>2.1999999999999999E-2</v>
      </c>
      <c r="G38">
        <v>17.632210696189166</v>
      </c>
      <c r="H38">
        <v>8.7027949856871411E-3</v>
      </c>
      <c r="I38">
        <v>0.31610534809458357</v>
      </c>
      <c r="J38">
        <v>1.0986307228308111E-2</v>
      </c>
      <c r="L38">
        <v>0.26874389380413494</v>
      </c>
      <c r="S38">
        <v>1</v>
      </c>
      <c r="T38">
        <v>7.1300000000000002E-2</v>
      </c>
      <c r="U38">
        <f>180/(PI())*T38</f>
        <v>4.0851890792827694</v>
      </c>
      <c r="V38" s="27">
        <f>-W38/T38</f>
        <v>-1.7363253856942495</v>
      </c>
      <c r="W38">
        <v>0.12379999999999999</v>
      </c>
    </row>
    <row r="39" spans="1:24" x14ac:dyDescent="0.2">
      <c r="A39">
        <v>0.25837074094245727</v>
      </c>
      <c r="B39">
        <v>0.64897341651014784</v>
      </c>
      <c r="C39">
        <v>-0.24781679149666061</v>
      </c>
      <c r="E39">
        <v>2.1999999999999999E-2</v>
      </c>
      <c r="G39">
        <v>18.538647935703423</v>
      </c>
      <c r="H39">
        <v>6.3174974300528076E-3</v>
      </c>
      <c r="I39">
        <v>0.26932396785171137</v>
      </c>
      <c r="J39">
        <v>9.3604106118462017E-3</v>
      </c>
      <c r="L39">
        <v>0.28668823837251012</v>
      </c>
      <c r="S39">
        <v>-2</v>
      </c>
      <c r="T39">
        <v>7.1300000000000002E-2</v>
      </c>
      <c r="U39">
        <f>180/(PI())*T39</f>
        <v>4.0851890792827694</v>
      </c>
      <c r="V39" s="27">
        <f>-W39/T39</f>
        <v>-1.0701262272089762</v>
      </c>
      <c r="W39">
        <v>7.6300000000000007E-2</v>
      </c>
      <c r="X39">
        <v>13.755410999648431</v>
      </c>
    </row>
    <row r="41" spans="1:24" x14ac:dyDescent="0.2">
      <c r="A41" s="33" t="s">
        <v>115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1:24" x14ac:dyDescent="0.2">
      <c r="B42" t="s">
        <v>105</v>
      </c>
      <c r="F42" t="s">
        <v>74</v>
      </c>
      <c r="G42" s="33" t="s">
        <v>120</v>
      </c>
      <c r="J42">
        <v>190</v>
      </c>
      <c r="K42">
        <v>0</v>
      </c>
      <c r="L42">
        <v>0.03</v>
      </c>
      <c r="M42">
        <v>-4</v>
      </c>
      <c r="N42">
        <v>0.24512485255947877</v>
      </c>
      <c r="O42" s="33" t="s">
        <v>121</v>
      </c>
      <c r="R42">
        <v>190</v>
      </c>
      <c r="S42">
        <v>-0.1</v>
      </c>
      <c r="T42">
        <v>0.35</v>
      </c>
      <c r="V42">
        <v>4</v>
      </c>
      <c r="W42">
        <v>0.24512485255947877</v>
      </c>
      <c r="X42" s="33" t="s">
        <v>122</v>
      </c>
    </row>
    <row r="43" spans="1:24" x14ac:dyDescent="0.2">
      <c r="A43">
        <v>210</v>
      </c>
      <c r="B43">
        <v>-0.5</v>
      </c>
      <c r="C43">
        <v>0.45</v>
      </c>
      <c r="D43">
        <v>0</v>
      </c>
      <c r="E43">
        <v>20.065775912465266</v>
      </c>
      <c r="F43">
        <f>E43/100</f>
        <v>0.20065775912465267</v>
      </c>
      <c r="G43" s="33"/>
      <c r="J43">
        <v>210</v>
      </c>
      <c r="K43">
        <v>-0.5</v>
      </c>
      <c r="L43">
        <v>0.32</v>
      </c>
      <c r="M43">
        <v>-4</v>
      </c>
      <c r="N43">
        <v>0.20065775912465267</v>
      </c>
      <c r="O43" s="33"/>
      <c r="R43">
        <v>210</v>
      </c>
      <c r="S43">
        <v>-0.5</v>
      </c>
      <c r="T43">
        <v>0.56000000000000005</v>
      </c>
      <c r="V43">
        <v>4</v>
      </c>
      <c r="W43">
        <v>0.20065775912465267</v>
      </c>
      <c r="X43" s="33"/>
    </row>
    <row r="44" spans="1:24" x14ac:dyDescent="0.2">
      <c r="A44">
        <v>229</v>
      </c>
      <c r="B44">
        <v>-0.7</v>
      </c>
      <c r="C44">
        <v>0.57999999999999996</v>
      </c>
      <c r="D44">
        <v>0</v>
      </c>
      <c r="E44">
        <v>16.874215170185892</v>
      </c>
      <c r="F44">
        <f t="shared" ref="F44:F47" si="0">E44/100</f>
        <v>0.16874215170185891</v>
      </c>
      <c r="G44" s="33"/>
      <c r="J44">
        <v>230</v>
      </c>
      <c r="K44">
        <v>-0.8</v>
      </c>
      <c r="L44">
        <v>0.59</v>
      </c>
      <c r="M44">
        <v>-4</v>
      </c>
      <c r="N44">
        <v>0.16727801847631729</v>
      </c>
      <c r="O44" s="33"/>
      <c r="R44">
        <v>230</v>
      </c>
      <c r="S44">
        <v>-0.8</v>
      </c>
      <c r="T44">
        <v>0.71</v>
      </c>
      <c r="V44">
        <v>4</v>
      </c>
      <c r="W44">
        <v>0.16727801847631729</v>
      </c>
      <c r="X44" s="33"/>
    </row>
    <row r="45" spans="1:24" x14ac:dyDescent="0.2">
      <c r="A45">
        <v>251</v>
      </c>
      <c r="B45">
        <v>-1.1000000000000001</v>
      </c>
      <c r="C45">
        <v>0.83</v>
      </c>
      <c r="D45">
        <v>0</v>
      </c>
      <c r="E45">
        <v>14.045820189198874</v>
      </c>
      <c r="F45">
        <f t="shared" si="0"/>
        <v>0.14045820189198874</v>
      </c>
      <c r="G45" s="33"/>
      <c r="J45">
        <v>250</v>
      </c>
      <c r="K45">
        <v>-1.1000000000000001</v>
      </c>
      <c r="L45">
        <v>0.66</v>
      </c>
      <c r="M45">
        <v>-4</v>
      </c>
      <c r="N45">
        <v>0.14158411483835498</v>
      </c>
      <c r="O45" s="33"/>
      <c r="R45">
        <v>250</v>
      </c>
      <c r="S45">
        <v>-1.1000000000000001</v>
      </c>
      <c r="T45">
        <v>0.86</v>
      </c>
      <c r="V45">
        <v>4</v>
      </c>
      <c r="W45">
        <v>0.14158411483835498</v>
      </c>
      <c r="X45" s="33"/>
    </row>
    <row r="46" spans="1:24" x14ac:dyDescent="0.2">
      <c r="A46">
        <v>270</v>
      </c>
      <c r="B46">
        <v>-1.2</v>
      </c>
      <c r="C46">
        <v>0.89</v>
      </c>
      <c r="D46">
        <v>0</v>
      </c>
      <c r="E46">
        <v>12.138555798898745</v>
      </c>
      <c r="F46">
        <f t="shared" si="0"/>
        <v>0.12138555798898745</v>
      </c>
      <c r="G46" s="33"/>
      <c r="J46">
        <v>270</v>
      </c>
      <c r="K46">
        <v>-1.2</v>
      </c>
      <c r="L46">
        <v>0.81</v>
      </c>
      <c r="M46">
        <v>-4</v>
      </c>
      <c r="N46">
        <v>0.12138555798898744</v>
      </c>
      <c r="O46" s="33"/>
      <c r="R46">
        <v>270</v>
      </c>
      <c r="S46">
        <v>-1.2</v>
      </c>
      <c r="T46">
        <v>0.92</v>
      </c>
      <c r="V46">
        <v>4</v>
      </c>
      <c r="W46">
        <v>0.12138555798898744</v>
      </c>
      <c r="X46" s="33"/>
    </row>
    <row r="47" spans="1:24" x14ac:dyDescent="0.2">
      <c r="A47">
        <v>291</v>
      </c>
      <c r="B47">
        <v>-1.5</v>
      </c>
      <c r="C47">
        <v>0.85</v>
      </c>
      <c r="D47">
        <v>0</v>
      </c>
      <c r="E47">
        <v>10.449814217353579</v>
      </c>
      <c r="F47">
        <f t="shared" si="0"/>
        <v>0.10449814217353579</v>
      </c>
      <c r="G47" s="33"/>
      <c r="J47">
        <v>290</v>
      </c>
      <c r="K47">
        <v>-1.4</v>
      </c>
      <c r="L47">
        <v>0.98</v>
      </c>
      <c r="M47">
        <v>-4</v>
      </c>
      <c r="N47">
        <v>0.10522006156239219</v>
      </c>
      <c r="O47" s="33"/>
      <c r="R47">
        <v>295</v>
      </c>
      <c r="S47">
        <v>-1.5</v>
      </c>
      <c r="V47">
        <v>4</v>
      </c>
      <c r="W47">
        <v>0.10168350677847954</v>
      </c>
      <c r="X47" s="33"/>
    </row>
    <row r="51" spans="1:5" x14ac:dyDescent="0.2">
      <c r="A51">
        <v>81</v>
      </c>
      <c r="B51">
        <v>78</v>
      </c>
      <c r="C51" t="s">
        <v>22</v>
      </c>
      <c r="D51">
        <v>1.4544719226491096</v>
      </c>
    </row>
    <row r="52" spans="1:5" x14ac:dyDescent="0.2">
      <c r="A52">
        <v>78</v>
      </c>
      <c r="B52">
        <v>76</v>
      </c>
      <c r="D52">
        <v>1.5320303284967425</v>
      </c>
    </row>
    <row r="53" spans="1:5" x14ac:dyDescent="0.2">
      <c r="A53">
        <v>77</v>
      </c>
      <c r="B53">
        <v>71</v>
      </c>
      <c r="D53">
        <v>1.7554070972817262</v>
      </c>
    </row>
    <row r="54" spans="1:5" x14ac:dyDescent="0.2">
      <c r="A54">
        <v>80</v>
      </c>
      <c r="B54">
        <v>60</v>
      </c>
      <c r="D54">
        <v>1.8059198321218743</v>
      </c>
    </row>
    <row r="55" spans="1:5" x14ac:dyDescent="0.2">
      <c r="A55">
        <v>79</v>
      </c>
      <c r="B55">
        <v>60</v>
      </c>
      <c r="D55">
        <v>1.8059198321218743</v>
      </c>
    </row>
    <row r="56" spans="1:5" x14ac:dyDescent="0.2">
      <c r="A56">
        <v>78</v>
      </c>
      <c r="B56">
        <v>59</v>
      </c>
      <c r="D56">
        <v>1.8586446497368585</v>
      </c>
    </row>
    <row r="57" spans="1:5" x14ac:dyDescent="0.2">
      <c r="A57">
        <v>79</v>
      </c>
      <c r="B57">
        <v>59</v>
      </c>
      <c r="D57">
        <v>1.8586446497368585</v>
      </c>
    </row>
    <row r="58" spans="1:5" x14ac:dyDescent="0.2">
      <c r="C58" t="s">
        <v>123</v>
      </c>
      <c r="D58">
        <f>AVERAGE(D51:D57)</f>
        <v>1.7244340445921491</v>
      </c>
      <c r="E58">
        <v>-5</v>
      </c>
    </row>
    <row r="59" spans="1:5" x14ac:dyDescent="0.2">
      <c r="D59">
        <v>1.7244340445921491</v>
      </c>
      <c r="E59">
        <v>20</v>
      </c>
    </row>
  </sheetData>
  <mergeCells count="5">
    <mergeCell ref="A1:L1"/>
    <mergeCell ref="A41:L41"/>
    <mergeCell ref="G42:G47"/>
    <mergeCell ref="O42:O47"/>
    <mergeCell ref="X42:X4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FD-FE66-4997-AF0C-7CAD51D38958}">
  <dimension ref="A1:BQ135"/>
  <sheetViews>
    <sheetView tabSelected="1" topLeftCell="AI1" zoomScale="90" zoomScaleNormal="90" workbookViewId="0">
      <selection activeCell="BA22" sqref="BA22"/>
    </sheetView>
  </sheetViews>
  <sheetFormatPr defaultColWidth="8.875" defaultRowHeight="15" x14ac:dyDescent="0.2"/>
  <cols>
    <col min="1" max="5" width="8.875" style="6"/>
    <col min="6" max="6" width="8.47265625" style="6" customWidth="1"/>
    <col min="7" max="7" width="3.359375" style="6" customWidth="1"/>
    <col min="8" max="8" width="11.296875" style="6" customWidth="1"/>
    <col min="9" max="14" width="8.875" style="6"/>
    <col min="15" max="15" width="7.53125" style="6" customWidth="1"/>
    <col min="16" max="16" width="2.6875" style="6" customWidth="1"/>
    <col min="17" max="18" width="8.875" style="6"/>
    <col min="19" max="19" width="10.0859375" style="6" customWidth="1"/>
    <col min="20" max="20" width="2.6875" style="6" customWidth="1"/>
    <col min="21" max="23" width="8.875" style="6"/>
    <col min="24" max="24" width="13.046875" style="6" bestFit="1" customWidth="1"/>
    <col min="25" max="25" width="16.0078125" style="6" customWidth="1"/>
    <col min="26" max="29" width="8.875" style="6"/>
    <col min="30" max="30" width="12.375" style="6" bestFit="1" customWidth="1"/>
    <col min="31" max="32" width="12.375" style="6" customWidth="1"/>
    <col min="33" max="33" width="33.2265625" style="6" customWidth="1"/>
    <col min="34" max="34" width="21.25390625" style="6" customWidth="1"/>
    <col min="35" max="35" width="33.8984375" style="6" customWidth="1"/>
    <col min="36" max="42" width="8.875" style="6"/>
    <col min="43" max="44" width="8.875" style="8"/>
    <col min="45" max="45" width="22.734375" style="6" customWidth="1"/>
    <col min="46" max="46" width="27.7109375" style="6" customWidth="1"/>
    <col min="47" max="47" width="8.875" style="6"/>
    <col min="48" max="48" width="25.2890625" style="6" customWidth="1"/>
    <col min="49" max="49" width="20.984375" style="6" customWidth="1"/>
    <col min="50" max="61" width="8.875" style="6"/>
    <col min="62" max="62" width="32.1484375" style="6" customWidth="1"/>
    <col min="63" max="65" width="16.54296875" style="6" customWidth="1"/>
    <col min="66" max="16384" width="8.875" style="6"/>
  </cols>
  <sheetData>
    <row r="1" spans="1:62" ht="22.15" customHeight="1" x14ac:dyDescent="0.35">
      <c r="G1" s="8"/>
      <c r="H1" s="9"/>
      <c r="I1" s="9"/>
      <c r="J1" s="7" t="s">
        <v>124</v>
      </c>
      <c r="K1" s="7"/>
      <c r="P1" s="8"/>
      <c r="Q1" s="34" t="s">
        <v>125</v>
      </c>
      <c r="R1" s="34"/>
      <c r="S1" s="34"/>
      <c r="T1" s="8"/>
      <c r="U1" s="36" t="s">
        <v>101</v>
      </c>
      <c r="V1" s="36"/>
      <c r="W1" s="36"/>
      <c r="X1" s="36"/>
      <c r="Y1" s="36"/>
      <c r="Z1" s="36"/>
      <c r="AA1" s="36"/>
      <c r="AB1" s="36"/>
      <c r="AC1" s="36"/>
      <c r="AD1" s="36"/>
      <c r="AE1" s="15"/>
      <c r="AF1" s="15"/>
      <c r="AG1" s="8"/>
      <c r="AH1" s="35" t="s">
        <v>126</v>
      </c>
      <c r="AI1" s="33"/>
      <c r="AJ1" s="33"/>
      <c r="AK1" s="33"/>
      <c r="AL1" s="33"/>
      <c r="AM1" s="33"/>
      <c r="AN1" s="33"/>
      <c r="AO1" s="33"/>
      <c r="AP1" s="33"/>
      <c r="AS1" s="6" t="s">
        <v>127</v>
      </c>
      <c r="AT1" s="6" t="s">
        <v>128</v>
      </c>
      <c r="AU1" s="8"/>
      <c r="BF1" s="6" t="s">
        <v>5</v>
      </c>
    </row>
    <row r="2" spans="1:62" x14ac:dyDescent="0.2">
      <c r="A2" s="6" t="s">
        <v>129</v>
      </c>
      <c r="B2" s="6" t="s">
        <v>130</v>
      </c>
      <c r="C2" s="6" t="s">
        <v>131</v>
      </c>
      <c r="D2" s="6" t="s">
        <v>132</v>
      </c>
      <c r="E2" s="6" t="s">
        <v>133</v>
      </c>
      <c r="F2" s="6" t="s">
        <v>132</v>
      </c>
      <c r="G2" s="8"/>
      <c r="H2" s="9" t="s">
        <v>134</v>
      </c>
      <c r="I2" s="9" t="s">
        <v>135</v>
      </c>
      <c r="J2" s="6" t="s">
        <v>136</v>
      </c>
      <c r="K2" s="6" t="s">
        <v>137</v>
      </c>
      <c r="L2" s="6" t="s">
        <v>133</v>
      </c>
      <c r="M2" s="6" t="s">
        <v>138</v>
      </c>
      <c r="N2" s="6" t="s">
        <v>139</v>
      </c>
      <c r="O2" s="6" t="s">
        <v>140</v>
      </c>
      <c r="P2" s="8"/>
      <c r="Q2" s="6" t="s">
        <v>141</v>
      </c>
      <c r="R2" s="6" t="s">
        <v>142</v>
      </c>
      <c r="S2" s="6" t="s">
        <v>143</v>
      </c>
      <c r="T2" s="8"/>
      <c r="U2" s="6" t="s">
        <v>102</v>
      </c>
      <c r="V2" s="6" t="s">
        <v>74</v>
      </c>
      <c r="W2" s="6" t="s">
        <v>103</v>
      </c>
      <c r="X2" s="6" t="s">
        <v>144</v>
      </c>
      <c r="Y2" s="6" t="s">
        <v>104</v>
      </c>
      <c r="Z2" s="6" t="s">
        <v>145</v>
      </c>
      <c r="AA2" s="6" t="s">
        <v>105</v>
      </c>
      <c r="AB2" s="6" t="s">
        <v>106</v>
      </c>
      <c r="AC2" s="6" t="s">
        <v>107</v>
      </c>
      <c r="AD2" s="6" t="s">
        <v>108</v>
      </c>
      <c r="AE2" s="6" t="s">
        <v>146</v>
      </c>
      <c r="AF2" s="6" t="s">
        <v>109</v>
      </c>
      <c r="AG2" s="8"/>
      <c r="AP2" s="6" t="s">
        <v>147</v>
      </c>
      <c r="AS2" s="6" t="s">
        <v>148</v>
      </c>
      <c r="AT2" s="6" t="s">
        <v>149</v>
      </c>
      <c r="AU2" s="8"/>
      <c r="AV2" s="6" t="s">
        <v>150</v>
      </c>
      <c r="AX2" s="6" t="s">
        <v>61</v>
      </c>
      <c r="BF2" s="6" t="s">
        <v>151</v>
      </c>
      <c r="BG2" s="6" t="s">
        <v>17</v>
      </c>
      <c r="BH2" s="6" t="s">
        <v>18</v>
      </c>
      <c r="BI2" s="6" t="s">
        <v>19</v>
      </c>
      <c r="BJ2" s="6" t="s">
        <v>152</v>
      </c>
    </row>
    <row r="3" spans="1:62" x14ac:dyDescent="0.2">
      <c r="A3" s="6">
        <v>-1.2697000000000001</v>
      </c>
      <c r="B3" s="6">
        <v>0.315</v>
      </c>
      <c r="C3" s="8">
        <v>-2.8E-3</v>
      </c>
      <c r="D3" s="6">
        <v>0.6875</v>
      </c>
      <c r="E3" s="8">
        <v>-0.32</v>
      </c>
      <c r="F3" s="6">
        <v>0.1447</v>
      </c>
      <c r="G3" s="8"/>
      <c r="H3" s="9">
        <v>-2.8</v>
      </c>
      <c r="I3" s="9">
        <v>-2</v>
      </c>
      <c r="J3" s="6" cm="1">
        <f t="array" ref="J3:J10">A3:A10-B50*SIN(RADIANS(H3:H10))</f>
        <v>2.1624848258397877</v>
      </c>
      <c r="K3" s="6" cm="1">
        <f t="array" ref="K3:K10">C3:C10+B50*(COS(RADIANS(H3:H10))-1)</f>
        <v>-8.6680790390841117E-2</v>
      </c>
      <c r="L3" s="6" cm="1">
        <f t="array" ref="L3:L10">E3:E10-B50*(B52*SIN(RADIANS(H3:H10))+B51*(COS(RADIANS(H3:H10))-1))</f>
        <v>-8.8774095736123743E-2</v>
      </c>
      <c r="M3" s="6">
        <f>SIN(RADIANS(H3))*K3+COS(RADIANS(H3))*J3</f>
        <v>2.1641374526127963</v>
      </c>
      <c r="N3" s="6">
        <f>COS(RADIANS(H3))*K3-SIN(RADIANS(H3))*J3</f>
        <v>1.9059580496801939E-2</v>
      </c>
      <c r="O3" s="6">
        <f>L3-0.115*K3-0.11*J3</f>
        <v>-0.31667913568355366</v>
      </c>
      <c r="P3" s="8"/>
      <c r="Q3" s="6">
        <f>M3/(0.5*$B$54^2*$B$55*$B$56)</f>
        <v>4.4166070461485636E-2</v>
      </c>
      <c r="R3" s="6">
        <f>N3/(0.5*$B$54^2*$B$55*$B$56)</f>
        <v>3.8897103054697836E-4</v>
      </c>
      <c r="S3" s="6">
        <f t="shared" ref="S3:S10" si="0">O3/(0.5*$B$54^2*$B$55*$B$56*$B$57)</f>
        <v>-4.090404749206325E-2</v>
      </c>
      <c r="T3" s="8"/>
      <c r="U3" s="6">
        <f>0.94*Q3</f>
        <v>4.1516106233796493E-2</v>
      </c>
      <c r="V3" s="6">
        <f>0.94*R3</f>
        <v>3.6563276871415961E-4</v>
      </c>
      <c r="W3" s="6">
        <f>0.94*S3</f>
        <v>-3.8449804642539456E-2</v>
      </c>
      <c r="X3" s="6">
        <f>V3^2</f>
        <v>1.3368732155758215E-7</v>
      </c>
      <c r="Y3" s="6">
        <v>2.1999999999999999E-2</v>
      </c>
      <c r="Z3" s="6">
        <f>N3/D3</f>
        <v>2.7723026177166456E-2</v>
      </c>
      <c r="AA3" s="6">
        <f>I3+0.83*V3</f>
        <v>-1.9996965248019674</v>
      </c>
      <c r="AB3" s="6">
        <f>0.015*V3^2</f>
        <v>2.005309823363732E-9</v>
      </c>
      <c r="AC3" s="6">
        <f>0.415*V3</f>
        <v>1.5173759901637623E-4</v>
      </c>
      <c r="AD3" s="6">
        <f t="shared" ref="AD3:AD10" si="1">-AC3*$AM$18</f>
        <v>5.2736718658139537E-6</v>
      </c>
      <c r="AE3" s="6">
        <f xml:space="preserve"> V3/AF3</f>
        <v>5.7565360795994534E-3</v>
      </c>
      <c r="AF3" s="6">
        <f t="shared" ref="AF3:AF10" si="2">U3+Y3+AB3</f>
        <v>6.351610823910632E-2</v>
      </c>
      <c r="AG3" s="8"/>
      <c r="AP3" s="6">
        <v>-3.8449804642539456E-2</v>
      </c>
      <c r="AS3" s="6">
        <v>0.72399999999999998</v>
      </c>
      <c r="AT3" s="6">
        <v>0.1162</v>
      </c>
      <c r="AU3" s="8"/>
      <c r="AV3" s="6" t="s">
        <v>153</v>
      </c>
      <c r="AW3" s="6" t="s">
        <v>154</v>
      </c>
      <c r="AX3" s="6" cm="1">
        <f t="array" ref="AX3:AX10">AP3:AP10-V3:V10*((AS11-AS11)/AS13)</f>
        <v>-3.8449804642539456E-2</v>
      </c>
      <c r="BF3" s="6">
        <f>BG3/BH3</f>
        <v>17.81645751640632</v>
      </c>
      <c r="BG3" s="6">
        <v>0.33718210552496508</v>
      </c>
      <c r="BH3" s="6">
        <v>1.8925316955655764E-2</v>
      </c>
      <c r="BI3" s="6">
        <v>0.11369177228624869</v>
      </c>
    </row>
    <row r="4" spans="1:62" x14ac:dyDescent="0.2">
      <c r="A4" s="6">
        <v>1.3640000000000001</v>
      </c>
      <c r="B4" s="6">
        <v>0.3478</v>
      </c>
      <c r="C4" s="8">
        <v>6.9717000000000002</v>
      </c>
      <c r="D4" s="6">
        <v>0.99839999999999995</v>
      </c>
      <c r="E4" s="8">
        <v>0.83179999999999998</v>
      </c>
      <c r="F4" s="6">
        <v>0.16039999999999999</v>
      </c>
      <c r="G4" s="8"/>
      <c r="H4" s="9">
        <f>H3+2</f>
        <v>-0.79999999999999982</v>
      </c>
      <c r="I4" s="9">
        <f>I3+2</f>
        <v>0</v>
      </c>
      <c r="J4" s="6">
        <v>2.3449827906283467</v>
      </c>
      <c r="K4" s="6">
        <v>6.9648513368937159</v>
      </c>
      <c r="L4" s="6">
        <v>0.89903100672416669</v>
      </c>
      <c r="M4" s="6">
        <f t="shared" ref="M4:M38" si="3">SIN(RADIANS(H4))*K4+COS(RADIANS(H4))*J4</f>
        <v>2.2475097007066185</v>
      </c>
      <c r="N4" s="6">
        <f t="shared" ref="N4:N38" si="4">COS(RADIANS(H4))*K4-SIN(RADIANS(H4))*J4</f>
        <v>6.9969135037245485</v>
      </c>
      <c r="O4" s="6">
        <f t="shared" ref="O4:O38" si="5">L4-0.115*K4-0.11*J4</f>
        <v>-0.15987500398772886</v>
      </c>
      <c r="P4" s="8"/>
      <c r="Q4" s="6">
        <f t="shared" ref="Q4:Q10" si="6">M4/(0.5*$B$54^2*$B$55*$B$56)</f>
        <v>4.5867544912379966E-2</v>
      </c>
      <c r="R4" s="6">
        <f t="shared" ref="R4:R10" si="7">N4/(0.5*$B$54^2*$B$55*$B$56)</f>
        <v>0.14279415313723567</v>
      </c>
      <c r="S4" s="6">
        <f t="shared" si="0"/>
        <v>-2.0650349262171127E-2</v>
      </c>
      <c r="T4" s="8"/>
      <c r="U4" s="6">
        <f t="shared" ref="U4:U39" si="8">0.94*Q4</f>
        <v>4.3115492217637164E-2</v>
      </c>
      <c r="V4" s="6">
        <f t="shared" ref="V4:V39" si="9">0.94*R4</f>
        <v>0.13422650394900151</v>
      </c>
      <c r="W4" s="6">
        <f t="shared" ref="W4:W39" si="10">0.94*S4</f>
        <v>-1.9411328306440857E-2</v>
      </c>
      <c r="X4" s="6">
        <f t="shared" ref="X4:X39" si="11">V4^2</f>
        <v>1.801675436237132E-2</v>
      </c>
      <c r="Y4" s="6">
        <v>2.1999999999999999E-2</v>
      </c>
      <c r="Z4" s="6">
        <f t="shared" ref="Z4:Z39" si="12">N4/D4</f>
        <v>7.0081265061343636</v>
      </c>
      <c r="AA4" s="6">
        <f t="shared" ref="AA4:AA39" si="13">I4+0.83*V4</f>
        <v>0.11140799827767126</v>
      </c>
      <c r="AB4" s="6">
        <f t="shared" ref="AB4:AB39" si="14">0.015*V4^2</f>
        <v>2.7025131543556981E-4</v>
      </c>
      <c r="AC4" s="6">
        <f t="shared" ref="AC4:AC39" si="15">0.415*V4</f>
        <v>5.5703999138835628E-2</v>
      </c>
      <c r="AD4" s="6">
        <f t="shared" si="1"/>
        <v>1.9360040950700537E-3</v>
      </c>
      <c r="AE4" s="6">
        <f t="shared" ref="AE4:AE39" si="16" xml:space="preserve"> V4/AF4</f>
        <v>2.0528405229667306</v>
      </c>
      <c r="AF4" s="6">
        <f t="shared" si="2"/>
        <v>6.5385743533072721E-2</v>
      </c>
      <c r="AG4" s="8"/>
      <c r="AP4" s="6">
        <v>-1.9411328306440857E-2</v>
      </c>
      <c r="AS4" s="6" t="s">
        <v>155</v>
      </c>
      <c r="AT4" s="6" t="s">
        <v>156</v>
      </c>
      <c r="AU4" s="8"/>
      <c r="AV4" s="6">
        <f>(0.0713-0.0713)*AS3+(0.1238-0.0763)</f>
        <v>4.7499999999999987E-2</v>
      </c>
      <c r="AW4" s="6">
        <f>(0.0713-0.0713)*AT3+(0.1238-0.0763)</f>
        <v>4.7499999999999987E-2</v>
      </c>
      <c r="AX4" s="6">
        <v>-1.9411328306440857E-2</v>
      </c>
      <c r="BF4" s="6">
        <f t="shared" ref="BF4:BF13" si="17">BG4/BH4</f>
        <v>17.433785915559781</v>
      </c>
      <c r="BG4" s="6">
        <v>0.34566434286707748</v>
      </c>
      <c r="BH4" s="6">
        <v>1.9827267843100536E-2</v>
      </c>
      <c r="BI4" s="6">
        <v>0.1194838379297285</v>
      </c>
    </row>
    <row r="5" spans="1:62" x14ac:dyDescent="0.2">
      <c r="A5" s="6">
        <v>3.5594999999999999</v>
      </c>
      <c r="B5" s="6">
        <v>0.30559999999999998</v>
      </c>
      <c r="C5" s="8">
        <v>14.2423</v>
      </c>
      <c r="D5" s="6">
        <v>0.79930000000000001</v>
      </c>
      <c r="E5" s="8">
        <v>2.0055999999999998</v>
      </c>
      <c r="F5" s="6">
        <v>0.11509999999999999</v>
      </c>
      <c r="G5" s="8"/>
      <c r="H5" s="9">
        <f t="shared" ref="H5:H10" si="18">H4+2</f>
        <v>1.2000000000000002</v>
      </c>
      <c r="I5" s="9">
        <f t="shared" ref="I5:I10" si="19">I4+2</f>
        <v>2</v>
      </c>
      <c r="J5" s="6">
        <v>2.0880855789953396</v>
      </c>
      <c r="K5" s="6">
        <v>14.226890820942645</v>
      </c>
      <c r="L5" s="6">
        <v>1.9030446127075527</v>
      </c>
      <c r="M5" s="6">
        <f t="shared" si="3"/>
        <v>2.385573148528787</v>
      </c>
      <c r="N5" s="6">
        <f t="shared" si="4"/>
        <v>14.18004106373634</v>
      </c>
      <c r="O5" s="6">
        <f t="shared" si="5"/>
        <v>3.7262754609661108E-2</v>
      </c>
      <c r="P5" s="8"/>
      <c r="Q5" s="6">
        <f t="shared" si="6"/>
        <v>4.8685166296505857E-2</v>
      </c>
      <c r="R5" s="6">
        <f t="shared" si="7"/>
        <v>0.28938859313747634</v>
      </c>
      <c r="S5" s="6">
        <f t="shared" si="0"/>
        <v>4.8130656948671023E-3</v>
      </c>
      <c r="T5" s="8"/>
      <c r="U5" s="6">
        <f t="shared" si="8"/>
        <v>4.5764056318715503E-2</v>
      </c>
      <c r="V5" s="6">
        <f t="shared" si="9"/>
        <v>0.27202527754922773</v>
      </c>
      <c r="W5" s="6">
        <f t="shared" si="10"/>
        <v>4.5242817531750759E-3</v>
      </c>
      <c r="X5" s="6">
        <f t="shared" si="11"/>
        <v>7.3997751625734381E-2</v>
      </c>
      <c r="Y5" s="6">
        <v>2.1999999999999999E-2</v>
      </c>
      <c r="Z5" s="6">
        <f t="shared" si="12"/>
        <v>17.740574332211111</v>
      </c>
      <c r="AA5" s="6">
        <f t="shared" si="13"/>
        <v>2.225780980365859</v>
      </c>
      <c r="AB5" s="6">
        <f t="shared" si="14"/>
        <v>1.1099662743860156E-3</v>
      </c>
      <c r="AC5" s="6">
        <f t="shared" si="15"/>
        <v>0.1128904901829295</v>
      </c>
      <c r="AD5" s="6">
        <f t="shared" si="1"/>
        <v>3.923532505159838E-3</v>
      </c>
      <c r="AE5" s="6">
        <f t="shared" si="16"/>
        <v>3.9496063582102146</v>
      </c>
      <c r="AF5" s="6">
        <f t="shared" si="2"/>
        <v>6.8874022593101519E-2</v>
      </c>
      <c r="AG5" s="8"/>
      <c r="AP5" s="6">
        <v>4.5242817531750759E-3</v>
      </c>
      <c r="AS5" s="6">
        <v>-0.1744</v>
      </c>
      <c r="AT5" s="6">
        <v>-0.1492</v>
      </c>
      <c r="AU5" s="8"/>
      <c r="AV5" s="6" t="s">
        <v>87</v>
      </c>
      <c r="AW5" s="6" t="s">
        <v>88</v>
      </c>
      <c r="AX5" s="6">
        <v>4.5242817531750759E-3</v>
      </c>
      <c r="BF5" s="6">
        <f t="shared" si="17"/>
        <v>16.86264782488858</v>
      </c>
      <c r="BG5" s="6">
        <v>0.28894717313949991</v>
      </c>
      <c r="BH5" s="6">
        <v>1.713533818295284E-2</v>
      </c>
      <c r="BI5" s="6">
        <v>8.3490468865308143E-2</v>
      </c>
    </row>
    <row r="6" spans="1:62" x14ac:dyDescent="0.2">
      <c r="A6" s="6">
        <v>5.3537999999999997</v>
      </c>
      <c r="B6" s="6">
        <v>0.38</v>
      </c>
      <c r="C6" s="8">
        <v>21.451899999999998</v>
      </c>
      <c r="D6" s="6">
        <v>0.66200000000000003</v>
      </c>
      <c r="E6" s="8">
        <v>3.1320999999999999</v>
      </c>
      <c r="F6" s="6">
        <v>0.11219999999999999</v>
      </c>
      <c r="G6" s="8"/>
      <c r="H6" s="9">
        <f t="shared" si="18"/>
        <v>3.2</v>
      </c>
      <c r="I6" s="9">
        <f t="shared" si="19"/>
        <v>4</v>
      </c>
      <c r="J6" s="6">
        <v>1.4317810591803108</v>
      </c>
      <c r="K6" s="6">
        <v>21.342348091425986</v>
      </c>
      <c r="L6" s="6">
        <v>2.8541735807815547</v>
      </c>
      <c r="M6" s="6">
        <f t="shared" si="3"/>
        <v>2.6209105654206515</v>
      </c>
      <c r="N6" s="6">
        <f t="shared" si="4"/>
        <v>21.229146164297056</v>
      </c>
      <c r="O6" s="6">
        <f t="shared" si="5"/>
        <v>0.2423076337577319</v>
      </c>
      <c r="P6" s="8"/>
      <c r="Q6" s="6">
        <f t="shared" si="6"/>
        <v>5.348797072287044E-2</v>
      </c>
      <c r="R6" s="6">
        <f t="shared" si="7"/>
        <v>0.43324788090402155</v>
      </c>
      <c r="S6" s="6">
        <f>O6/(0.5*$B$54^2*$B$55*$B$56*$B$57)</f>
        <v>3.1297808545302494E-2</v>
      </c>
      <c r="T6" s="8"/>
      <c r="U6" s="6">
        <f t="shared" si="8"/>
        <v>5.0278692479498212E-2</v>
      </c>
      <c r="V6" s="6">
        <f t="shared" si="9"/>
        <v>0.40725300804978026</v>
      </c>
      <c r="W6" s="6">
        <f t="shared" si="10"/>
        <v>2.9419940032584344E-2</v>
      </c>
      <c r="X6" s="6">
        <f t="shared" si="11"/>
        <v>0.1658550125655944</v>
      </c>
      <c r="Y6" s="6">
        <v>2.1999999999999999E-2</v>
      </c>
      <c r="Z6" s="6">
        <f t="shared" si="12"/>
        <v>32.068196622805218</v>
      </c>
      <c r="AA6" s="6">
        <f t="shared" si="13"/>
        <v>4.338019996681318</v>
      </c>
      <c r="AB6" s="6">
        <f t="shared" si="14"/>
        <v>2.4878251884839159E-3</v>
      </c>
      <c r="AC6" s="6">
        <f t="shared" si="15"/>
        <v>0.1690099983406588</v>
      </c>
      <c r="AD6" s="6">
        <f t="shared" si="1"/>
        <v>5.8739777027459203E-3</v>
      </c>
      <c r="AE6" s="6">
        <f t="shared" si="16"/>
        <v>5.4469971419329788</v>
      </c>
      <c r="AF6" s="6">
        <f t="shared" si="2"/>
        <v>7.4766517667982133E-2</v>
      </c>
      <c r="AG6" s="8"/>
      <c r="AP6" s="6">
        <v>2.9419940032584344E-2</v>
      </c>
      <c r="AS6" s="6" t="s">
        <v>157</v>
      </c>
      <c r="AT6" s="6" t="s">
        <v>158</v>
      </c>
      <c r="AU6" s="8"/>
      <c r="AV6" s="6">
        <v>3.2000000000000001E-2</v>
      </c>
      <c r="AW6" s="6">
        <v>0.128</v>
      </c>
      <c r="AX6" s="6">
        <v>2.9419940032584344E-2</v>
      </c>
      <c r="BF6" s="6">
        <f t="shared" si="17"/>
        <v>16.20797284337198</v>
      </c>
      <c r="BG6" s="6">
        <v>0.28894717313949991</v>
      </c>
      <c r="BH6" s="6">
        <v>1.782747145073486E-2</v>
      </c>
      <c r="BI6" s="6">
        <v>8.3490468865308143E-2</v>
      </c>
    </row>
    <row r="7" spans="1:62" x14ac:dyDescent="0.2">
      <c r="A7" s="6">
        <v>6.8108000000000004</v>
      </c>
      <c r="B7" s="6">
        <v>0.26369999999999999</v>
      </c>
      <c r="C7" s="8">
        <v>28.4451</v>
      </c>
      <c r="D7" s="6">
        <v>0.67610000000000003</v>
      </c>
      <c r="E7" s="8">
        <v>4.2275</v>
      </c>
      <c r="F7" s="6">
        <v>8.4900000000000003E-2</v>
      </c>
      <c r="G7" s="8"/>
      <c r="H7" s="9">
        <f t="shared" si="18"/>
        <v>5.2</v>
      </c>
      <c r="I7" s="9">
        <f t="shared" si="19"/>
        <v>6</v>
      </c>
      <c r="J7" s="6">
        <v>0.44295491530396625</v>
      </c>
      <c r="K7" s="6">
        <v>28.155937846758075</v>
      </c>
      <c r="L7" s="6">
        <v>3.7688315735347375</v>
      </c>
      <c r="M7" s="6">
        <f t="shared" si="3"/>
        <v>2.9929771843814934</v>
      </c>
      <c r="N7" s="6">
        <f t="shared" si="4"/>
        <v>27.999913083102015</v>
      </c>
      <c r="O7" s="6">
        <f t="shared" si="5"/>
        <v>0.48217368047412235</v>
      </c>
      <c r="P7" s="8"/>
      <c r="Q7" s="6">
        <f t="shared" si="6"/>
        <v>6.1081167028193745E-2</v>
      </c>
      <c r="R7" s="6">
        <f t="shared" si="7"/>
        <v>0.5714267976143268</v>
      </c>
      <c r="S7" s="6">
        <f t="shared" si="0"/>
        <v>6.2280248059173642E-2</v>
      </c>
      <c r="T7" s="8"/>
      <c r="U7" s="6">
        <f t="shared" si="8"/>
        <v>5.7416297006502116E-2</v>
      </c>
      <c r="V7" s="6">
        <f t="shared" si="9"/>
        <v>0.53714118975746716</v>
      </c>
      <c r="W7" s="6">
        <f t="shared" si="10"/>
        <v>5.8543433175623223E-2</v>
      </c>
      <c r="X7" s="6">
        <f t="shared" si="11"/>
        <v>0.28852065773406732</v>
      </c>
      <c r="Y7" s="6">
        <v>2.1999999999999999E-2</v>
      </c>
      <c r="Z7" s="6">
        <f t="shared" si="12"/>
        <v>41.413863456740145</v>
      </c>
      <c r="AA7" s="6">
        <f t="shared" si="13"/>
        <v>6.4458271874986979</v>
      </c>
      <c r="AB7" s="6">
        <f t="shared" si="14"/>
        <v>4.3278098660110096E-3</v>
      </c>
      <c r="AC7" s="6">
        <f t="shared" si="15"/>
        <v>0.22291359374934885</v>
      </c>
      <c r="AD7" s="6">
        <f t="shared" si="1"/>
        <v>7.7474083910906546E-3</v>
      </c>
      <c r="AE7" s="6">
        <f t="shared" si="16"/>
        <v>6.414077477417937</v>
      </c>
      <c r="AF7" s="6">
        <f t="shared" si="2"/>
        <v>8.374410687251313E-2</v>
      </c>
      <c r="AG7" s="8"/>
      <c r="AP7" s="6">
        <v>5.8543433175623223E-2</v>
      </c>
      <c r="AS7" s="6">
        <f>-AS5*100</f>
        <v>17.440000000000001</v>
      </c>
      <c r="AT7" s="6">
        <f>-AT5*100</f>
        <v>14.92</v>
      </c>
      <c r="AU7" s="8"/>
      <c r="AV7" s="6" t="s">
        <v>159</v>
      </c>
      <c r="AX7" s="6">
        <v>5.8543433175623223E-2</v>
      </c>
      <c r="BB7" s="6" t="s">
        <v>160</v>
      </c>
      <c r="BF7" s="6">
        <f t="shared" si="17"/>
        <v>14.473674348647029</v>
      </c>
      <c r="BG7" s="6">
        <v>0.22122517943492961</v>
      </c>
      <c r="BH7" s="6">
        <v>1.5284659175408995E-2</v>
      </c>
      <c r="BI7" s="6">
        <v>4.8940580016016803E-2</v>
      </c>
    </row>
    <row r="8" spans="1:62" x14ac:dyDescent="0.2">
      <c r="A8" s="11">
        <v>8.1828000000000003</v>
      </c>
      <c r="B8" s="6">
        <v>0.31090000000000001</v>
      </c>
      <c r="C8" s="8">
        <v>34.129600000000003</v>
      </c>
      <c r="D8" s="6">
        <v>0.88119999999999998</v>
      </c>
      <c r="E8" s="8">
        <v>5.1492000000000004</v>
      </c>
      <c r="F8" s="6">
        <v>0.1008</v>
      </c>
      <c r="G8" s="8"/>
      <c r="H8" s="9">
        <f t="shared" si="18"/>
        <v>7.2</v>
      </c>
      <c r="I8" s="9">
        <f t="shared" si="19"/>
        <v>8</v>
      </c>
      <c r="J8" s="6">
        <v>-0.62311299022801769</v>
      </c>
      <c r="K8" s="6">
        <v>33.575578914355219</v>
      </c>
      <c r="L8" s="6">
        <v>4.5046387972617605</v>
      </c>
      <c r="M8" s="6">
        <f t="shared" si="3"/>
        <v>3.5899363159443709</v>
      </c>
      <c r="N8" s="6">
        <f t="shared" si="4"/>
        <v>33.388922212017405</v>
      </c>
      <c r="O8" s="6">
        <f t="shared" si="5"/>
        <v>0.71198965103599221</v>
      </c>
      <c r="P8" s="8"/>
      <c r="Q8" s="6">
        <f t="shared" si="6"/>
        <v>7.326400644784431E-2</v>
      </c>
      <c r="R8" s="6">
        <f t="shared" si="7"/>
        <v>0.68140657575545727</v>
      </c>
      <c r="S8" s="6">
        <f t="shared" si="0"/>
        <v>9.1964563554119375E-2</v>
      </c>
      <c r="T8" s="8"/>
      <c r="U8" s="6">
        <f t="shared" si="8"/>
        <v>6.8868166060973651E-2</v>
      </c>
      <c r="V8" s="6">
        <f t="shared" si="9"/>
        <v>0.64052218121012983</v>
      </c>
      <c r="W8" s="6">
        <f t="shared" si="10"/>
        <v>8.6446689740872204E-2</v>
      </c>
      <c r="X8" s="6">
        <f t="shared" si="11"/>
        <v>0.41026866462218237</v>
      </c>
      <c r="Y8" s="6">
        <v>2.1999999999999999E-2</v>
      </c>
      <c r="Z8" s="6">
        <f t="shared" si="12"/>
        <v>37.890288483905366</v>
      </c>
      <c r="AA8" s="6">
        <f t="shared" si="13"/>
        <v>8.5316334104044085</v>
      </c>
      <c r="AB8" s="6">
        <f t="shared" si="14"/>
        <v>6.1540299693327348E-3</v>
      </c>
      <c r="AC8" s="6">
        <f t="shared" si="15"/>
        <v>0.26581670520220385</v>
      </c>
      <c r="AD8" s="6">
        <f t="shared" si="1"/>
        <v>9.2385149677828501E-3</v>
      </c>
      <c r="AE8" s="6">
        <f t="shared" si="16"/>
        <v>6.6018107960579746</v>
      </c>
      <c r="AF8" s="6">
        <f t="shared" si="2"/>
        <v>9.7022196030306374E-2</v>
      </c>
      <c r="AG8" s="8"/>
      <c r="AP8" s="6">
        <v>8.6446689740872204E-2</v>
      </c>
      <c r="AU8" s="8"/>
      <c r="AV8" s="6">
        <f>AV4*(AW6/AV6)/(3)</f>
        <v>6.3333333333333311E-2</v>
      </c>
      <c r="AX8" s="6">
        <v>8.6446689740872204E-2</v>
      </c>
      <c r="BB8" s="6">
        <f>(V15-V26)/(3*(AV6/AW6))</f>
        <v>6.4720369181851756E-2</v>
      </c>
      <c r="BF8" s="6">
        <f t="shared" si="17"/>
        <v>10.495538645427555</v>
      </c>
      <c r="BG8" s="6">
        <v>0.17172868049830547</v>
      </c>
      <c r="BH8" s="6">
        <v>1.6362064520921003E-2</v>
      </c>
      <c r="BI8" s="6">
        <v>2.9490739705689082E-2</v>
      </c>
    </row>
    <row r="9" spans="1:62" x14ac:dyDescent="0.2">
      <c r="A9" s="6">
        <v>9.5427</v>
      </c>
      <c r="B9" s="6">
        <v>0.3155</v>
      </c>
      <c r="C9" s="8">
        <v>39.220700000000001</v>
      </c>
      <c r="D9" s="6">
        <v>0.6885</v>
      </c>
      <c r="E9" s="8">
        <v>5.9752999999999998</v>
      </c>
      <c r="F9" s="6">
        <v>7.6999999999999999E-2</v>
      </c>
      <c r="G9" s="8"/>
      <c r="H9" s="9">
        <f t="shared" si="18"/>
        <v>9.1999999999999993</v>
      </c>
      <c r="I9" s="9">
        <f t="shared" si="19"/>
        <v>10</v>
      </c>
      <c r="J9" s="6">
        <v>-1.6905522472283181</v>
      </c>
      <c r="K9" s="6">
        <v>38.316893984028134</v>
      </c>
      <c r="L9" s="6">
        <v>5.139921733675922</v>
      </c>
      <c r="M9" s="6">
        <f t="shared" si="3"/>
        <v>4.4573450875888305</v>
      </c>
      <c r="N9" s="6">
        <f t="shared" si="4"/>
        <v>38.094283117733134</v>
      </c>
      <c r="O9" s="6">
        <f t="shared" si="5"/>
        <v>0.9194396727078018</v>
      </c>
      <c r="P9" s="8"/>
      <c r="Q9" s="6">
        <f t="shared" si="6"/>
        <v>9.0966226277323078E-2</v>
      </c>
      <c r="R9" s="6">
        <f t="shared" si="7"/>
        <v>0.77743434934149258</v>
      </c>
      <c r="S9" s="6">
        <f t="shared" si="0"/>
        <v>0.11875996805835724</v>
      </c>
      <c r="T9" s="8"/>
      <c r="U9" s="6">
        <f t="shared" si="8"/>
        <v>8.5508252700683685E-2</v>
      </c>
      <c r="V9" s="6">
        <f t="shared" si="9"/>
        <v>0.73078828838100296</v>
      </c>
      <c r="W9" s="6">
        <f t="shared" si="10"/>
        <v>0.1116343699748558</v>
      </c>
      <c r="X9" s="6">
        <f t="shared" si="11"/>
        <v>0.53405152243483589</v>
      </c>
      <c r="Y9" s="6">
        <v>2.1999999999999999E-2</v>
      </c>
      <c r="Z9" s="6">
        <f t="shared" si="12"/>
        <v>55.329387244347323</v>
      </c>
      <c r="AA9" s="6">
        <f t="shared" si="13"/>
        <v>10.606554279356232</v>
      </c>
      <c r="AB9" s="6">
        <f t="shared" si="14"/>
        <v>8.0107728365225381E-3</v>
      </c>
      <c r="AC9" s="6">
        <f t="shared" si="15"/>
        <v>0.3032771396781162</v>
      </c>
      <c r="AD9" s="6">
        <f t="shared" si="1"/>
        <v>1.0540460172250367E-2</v>
      </c>
      <c r="AE9" s="6">
        <f t="shared" si="16"/>
        <v>6.3261292673009226</v>
      </c>
      <c r="AF9" s="6">
        <f t="shared" si="2"/>
        <v>0.11551902553720622</v>
      </c>
      <c r="AG9" s="8"/>
      <c r="AP9" s="6">
        <v>0.1116343699748558</v>
      </c>
      <c r="AU9" s="8"/>
      <c r="AV9" s="6" t="s">
        <v>161</v>
      </c>
      <c r="AW9" s="6" t="s">
        <v>162</v>
      </c>
      <c r="AX9" s="6">
        <v>0.1116343699748558</v>
      </c>
      <c r="BF9" s="6">
        <f t="shared" si="17"/>
        <v>11.27748026412773</v>
      </c>
      <c r="BG9" s="6">
        <v>0.16727801847631729</v>
      </c>
      <c r="BH9" s="6">
        <v>1.483292495828239E-2</v>
      </c>
      <c r="BI9" s="6">
        <v>2.798193546536315E-2</v>
      </c>
    </row>
    <row r="10" spans="1:62" x14ac:dyDescent="0.2">
      <c r="A10" s="6">
        <v>10.618</v>
      </c>
      <c r="B10" s="6">
        <v>0.2974</v>
      </c>
      <c r="C10" s="8">
        <v>43.476399999999998</v>
      </c>
      <c r="D10" s="6">
        <v>0.85729999999999995</v>
      </c>
      <c r="E10" s="8">
        <v>6.6657000000000002</v>
      </c>
      <c r="F10" s="6">
        <v>8.6699999999999999E-2</v>
      </c>
      <c r="G10" s="8"/>
      <c r="H10" s="12">
        <f t="shared" si="18"/>
        <v>11.2</v>
      </c>
      <c r="I10" s="9">
        <f t="shared" si="19"/>
        <v>12</v>
      </c>
      <c r="J10" s="6">
        <v>-3.0289055167152306</v>
      </c>
      <c r="K10" s="6">
        <v>42.138309214834194</v>
      </c>
      <c r="L10" s="6">
        <v>5.6348128639760899</v>
      </c>
      <c r="M10" s="6">
        <f t="shared" si="3"/>
        <v>5.2134866701624727</v>
      </c>
      <c r="N10" s="6">
        <f t="shared" si="4"/>
        <v>41.924109159935718</v>
      </c>
      <c r="O10" s="6">
        <f t="shared" si="5"/>
        <v>1.122086911108833</v>
      </c>
      <c r="P10" s="8"/>
      <c r="Q10" s="6">
        <f t="shared" si="6"/>
        <v>0.10639768714617291</v>
      </c>
      <c r="R10" s="6">
        <f t="shared" si="7"/>
        <v>0.85559406448848407</v>
      </c>
      <c r="S10" s="6">
        <f t="shared" si="0"/>
        <v>0.1449350182264057</v>
      </c>
      <c r="T10" s="8"/>
      <c r="U10" s="6">
        <f t="shared" si="8"/>
        <v>0.10001382591740253</v>
      </c>
      <c r="V10" s="6">
        <f t="shared" si="9"/>
        <v>0.80425842061917496</v>
      </c>
      <c r="W10" s="6">
        <f t="shared" si="10"/>
        <v>0.13623891713282135</v>
      </c>
      <c r="X10" s="6">
        <f t="shared" si="11"/>
        <v>0.64683160713684973</v>
      </c>
      <c r="Y10" s="6">
        <v>2.1999999999999999E-2</v>
      </c>
      <c r="Z10" s="6">
        <f t="shared" si="12"/>
        <v>48.902495229133002</v>
      </c>
      <c r="AA10" s="6">
        <f t="shared" si="13"/>
        <v>12.667534489113915</v>
      </c>
      <c r="AB10" s="6">
        <f t="shared" si="14"/>
        <v>9.702474107052746E-3</v>
      </c>
      <c r="AC10" s="6">
        <f t="shared" si="15"/>
        <v>0.33376724455695761</v>
      </c>
      <c r="AD10" s="6">
        <f t="shared" si="1"/>
        <v>1.1600150119419683E-2</v>
      </c>
      <c r="AE10" s="6">
        <f t="shared" si="16"/>
        <v>6.1059900746517419</v>
      </c>
      <c r="AF10" s="6">
        <f t="shared" si="2"/>
        <v>0.13171630002445528</v>
      </c>
      <c r="AG10" s="8"/>
      <c r="AP10" s="6">
        <v>0.13623891713282135</v>
      </c>
      <c r="AS10" s="6" t="s">
        <v>163</v>
      </c>
      <c r="AT10" s="6" t="s">
        <v>164</v>
      </c>
      <c r="AU10" s="8"/>
      <c r="AV10" s="19">
        <f>$AT$11-AS21</f>
        <v>0.4328040512000001</v>
      </c>
      <c r="AW10" s="19">
        <f>$AT$11-AT21</f>
        <v>0.40893039656000008</v>
      </c>
      <c r="AX10" s="6">
        <v>0.13623891713282135</v>
      </c>
      <c r="BF10" s="6">
        <f t="shared" si="17"/>
        <v>8.9982306779922361</v>
      </c>
      <c r="BG10" s="6">
        <v>0.12793313735050649</v>
      </c>
      <c r="BH10" s="6">
        <v>1.4217588093557526E-2</v>
      </c>
      <c r="BI10" s="6">
        <v>1.636688763234356E-2</v>
      </c>
    </row>
    <row r="11" spans="1:62" x14ac:dyDescent="0.2">
      <c r="G11" s="8"/>
      <c r="H11" s="9"/>
      <c r="I11" s="9"/>
      <c r="P11" s="8"/>
      <c r="T11" s="8"/>
      <c r="AG11" s="8"/>
      <c r="AS11" s="6">
        <v>0.42599999999999999</v>
      </c>
      <c r="AT11" s="6">
        <v>0.81</v>
      </c>
      <c r="AU11" s="8"/>
      <c r="AV11" s="6" t="s">
        <v>165</v>
      </c>
      <c r="AW11" s="6" t="s">
        <v>166</v>
      </c>
      <c r="BF11" s="6">
        <f t="shared" si="17"/>
        <v>19.068203345143509</v>
      </c>
      <c r="BG11" s="6">
        <v>0.39328920788431926</v>
      </c>
      <c r="BH11" s="6">
        <v>2.0625394053419632E-2</v>
      </c>
      <c r="BI11" s="6">
        <v>0.15467640103827529</v>
      </c>
    </row>
    <row r="12" spans="1:62" ht="21" x14ac:dyDescent="0.3">
      <c r="G12" s="8"/>
      <c r="H12" s="9"/>
      <c r="I12" s="9"/>
      <c r="J12" s="10" t="s">
        <v>167</v>
      </c>
      <c r="K12" s="10"/>
      <c r="P12" s="8"/>
      <c r="T12" s="8"/>
      <c r="AG12" s="8"/>
      <c r="AS12" s="6" t="s">
        <v>168</v>
      </c>
      <c r="AT12" s="6" t="s">
        <v>169</v>
      </c>
      <c r="AU12" s="8"/>
      <c r="AV12" s="19">
        <f>AV10*$AV$6/($AW$6*$AS$13)</f>
        <v>0.68481653670886089</v>
      </c>
      <c r="AW12" s="19">
        <f>AW10*$AV$6/($AW$6*$AS$13)</f>
        <v>0.64704176670886093</v>
      </c>
      <c r="BF12" s="6">
        <f t="shared" si="17"/>
        <v>5.1484149031887467</v>
      </c>
      <c r="BG12" s="6">
        <v>0.12138555798898744</v>
      </c>
      <c r="BH12" s="6">
        <v>2.3577268008024274E-2</v>
      </c>
      <c r="BI12" s="6">
        <v>1.4734453688297832E-2</v>
      </c>
    </row>
    <row r="13" spans="1:62" x14ac:dyDescent="0.2">
      <c r="A13" s="6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132</v>
      </c>
      <c r="G13" s="8"/>
      <c r="H13" s="9" t="s">
        <v>134</v>
      </c>
      <c r="I13" s="9" t="s">
        <v>135</v>
      </c>
      <c r="J13" s="6" t="s">
        <v>170</v>
      </c>
      <c r="K13" s="6" t="s">
        <v>171</v>
      </c>
      <c r="L13" s="6" t="s">
        <v>133</v>
      </c>
      <c r="M13" s="6" t="s">
        <v>138</v>
      </c>
      <c r="N13" s="6" t="s">
        <v>139</v>
      </c>
      <c r="O13" s="6" t="s">
        <v>140</v>
      </c>
      <c r="P13" s="8"/>
      <c r="T13" s="8"/>
      <c r="AG13" s="8"/>
      <c r="AS13" s="6">
        <v>0.158</v>
      </c>
      <c r="AT13" s="6">
        <v>0.71299999999999997</v>
      </c>
      <c r="AU13" s="8"/>
      <c r="AV13" s="6" t="s">
        <v>172</v>
      </c>
      <c r="AW13" s="6" t="s">
        <v>173</v>
      </c>
      <c r="BF13" s="6">
        <f t="shared" si="17"/>
        <v>10.34677033894811</v>
      </c>
      <c r="BG13" s="6">
        <v>0.19143336240989037</v>
      </c>
      <c r="BH13" s="6">
        <v>1.850175041474364E-2</v>
      </c>
      <c r="BI13" s="6">
        <v>3.6646732243556426E-2</v>
      </c>
    </row>
    <row r="14" spans="1:62" x14ac:dyDescent="0.2">
      <c r="A14" s="6">
        <v>-1.2277</v>
      </c>
      <c r="B14" s="6">
        <v>0.3548</v>
      </c>
      <c r="C14" s="6">
        <v>-1.4853000000000001</v>
      </c>
      <c r="D14" s="6">
        <v>0.72709999999999997</v>
      </c>
      <c r="E14" s="6">
        <v>7.1000000000000004E-3</v>
      </c>
      <c r="F14" s="6">
        <v>0.13109999999999999</v>
      </c>
      <c r="G14" s="8"/>
      <c r="H14" s="9">
        <v>-2.8</v>
      </c>
      <c r="I14" s="9">
        <v>-2</v>
      </c>
      <c r="J14" s="6" cm="1">
        <f t="array" ref="J14:J21">A14:A21-C50*SIN(RADIANS(H14:H21))</f>
        <v>2.4189353152425297</v>
      </c>
      <c r="K14" s="6" cm="1">
        <f t="array" ref="K14:K21">C14:C21+C50*(COS(RADIANS(H14:H21))-1)</f>
        <v>-1.5744218474619456</v>
      </c>
      <c r="L14" s="6" cm="1">
        <f t="array" ref="L14:L21">E14:E21-C50*(C52*SIN(RADIANS(H14:H21))+C51*(COS(RADIANS(H14:H21))-1))</f>
        <v>0.28062372882226816</v>
      </c>
      <c r="M14" s="6">
        <f t="shared" si="3"/>
        <v>2.4929575835058753</v>
      </c>
      <c r="N14" s="6">
        <f>COS(RADIANS(H14))*K14-SIN(RADIANS(H14))*J14</f>
        <v>-1.4543777707093537</v>
      </c>
      <c r="O14" s="6">
        <f t="shared" ref="O14:O21" si="20">L14-0.115*K14-0.11*J14</f>
        <v>0.19559935660371364</v>
      </c>
      <c r="P14" s="8"/>
      <c r="Q14" s="6">
        <f t="shared" ref="Q14:Q21" si="21">M14/(0.5*$B$54^2*$B$55*$B$56)</f>
        <v>5.0876685377670927E-2</v>
      </c>
      <c r="R14" s="6">
        <f t="shared" ref="R14:R21" si="22">N14/(0.5*$B$54^2*$B$55*$B$56)</f>
        <v>-2.9681178994068441E-2</v>
      </c>
      <c r="S14" s="6">
        <f t="shared" ref="S14:S21" si="23">O14/(0.5*$B$54^2*$B$55*$B$56*$B$57)</f>
        <v>2.5264706355426717E-2</v>
      </c>
      <c r="T14" s="8"/>
      <c r="U14" s="6">
        <f t="shared" si="8"/>
        <v>4.7824084255010668E-2</v>
      </c>
      <c r="V14" s="6">
        <f t="shared" si="9"/>
        <v>-2.7900308254424334E-2</v>
      </c>
      <c r="W14" s="6">
        <f t="shared" si="10"/>
        <v>2.3748823974101115E-2</v>
      </c>
      <c r="X14" s="6">
        <f t="shared" si="11"/>
        <v>7.7842720069189869E-4</v>
      </c>
      <c r="Y14" s="6">
        <v>2.1999999999999999E-2</v>
      </c>
      <c r="Z14" s="6">
        <f t="shared" si="12"/>
        <v>-2.0002444927923997</v>
      </c>
      <c r="AA14" s="6">
        <f t="shared" si="13"/>
        <v>-2.0231572558511721</v>
      </c>
      <c r="AB14" s="6">
        <f t="shared" si="14"/>
        <v>1.167640801037848E-5</v>
      </c>
      <c r="AC14" s="6">
        <f t="shared" si="15"/>
        <v>-1.1578627925586098E-2</v>
      </c>
      <c r="AD14" s="6">
        <f t="shared" ref="AD14:AD21" si="24">-AC14*$AM$18</f>
        <v>-4.0241762576789618E-4</v>
      </c>
      <c r="AE14" s="6">
        <f t="shared" si="16"/>
        <v>-0.39951320053706979</v>
      </c>
      <c r="AF14" s="6">
        <f t="shared" ref="AF14:AF21" si="25">U14+Y14+AB14</f>
        <v>6.9835760663021038E-2</v>
      </c>
      <c r="AG14" s="8"/>
      <c r="AP14" s="6">
        <f t="shared" ref="AP14:AP21" si="26">W14+AD14</f>
        <v>2.334640634833322E-2</v>
      </c>
      <c r="AU14" s="8"/>
      <c r="AV14" s="6">
        <f>1-((AS16-AS21)*($AT$13)/($AV$8*AV12*$AS$13))</f>
        <v>-6.9448832312009996</v>
      </c>
      <c r="AW14" s="6">
        <f>1-((AT16-AT21)*($AT$13)/($AV$8*AW12*$AS$13))</f>
        <v>-4.3412795153613661</v>
      </c>
      <c r="AX14" s="6" cm="1">
        <f t="array" ref="AX14:AX21">AP14:AP21-V14:V21*((AS11-AT21)/AS13)</f>
        <v>2.7748721214972717E-2</v>
      </c>
    </row>
    <row r="15" spans="1:62" x14ac:dyDescent="0.2">
      <c r="A15" s="6">
        <v>1.4625999999999999</v>
      </c>
      <c r="B15" s="6">
        <v>0.32</v>
      </c>
      <c r="C15" s="6">
        <v>6.7729999999999997</v>
      </c>
      <c r="D15" s="6">
        <v>0.62229999999999996</v>
      </c>
      <c r="E15" s="6">
        <v>0.92530000000000001</v>
      </c>
      <c r="F15" s="6">
        <v>9.6699999999999994E-2</v>
      </c>
      <c r="G15" s="8"/>
      <c r="H15" s="9">
        <f>H14+2</f>
        <v>-0.79999999999999982</v>
      </c>
      <c r="I15" s="9">
        <f>I14+2</f>
        <v>0</v>
      </c>
      <c r="J15" s="6">
        <v>2.5048767623171946</v>
      </c>
      <c r="K15" s="6">
        <v>6.7657234172945611</v>
      </c>
      <c r="L15" s="6">
        <v>1.0044407857396842</v>
      </c>
      <c r="M15" s="6">
        <f t="shared" si="3"/>
        <v>2.4101683464961723</v>
      </c>
      <c r="N15" s="6">
        <f t="shared" si="4"/>
        <v>6.8000374627844939</v>
      </c>
      <c r="O15" s="6">
        <f t="shared" si="20"/>
        <v>-4.9153851104081769E-2</v>
      </c>
      <c r="P15" s="8"/>
      <c r="Q15" s="6">
        <f t="shared" si="21"/>
        <v>4.9187109112166782E-2</v>
      </c>
      <c r="R15" s="6">
        <f t="shared" si="22"/>
        <v>0.13877627475070395</v>
      </c>
      <c r="S15" s="6">
        <f t="shared" si="23"/>
        <v>-6.3489861927256228E-3</v>
      </c>
      <c r="T15" s="8"/>
      <c r="U15" s="6">
        <f t="shared" si="8"/>
        <v>4.6235882565436773E-2</v>
      </c>
      <c r="V15" s="6">
        <f t="shared" si="9"/>
        <v>0.13044969826566172</v>
      </c>
      <c r="W15" s="6">
        <f t="shared" si="10"/>
        <v>-5.9680470211620849E-3</v>
      </c>
      <c r="X15" s="6">
        <f t="shared" si="11"/>
        <v>1.7017123777602186E-2</v>
      </c>
      <c r="Y15" s="6">
        <v>2.1999999999999999E-2</v>
      </c>
      <c r="Z15" s="6">
        <f t="shared" si="12"/>
        <v>10.927265728401887</v>
      </c>
      <c r="AA15" s="6">
        <f t="shared" si="13"/>
        <v>0.10827324956049922</v>
      </c>
      <c r="AB15" s="6">
        <f t="shared" si="14"/>
        <v>2.5525685666403277E-4</v>
      </c>
      <c r="AC15" s="6">
        <f t="shared" si="15"/>
        <v>5.4136624780249609E-2</v>
      </c>
      <c r="AD15" s="6">
        <f t="shared" si="24"/>
        <v>1.881529672701072E-3</v>
      </c>
      <c r="AE15" s="6">
        <f t="shared" si="16"/>
        <v>1.9046215228180019</v>
      </c>
      <c r="AF15" s="6">
        <f t="shared" si="25"/>
        <v>6.8491139422100805E-2</v>
      </c>
      <c r="AG15" s="8"/>
      <c r="AP15" s="6">
        <f t="shared" si="26"/>
        <v>-4.0865173484610131E-3</v>
      </c>
      <c r="AS15" s="6" t="s">
        <v>174</v>
      </c>
      <c r="AT15" s="6" t="s">
        <v>175</v>
      </c>
      <c r="AU15" s="8"/>
      <c r="AX15" s="6">
        <v>-2.466982563260843E-2</v>
      </c>
    </row>
    <row r="16" spans="1:62" x14ac:dyDescent="0.2">
      <c r="A16" s="6">
        <v>3.98</v>
      </c>
      <c r="B16" s="6">
        <v>0.34649999999999997</v>
      </c>
      <c r="C16" s="6">
        <v>15.110099999999999</v>
      </c>
      <c r="D16" s="6">
        <v>0.59789999999999999</v>
      </c>
      <c r="E16" s="6">
        <v>1.8626</v>
      </c>
      <c r="F16" s="6">
        <v>0.1336</v>
      </c>
      <c r="G16" s="8"/>
      <c r="H16" s="9">
        <f t="shared" ref="H16:H21" si="27">H15+2</f>
        <v>1.2000000000000002</v>
      </c>
      <c r="I16" s="9">
        <f t="shared" ref="I16:I21" si="28">I15+2</f>
        <v>2</v>
      </c>
      <c r="J16" s="6">
        <v>2.4166483557074026</v>
      </c>
      <c r="K16" s="6">
        <v>15.093728021397215</v>
      </c>
      <c r="L16" s="6">
        <v>1.7424501918723876</v>
      </c>
      <c r="M16" s="6">
        <f t="shared" si="3"/>
        <v>2.7322175346167996</v>
      </c>
      <c r="N16" s="6">
        <f t="shared" si="4"/>
        <v>15.039807252840287</v>
      </c>
      <c r="O16" s="6">
        <f t="shared" si="20"/>
        <v>-0.25915984971610645</v>
      </c>
      <c r="P16" s="8"/>
      <c r="Q16" s="6">
        <f t="shared" si="21"/>
        <v>5.5759541522791826E-2</v>
      </c>
      <c r="R16" s="6">
        <f t="shared" si="22"/>
        <v>0.30693484189469972</v>
      </c>
      <c r="S16" s="6">
        <f t="shared" si="23"/>
        <v>-3.3474534967205691E-2</v>
      </c>
      <c r="T16" s="8"/>
      <c r="U16" s="6">
        <f t="shared" si="8"/>
        <v>5.2413969031424312E-2</v>
      </c>
      <c r="V16" s="6">
        <f t="shared" si="9"/>
        <v>0.28851875138101774</v>
      </c>
      <c r="W16" s="6">
        <f t="shared" si="10"/>
        <v>-3.1466062869173347E-2</v>
      </c>
      <c r="X16" s="6">
        <f t="shared" si="11"/>
        <v>8.3243069898461516E-2</v>
      </c>
      <c r="Y16" s="6">
        <v>2.1999999999999999E-2</v>
      </c>
      <c r="Z16" s="6">
        <f t="shared" si="12"/>
        <v>25.154385771601081</v>
      </c>
      <c r="AA16" s="6">
        <f t="shared" si="13"/>
        <v>2.2394705636462446</v>
      </c>
      <c r="AB16" s="6">
        <f t="shared" si="14"/>
        <v>1.2486460484769227E-3</v>
      </c>
      <c r="AC16" s="6">
        <f t="shared" si="15"/>
        <v>0.11973528182312236</v>
      </c>
      <c r="AD16" s="6">
        <f t="shared" si="24"/>
        <v>4.1614246646129996E-3</v>
      </c>
      <c r="AE16" s="6">
        <f t="shared" si="16"/>
        <v>3.8132273260227154</v>
      </c>
      <c r="AF16" s="6">
        <f t="shared" si="25"/>
        <v>7.5662615079901227E-2</v>
      </c>
      <c r="AG16" s="8"/>
      <c r="AP16" s="6">
        <f t="shared" si="26"/>
        <v>-2.7304638204560347E-2</v>
      </c>
      <c r="AS16" s="20">
        <f>-AS5*$AS$13+$AS$11</f>
        <v>0.45355519999999999</v>
      </c>
      <c r="AT16" s="20">
        <f>-AT5*$AS$13+$AS$11</f>
        <v>0.44957360000000002</v>
      </c>
      <c r="AU16" s="8"/>
      <c r="AX16" s="6">
        <v>-7.2829238754717446E-2</v>
      </c>
    </row>
    <row r="17" spans="1:50" x14ac:dyDescent="0.2">
      <c r="A17" s="6">
        <v>5.6698000000000004</v>
      </c>
      <c r="B17" s="6">
        <v>0.42699999999999999</v>
      </c>
      <c r="C17" s="6">
        <v>23.304500000000001</v>
      </c>
      <c r="D17" s="6">
        <v>0.76129999999999998</v>
      </c>
      <c r="E17" s="6">
        <v>2.7086999999999999</v>
      </c>
      <c r="F17" s="6">
        <v>0.13600000000000001</v>
      </c>
      <c r="G17" s="8"/>
      <c r="H17" s="9">
        <f t="shared" si="27"/>
        <v>3.2</v>
      </c>
      <c r="I17" s="9">
        <f t="shared" si="28"/>
        <v>4</v>
      </c>
      <c r="J17" s="6">
        <v>1.5027246522603219</v>
      </c>
      <c r="K17" s="6">
        <v>23.188103046184885</v>
      </c>
      <c r="L17" s="6">
        <v>2.3845947521106425</v>
      </c>
      <c r="M17" s="6">
        <f t="shared" si="3"/>
        <v>2.794776360132504</v>
      </c>
      <c r="N17" s="6">
        <f t="shared" si="4"/>
        <v>23.068062973683858</v>
      </c>
      <c r="O17" s="6">
        <f t="shared" si="20"/>
        <v>-0.44733680994925495</v>
      </c>
      <c r="P17" s="8"/>
      <c r="Q17" s="6">
        <f t="shared" si="21"/>
        <v>5.7036252247602122E-2</v>
      </c>
      <c r="R17" s="6">
        <f t="shared" si="22"/>
        <v>0.47077679538130324</v>
      </c>
      <c r="S17" s="6">
        <f t="shared" si="23"/>
        <v>-5.7780523114086151E-2</v>
      </c>
      <c r="T17" s="8"/>
      <c r="U17" s="6">
        <f t="shared" si="8"/>
        <v>5.3614077112745989E-2</v>
      </c>
      <c r="V17" s="6">
        <f t="shared" si="9"/>
        <v>0.442530187658425</v>
      </c>
      <c r="W17" s="6">
        <f t="shared" si="10"/>
        <v>-5.431369172724098E-2</v>
      </c>
      <c r="X17" s="6">
        <f t="shared" si="11"/>
        <v>0.19583296698900085</v>
      </c>
      <c r="Y17" s="6">
        <v>2.1999999999999999E-2</v>
      </c>
      <c r="Z17" s="6">
        <f t="shared" si="12"/>
        <v>30.300883979618888</v>
      </c>
      <c r="AA17" s="6">
        <f t="shared" si="13"/>
        <v>4.3673000557564929</v>
      </c>
      <c r="AB17" s="6">
        <f t="shared" si="14"/>
        <v>2.9374945048350125E-3</v>
      </c>
      <c r="AC17" s="6">
        <f t="shared" si="15"/>
        <v>0.18365002787824636</v>
      </c>
      <c r="AD17" s="6">
        <f t="shared" si="24"/>
        <v>6.3827949793309295E-3</v>
      </c>
      <c r="AE17" s="6">
        <f t="shared" si="16"/>
        <v>5.63362614579923</v>
      </c>
      <c r="AF17" s="6">
        <f t="shared" si="25"/>
        <v>7.8551571617580987E-2</v>
      </c>
      <c r="AG17" s="8"/>
      <c r="AH17" s="6" t="s">
        <v>176</v>
      </c>
      <c r="AI17" s="6" t="s">
        <v>177</v>
      </c>
      <c r="AJ17" s="6" t="s">
        <v>178</v>
      </c>
      <c r="AK17" s="6" t="s">
        <v>179</v>
      </c>
      <c r="AM17" s="6" t="s">
        <v>180</v>
      </c>
      <c r="AP17" s="6">
        <f t="shared" si="26"/>
        <v>-4.7930896747910054E-2</v>
      </c>
      <c r="AU17" s="8"/>
      <c r="AX17" s="6">
        <v>-0.11775654907763004</v>
      </c>
    </row>
    <row r="18" spans="1:50" x14ac:dyDescent="0.2">
      <c r="A18" s="6">
        <v>7.2812000000000001</v>
      </c>
      <c r="B18" s="6">
        <v>0.31090000000000001</v>
      </c>
      <c r="C18" s="6">
        <v>31.663900000000002</v>
      </c>
      <c r="D18" s="6">
        <v>0.88149999999999995</v>
      </c>
      <c r="E18" s="6">
        <v>3.5110000000000001</v>
      </c>
      <c r="F18" s="6">
        <v>0.11650000000000001</v>
      </c>
      <c r="G18" s="8"/>
      <c r="H18" s="9">
        <f t="shared" si="27"/>
        <v>5.2</v>
      </c>
      <c r="I18" s="9">
        <f t="shared" si="28"/>
        <v>6</v>
      </c>
      <c r="J18" s="6">
        <v>0.5154778882357105</v>
      </c>
      <c r="K18" s="6">
        <v>31.356670356682187</v>
      </c>
      <c r="L18" s="6">
        <v>2.9785229547408725</v>
      </c>
      <c r="M18" s="6">
        <f t="shared" si="3"/>
        <v>3.3552923275628048</v>
      </c>
      <c r="N18" s="6">
        <f t="shared" si="4"/>
        <v>31.180899709717959</v>
      </c>
      <c r="O18" s="6">
        <f t="shared" si="20"/>
        <v>-0.68419670398350718</v>
      </c>
      <c r="P18" s="8"/>
      <c r="Q18" s="6">
        <f t="shared" si="21"/>
        <v>6.8475353623730709E-2</v>
      </c>
      <c r="R18" s="6">
        <f t="shared" si="22"/>
        <v>0.63634489203506039</v>
      </c>
      <c r="S18" s="6">
        <f t="shared" si="23"/>
        <v>-8.8374671142276831E-2</v>
      </c>
      <c r="T18" s="8"/>
      <c r="U18" s="6">
        <f t="shared" si="8"/>
        <v>6.4366832406306862E-2</v>
      </c>
      <c r="V18" s="6">
        <f t="shared" si="9"/>
        <v>0.59816419851295677</v>
      </c>
      <c r="W18" s="6">
        <f t="shared" si="10"/>
        <v>-8.3072190873740223E-2</v>
      </c>
      <c r="X18" s="6">
        <f t="shared" si="11"/>
        <v>0.35780040838264793</v>
      </c>
      <c r="Y18" s="6">
        <v>2.1999999999999999E-2</v>
      </c>
      <c r="Z18" s="6">
        <f t="shared" si="12"/>
        <v>35.372546465930753</v>
      </c>
      <c r="AA18" s="6">
        <f t="shared" si="13"/>
        <v>6.4964762847657544</v>
      </c>
      <c r="AB18" s="6">
        <f t="shared" si="14"/>
        <v>5.3670061257397187E-3</v>
      </c>
      <c r="AC18" s="6">
        <f t="shared" si="15"/>
        <v>0.24823814238287706</v>
      </c>
      <c r="AD18" s="6">
        <f t="shared" si="24"/>
        <v>8.6275683547965588E-3</v>
      </c>
      <c r="AE18" s="6">
        <f t="shared" si="16"/>
        <v>6.5206493926883082</v>
      </c>
      <c r="AF18" s="6">
        <f t="shared" si="25"/>
        <v>9.1733838532046572E-2</v>
      </c>
      <c r="AG18" s="8"/>
      <c r="AH18" s="6">
        <f>0.735*0.5^6-1.1974*0.5^5+0.014*0.5^4+0.575*0.5^3-0.1506*0.5^2-0.1872*0.5+0.1242</f>
        <v>3.9765624999999999E-2</v>
      </c>
      <c r="AI18" s="6">
        <f>-4.5064*0.5^6+11.742*0.5^5-11.06*0.5^4+4.459*0.5^3-0.655*0.5^2-0.1662*0.5+0.0197</f>
        <v>-6.4500000000000043E-2</v>
      </c>
      <c r="AJ18" s="6">
        <v>-2</v>
      </c>
      <c r="AK18" s="6">
        <v>1</v>
      </c>
      <c r="AM18" s="6">
        <f>(AH18-AI18)/(AJ18-AK18)</f>
        <v>-3.475520833333335E-2</v>
      </c>
      <c r="AP18" s="6">
        <f t="shared" si="26"/>
        <v>-7.4444622518943668E-2</v>
      </c>
      <c r="AS18" s="33" t="s">
        <v>181</v>
      </c>
      <c r="AT18" s="33"/>
      <c r="AU18" s="8"/>
      <c r="AX18" s="6">
        <v>-0.16882734832225116</v>
      </c>
    </row>
    <row r="19" spans="1:50" x14ac:dyDescent="0.2">
      <c r="A19" s="6">
        <v>8.6473999999999993</v>
      </c>
      <c r="B19" s="6">
        <v>0.29559999999999997</v>
      </c>
      <c r="C19" s="6">
        <v>38.398000000000003</v>
      </c>
      <c r="D19" s="6">
        <v>0.61650000000000005</v>
      </c>
      <c r="E19" s="6">
        <v>4.1628999999999996</v>
      </c>
      <c r="F19" s="6">
        <v>0.10879999999999999</v>
      </c>
      <c r="G19" s="8"/>
      <c r="H19" s="9">
        <f t="shared" si="27"/>
        <v>7.2</v>
      </c>
      <c r="I19" s="9">
        <f t="shared" si="28"/>
        <v>8</v>
      </c>
      <c r="J19" s="6">
        <v>-0.7087258855753138</v>
      </c>
      <c r="K19" s="6">
        <v>37.809362453125779</v>
      </c>
      <c r="L19" s="6">
        <v>3.4178886687009564</v>
      </c>
      <c r="M19" s="6">
        <f t="shared" si="3"/>
        <v>4.0356322849736577</v>
      </c>
      <c r="N19" s="6">
        <f t="shared" si="4"/>
        <v>37.600051244023589</v>
      </c>
      <c r="O19" s="6">
        <f t="shared" si="20"/>
        <v>-0.85222816599522377</v>
      </c>
      <c r="P19" s="8"/>
      <c r="Q19" s="6">
        <f t="shared" si="21"/>
        <v>8.2359842550482815E-2</v>
      </c>
      <c r="R19" s="6">
        <f t="shared" si="22"/>
        <v>0.76734798457191</v>
      </c>
      <c r="S19" s="6">
        <f t="shared" si="23"/>
        <v>-0.1100785541197654</v>
      </c>
      <c r="T19" s="8"/>
      <c r="U19" s="6">
        <f t="shared" si="8"/>
        <v>7.7418251997453835E-2</v>
      </c>
      <c r="V19" s="6">
        <f t="shared" si="9"/>
        <v>0.72130710549759536</v>
      </c>
      <c r="W19" s="6">
        <f t="shared" si="10"/>
        <v>-0.10347384087257946</v>
      </c>
      <c r="X19" s="6">
        <f t="shared" si="11"/>
        <v>0.5202839404413192</v>
      </c>
      <c r="Y19" s="6">
        <v>2.1999999999999999E-2</v>
      </c>
      <c r="Z19" s="6">
        <f t="shared" si="12"/>
        <v>60.989539730776293</v>
      </c>
      <c r="AA19" s="6">
        <f t="shared" si="13"/>
        <v>8.5986848975630039</v>
      </c>
      <c r="AB19" s="6">
        <f t="shared" si="14"/>
        <v>7.8042591066197877E-3</v>
      </c>
      <c r="AC19" s="6">
        <f t="shared" si="15"/>
        <v>0.29934244878150207</v>
      </c>
      <c r="AD19" s="6">
        <f t="shared" si="24"/>
        <v>1.0403709170411272E-2</v>
      </c>
      <c r="AE19" s="6">
        <f t="shared" si="16"/>
        <v>6.727198403304242</v>
      </c>
      <c r="AF19" s="6">
        <f t="shared" si="25"/>
        <v>0.10722251110407362</v>
      </c>
      <c r="AG19" s="8"/>
      <c r="AP19" s="6">
        <f t="shared" si="26"/>
        <v>-9.3070131702168185E-2</v>
      </c>
      <c r="AS19" s="19">
        <f>AS3*0.1243*2+0.1289</f>
        <v>0.30888640000000001</v>
      </c>
      <c r="AT19" s="19">
        <f>AT3*0.1243*2+0.1289</f>
        <v>0.15778731999999998</v>
      </c>
      <c r="AU19" s="8"/>
      <c r="AX19" s="6">
        <v>-0.20688324677559106</v>
      </c>
    </row>
    <row r="20" spans="1:50" x14ac:dyDescent="0.2">
      <c r="A20" s="6">
        <v>9.8826999999999998</v>
      </c>
      <c r="B20" s="6">
        <v>0.2271</v>
      </c>
      <c r="C20" s="6">
        <v>44.232999999999997</v>
      </c>
      <c r="D20" s="6">
        <v>0.84160000000000001</v>
      </c>
      <c r="E20" s="6">
        <v>4.7507999999999999</v>
      </c>
      <c r="F20" s="6">
        <v>9.8400000000000001E-2</v>
      </c>
      <c r="G20" s="8"/>
      <c r="H20" s="12">
        <f t="shared" si="27"/>
        <v>9.1999999999999993</v>
      </c>
      <c r="I20" s="9">
        <f t="shared" si="28"/>
        <v>10</v>
      </c>
      <c r="J20" s="6">
        <v>-2.0524306611954728</v>
      </c>
      <c r="K20" s="6">
        <v>43.272722187698541</v>
      </c>
      <c r="L20" s="6">
        <v>3.7893508342800386</v>
      </c>
      <c r="M20" s="6">
        <f t="shared" si="3"/>
        <v>4.8924654808142751</v>
      </c>
      <c r="N20" s="6">
        <f t="shared" si="4"/>
        <v>43.044218411672823</v>
      </c>
      <c r="O20" s="6">
        <f t="shared" si="20"/>
        <v>-0.96124484457379189</v>
      </c>
      <c r="P20" s="8"/>
      <c r="Q20" s="6">
        <f t="shared" si="21"/>
        <v>9.9846234302332151E-2</v>
      </c>
      <c r="R20" s="6">
        <f t="shared" si="22"/>
        <v>0.87845343697291478</v>
      </c>
      <c r="S20" s="6">
        <f t="shared" si="23"/>
        <v>-0.12415975775946679</v>
      </c>
      <c r="T20" s="8"/>
      <c r="U20" s="6">
        <f t="shared" si="8"/>
        <v>9.3855460244192224E-2</v>
      </c>
      <c r="V20" s="6">
        <f t="shared" si="9"/>
        <v>0.8257462307545399</v>
      </c>
      <c r="W20" s="6">
        <f t="shared" si="10"/>
        <v>-0.11671017229389878</v>
      </c>
      <c r="X20" s="6">
        <f t="shared" si="11"/>
        <v>0.68185683760532989</v>
      </c>
      <c r="Y20" s="6">
        <v>2.1999999999999999E-2</v>
      </c>
      <c r="Z20" s="6">
        <f t="shared" si="12"/>
        <v>51.145696781930631</v>
      </c>
      <c r="AA20" s="6">
        <f t="shared" si="13"/>
        <v>10.685369371526267</v>
      </c>
      <c r="AB20" s="6">
        <f t="shared" si="14"/>
        <v>1.0227852564079948E-2</v>
      </c>
      <c r="AC20" s="6">
        <f t="shared" si="15"/>
        <v>0.34268468576313404</v>
      </c>
      <c r="AD20" s="6">
        <f t="shared" si="24"/>
        <v>1.1910077646340597E-2</v>
      </c>
      <c r="AE20" s="6">
        <f t="shared" si="16"/>
        <v>6.5492110919563631</v>
      </c>
      <c r="AF20" s="6">
        <f t="shared" si="25"/>
        <v>0.12608331280827217</v>
      </c>
      <c r="AG20" s="8"/>
      <c r="AP20" s="6">
        <f t="shared" si="26"/>
        <v>-0.10480009464755818</v>
      </c>
      <c r="AS20" s="6" t="s">
        <v>182</v>
      </c>
      <c r="AT20" s="6" t="s">
        <v>183</v>
      </c>
      <c r="AU20" s="8"/>
      <c r="AX20" s="6">
        <v>-0.23509237939841868</v>
      </c>
    </row>
    <row r="21" spans="1:50" x14ac:dyDescent="0.2">
      <c r="A21" s="6">
        <v>11.1816</v>
      </c>
      <c r="B21" s="6">
        <v>0.23669999999999999</v>
      </c>
      <c r="C21" s="6">
        <v>49.043100000000003</v>
      </c>
      <c r="D21" s="6">
        <v>0.85780000000000001</v>
      </c>
      <c r="E21" s="6">
        <v>5.2228000000000003</v>
      </c>
      <c r="F21" s="6">
        <v>8.6400000000000005E-2</v>
      </c>
      <c r="G21" s="8"/>
      <c r="H21" s="9">
        <f t="shared" si="27"/>
        <v>11.2</v>
      </c>
      <c r="I21" s="9">
        <f t="shared" si="28"/>
        <v>12</v>
      </c>
      <c r="J21" s="6">
        <v>-3.3179943185709089</v>
      </c>
      <c r="K21" s="6">
        <v>47.621402346817149</v>
      </c>
      <c r="L21" s="6">
        <v>4.0412731476396671</v>
      </c>
      <c r="M21" s="6">
        <f t="shared" si="3"/>
        <v>5.9949085567978182</v>
      </c>
      <c r="N21" s="6">
        <f t="shared" si="4"/>
        <v>47.358928610887546</v>
      </c>
      <c r="O21" s="6">
        <f t="shared" si="20"/>
        <v>-1.0702087472015056</v>
      </c>
      <c r="P21" s="8"/>
      <c r="Q21" s="6">
        <f t="shared" si="21"/>
        <v>0.12234507258771057</v>
      </c>
      <c r="R21" s="6">
        <f t="shared" si="22"/>
        <v>0.96650874716097035</v>
      </c>
      <c r="S21" s="6">
        <f t="shared" si="23"/>
        <v>-0.13823414456232311</v>
      </c>
      <c r="T21" s="8"/>
      <c r="U21" s="6">
        <f t="shared" si="8"/>
        <v>0.11500436823244793</v>
      </c>
      <c r="V21" s="6">
        <f t="shared" si="9"/>
        <v>0.90851822233131208</v>
      </c>
      <c r="W21" s="6">
        <f t="shared" si="10"/>
        <v>-0.12994009588858371</v>
      </c>
      <c r="X21" s="6">
        <f t="shared" si="11"/>
        <v>0.82540536030804745</v>
      </c>
      <c r="Y21" s="6">
        <v>2.1999999999999999E-2</v>
      </c>
      <c r="Z21" s="6">
        <f t="shared" si="12"/>
        <v>55.20975589984559</v>
      </c>
      <c r="AA21" s="6">
        <f t="shared" si="13"/>
        <v>12.754070124534989</v>
      </c>
      <c r="AB21" s="6">
        <f t="shared" si="14"/>
        <v>1.2381080404620711E-2</v>
      </c>
      <c r="AC21" s="6">
        <f t="shared" si="15"/>
        <v>0.3770350622674945</v>
      </c>
      <c r="AD21" s="6">
        <f t="shared" si="24"/>
        <v>1.3103932138078084E-2</v>
      </c>
      <c r="AE21" s="6">
        <f t="shared" si="16"/>
        <v>6.0817049493123889</v>
      </c>
      <c r="AF21" s="6">
        <f t="shared" si="25"/>
        <v>0.14938544863706865</v>
      </c>
      <c r="AG21" s="8"/>
      <c r="AP21" s="6">
        <f t="shared" si="26"/>
        <v>-0.11683616375050562</v>
      </c>
      <c r="AS21" s="6">
        <f>$AS$11-$AS$13*AS19</f>
        <v>0.37719594879999996</v>
      </c>
      <c r="AT21" s="6">
        <f>$AS$11-$AS$13*AT19</f>
        <v>0.40106960343999998</v>
      </c>
      <c r="AU21" s="8"/>
      <c r="AX21" s="6">
        <v>-0.26018881922332759</v>
      </c>
    </row>
    <row r="22" spans="1:50" x14ac:dyDescent="0.2">
      <c r="G22" s="8"/>
      <c r="H22" s="9"/>
      <c r="I22" s="9"/>
      <c r="P22" s="8"/>
      <c r="T22" s="8"/>
      <c r="AG22" s="8"/>
    </row>
    <row r="23" spans="1:50" ht="21" x14ac:dyDescent="0.3">
      <c r="G23" s="8"/>
      <c r="H23" s="9"/>
      <c r="I23" s="9"/>
      <c r="J23" s="10" t="s">
        <v>184</v>
      </c>
      <c r="K23" s="10"/>
      <c r="P23" s="8"/>
      <c r="T23" s="8"/>
      <c r="AG23" s="8"/>
      <c r="AS23" s="6" t="s">
        <v>185</v>
      </c>
      <c r="AV23" s="6" t="s">
        <v>150</v>
      </c>
    </row>
    <row r="24" spans="1:50" x14ac:dyDescent="0.2">
      <c r="A24" s="6" t="s">
        <v>129</v>
      </c>
      <c r="B24" s="6" t="s">
        <v>130</v>
      </c>
      <c r="C24" s="6" t="s">
        <v>131</v>
      </c>
      <c r="D24" s="6" t="s">
        <v>132</v>
      </c>
      <c r="E24" s="6" t="s">
        <v>133</v>
      </c>
      <c r="F24" s="6" t="s">
        <v>132</v>
      </c>
      <c r="G24" s="8"/>
      <c r="H24" s="9" t="s">
        <v>134</v>
      </c>
      <c r="I24" s="9" t="s">
        <v>135</v>
      </c>
      <c r="J24" s="6" t="s">
        <v>170</v>
      </c>
      <c r="K24" s="6" t="s">
        <v>171</v>
      </c>
      <c r="L24" s="6" t="s">
        <v>133</v>
      </c>
      <c r="M24" s="6" t="s">
        <v>138</v>
      </c>
      <c r="N24" s="6" t="s">
        <v>139</v>
      </c>
      <c r="O24" s="6" t="s">
        <v>140</v>
      </c>
      <c r="P24" s="8"/>
      <c r="T24" s="8"/>
      <c r="AG24" s="8"/>
      <c r="AS24" s="6">
        <v>0.24498200000000001</v>
      </c>
      <c r="AV24" s="6" t="s">
        <v>186</v>
      </c>
    </row>
    <row r="25" spans="1:50" x14ac:dyDescent="0.2">
      <c r="A25" s="6">
        <v>-1.1611</v>
      </c>
      <c r="B25" s="6">
        <v>0.36720000000000003</v>
      </c>
      <c r="C25" s="6">
        <v>-4.2051999999999996</v>
      </c>
      <c r="D25" s="6">
        <v>0.58589999999999998</v>
      </c>
      <c r="E25" s="6">
        <v>0.64170000000000005</v>
      </c>
      <c r="F25" s="6">
        <v>0.1363</v>
      </c>
      <c r="G25" s="8"/>
      <c r="H25" s="9">
        <v>-2.8</v>
      </c>
      <c r="I25" s="9">
        <v>-2</v>
      </c>
      <c r="J25" s="6" cm="1">
        <f t="array" ref="J25:J39">A25:A39-C50*SIN(RADIANS(H25:H39))</f>
        <v>2.4855353152425295</v>
      </c>
      <c r="K25" s="6" cm="1">
        <f t="array" ref="K25:K39">C25:C39+C50*(COS(RADIANS(H25:H39))-1)</f>
        <v>-4.2943218474619451</v>
      </c>
      <c r="L25" s="6" cm="1">
        <f t="array" ref="L25:L39">E25:E39-C50*(C52*SIN(RADIANS(H25:H39))+C51*(COS(RADIANS(H25:H39))-1))</f>
        <v>0.91522372882226821</v>
      </c>
      <c r="M25" s="6">
        <f t="shared" si="3"/>
        <v>2.6923445611199033</v>
      </c>
      <c r="N25" s="6">
        <f t="shared" si="4"/>
        <v>-4.1677771889959319</v>
      </c>
      <c r="O25" s="6">
        <f t="shared" si="5"/>
        <v>1.1356618566037138</v>
      </c>
      <c r="P25" s="8"/>
      <c r="Q25" s="6">
        <f t="shared" ref="Q25:Q36" si="29">M25/(0.5*$B$54^2*$B$55*$B$56)</f>
        <v>5.4945807369793945E-2</v>
      </c>
      <c r="R25" s="6">
        <f t="shared" ref="R25:R36" si="30">N25/(0.5*$B$54^2*$B$55*$B$56)</f>
        <v>-8.5056677326447588E-2</v>
      </c>
      <c r="S25" s="6">
        <f t="shared" ref="S25:S36" si="31">O25/(0.5*$B$54^2*$B$55*$B$56*$B$57)</f>
        <v>0.14668843407436241</v>
      </c>
      <c r="T25" s="8"/>
      <c r="U25" s="6">
        <f t="shared" si="8"/>
        <v>5.1649058927606302E-2</v>
      </c>
      <c r="V25" s="6">
        <f t="shared" si="9"/>
        <v>-7.9953276686860725E-2</v>
      </c>
      <c r="W25" s="6">
        <f t="shared" si="10"/>
        <v>0.13788712802990066</v>
      </c>
      <c r="X25" s="6">
        <f t="shared" si="11"/>
        <v>6.3925264529657065E-3</v>
      </c>
      <c r="Y25" s="6">
        <v>2.1999999999999999E-2</v>
      </c>
      <c r="Z25" s="6">
        <f t="shared" si="12"/>
        <v>-7.1134616640995594</v>
      </c>
      <c r="AA25" s="6">
        <f t="shared" si="13"/>
        <v>-2.0663612196500942</v>
      </c>
      <c r="AB25" s="6">
        <f t="shared" si="14"/>
        <v>9.5887896794485594E-5</v>
      </c>
      <c r="AC25" s="6">
        <f t="shared" si="15"/>
        <v>-3.3180609825047197E-2</v>
      </c>
      <c r="AD25" s="6">
        <f t="shared" ref="AD25:AD39" si="32">-AC25*$AM$18</f>
        <v>-1.1531990070965629E-3</v>
      </c>
      <c r="AE25" s="6">
        <f t="shared" si="16"/>
        <v>-1.0841865121584944</v>
      </c>
      <c r="AF25" s="6">
        <f t="shared" ref="AF25:AF39" si="33">U25+Y25+AB25</f>
        <v>7.3744946824400789E-2</v>
      </c>
      <c r="AG25" s="8"/>
      <c r="AP25" s="6">
        <f t="shared" ref="AP25:AP40" si="34">W25+AD25</f>
        <v>0.1367339290228041</v>
      </c>
      <c r="AS25" s="6" t="s">
        <v>187</v>
      </c>
      <c r="AT25" s="6" t="s">
        <v>188</v>
      </c>
      <c r="AV25" s="6">
        <f>(0.0616-0.0616)*AS24+(0.1238-0.0763)</f>
        <v>4.7499999999999987E-2</v>
      </c>
      <c r="AX25" s="6" cm="1">
        <f t="array" ref="AX25:AX39">AP25:AP39-V25:V39*((AS11-AS21)/AS13)</f>
        <v>0.16143040882681245</v>
      </c>
    </row>
    <row r="26" spans="1:50" x14ac:dyDescent="0.2">
      <c r="A26" s="6">
        <v>1.5529999999999999</v>
      </c>
      <c r="B26" s="6">
        <v>0.31630000000000003</v>
      </c>
      <c r="C26" s="6">
        <v>4.2412000000000001</v>
      </c>
      <c r="D26" s="6">
        <v>0.70269999999999999</v>
      </c>
      <c r="E26" s="6">
        <v>1.5851999999999999</v>
      </c>
      <c r="F26" s="6">
        <v>0.1328</v>
      </c>
      <c r="G26" s="8"/>
      <c r="H26" s="9">
        <f>H25+2</f>
        <v>-0.79999999999999982</v>
      </c>
      <c r="I26" s="9">
        <f>I25+2</f>
        <v>0</v>
      </c>
      <c r="J26" s="6">
        <v>2.5952767623171944</v>
      </c>
      <c r="K26" s="6">
        <v>4.2339234172945615</v>
      </c>
      <c r="L26" s="6">
        <v>1.6643407857396841</v>
      </c>
      <c r="M26" s="6">
        <f t="shared" si="3"/>
        <v>2.5359089828492611</v>
      </c>
      <c r="N26" s="6">
        <f t="shared" si="4"/>
        <v>4.2697464336003961</v>
      </c>
      <c r="O26" s="6">
        <f t="shared" si="5"/>
        <v>0.89195914889591799</v>
      </c>
      <c r="P26" s="8"/>
      <c r="Q26" s="6">
        <f t="shared" si="29"/>
        <v>5.1753244547944104E-2</v>
      </c>
      <c r="R26" s="6">
        <f t="shared" si="30"/>
        <v>8.7137682318375431E-2</v>
      </c>
      <c r="S26" s="6">
        <f t="shared" si="31"/>
        <v>0.11521042997880625</v>
      </c>
      <c r="T26" s="8"/>
      <c r="U26" s="6">
        <f t="shared" si="8"/>
        <v>4.8648049875067455E-2</v>
      </c>
      <c r="V26" s="6">
        <f t="shared" si="9"/>
        <v>8.1909421379272901E-2</v>
      </c>
      <c r="W26" s="6">
        <f t="shared" si="10"/>
        <v>0.10829780418007787</v>
      </c>
      <c r="X26" s="6">
        <f t="shared" si="11"/>
        <v>6.7091533106872882E-3</v>
      </c>
      <c r="Y26" s="6">
        <v>2.1999999999999999E-2</v>
      </c>
      <c r="Z26" s="6">
        <f t="shared" si="12"/>
        <v>6.0762009870505143</v>
      </c>
      <c r="AA26" s="6">
        <f t="shared" si="13"/>
        <v>6.7984819744796504E-2</v>
      </c>
      <c r="AB26" s="6">
        <f t="shared" si="14"/>
        <v>1.0063729966030932E-4</v>
      </c>
      <c r="AC26" s="6">
        <f t="shared" si="15"/>
        <v>3.3992409872398252E-2</v>
      </c>
      <c r="AD26" s="6">
        <f t="shared" si="32"/>
        <v>1.1814132868672585E-3</v>
      </c>
      <c r="AE26" s="6">
        <f t="shared" si="16"/>
        <v>1.1577518205670942</v>
      </c>
      <c r="AF26" s="6">
        <f t="shared" si="33"/>
        <v>7.0748687174727765E-2</v>
      </c>
      <c r="AG26" s="8"/>
      <c r="AP26" s="6">
        <f t="shared" si="34"/>
        <v>0.10947921746694513</v>
      </c>
      <c r="AS26" s="6">
        <v>0.216</v>
      </c>
      <c r="AT26" s="21">
        <f>(AS28-AS11)/AS13</f>
        <v>-0.21599999999999994</v>
      </c>
      <c r="AV26" s="6" t="s">
        <v>189</v>
      </c>
      <c r="AX26" s="6">
        <v>8.4178511171018475E-2</v>
      </c>
    </row>
    <row r="27" spans="1:50" x14ac:dyDescent="0.2">
      <c r="A27" s="6">
        <v>3.8498000000000001</v>
      </c>
      <c r="B27" s="6">
        <v>0.37969999999999998</v>
      </c>
      <c r="C27" s="6">
        <v>12.379300000000001</v>
      </c>
      <c r="D27" s="6">
        <v>0.84389999999999998</v>
      </c>
      <c r="E27" s="6">
        <v>2.4358</v>
      </c>
      <c r="F27" s="6">
        <v>0.1429</v>
      </c>
      <c r="G27" s="8"/>
      <c r="H27" s="9">
        <f t="shared" ref="H27:I31" si="35">H26+2</f>
        <v>1.2000000000000002</v>
      </c>
      <c r="I27" s="9">
        <f t="shared" si="35"/>
        <v>2</v>
      </c>
      <c r="J27" s="6">
        <v>2.2864483557074031</v>
      </c>
      <c r="K27" s="6">
        <v>12.362928021397217</v>
      </c>
      <c r="L27" s="6">
        <v>2.3156501918723875</v>
      </c>
      <c r="M27" s="6">
        <f t="shared" si="3"/>
        <v>2.5448565294109042</v>
      </c>
      <c r="N27" s="6">
        <f t="shared" si="4"/>
        <v>12.312332865475993</v>
      </c>
      <c r="O27" s="6">
        <f t="shared" si="5"/>
        <v>0.64240415028389308</v>
      </c>
      <c r="P27" s="8"/>
      <c r="Q27" s="6">
        <f t="shared" si="29"/>
        <v>5.1935847538998048E-2</v>
      </c>
      <c r="R27" s="6">
        <f t="shared" si="30"/>
        <v>0.25127209929542843</v>
      </c>
      <c r="S27" s="6">
        <f t="shared" si="31"/>
        <v>8.2976511274075571E-2</v>
      </c>
      <c r="T27" s="8"/>
      <c r="U27" s="6">
        <f t="shared" si="8"/>
        <v>4.8819696686658164E-2</v>
      </c>
      <c r="V27" s="6">
        <f t="shared" si="9"/>
        <v>0.23619577333770272</v>
      </c>
      <c r="W27" s="6">
        <f t="shared" si="10"/>
        <v>7.7997920597631026E-2</v>
      </c>
      <c r="X27" s="6">
        <f t="shared" si="11"/>
        <v>5.5788443342595438E-2</v>
      </c>
      <c r="Y27" s="6">
        <v>2.1999999999999999E-2</v>
      </c>
      <c r="Z27" s="6">
        <f t="shared" si="12"/>
        <v>14.589800764872606</v>
      </c>
      <c r="AA27" s="6">
        <f t="shared" si="13"/>
        <v>2.1960424918702932</v>
      </c>
      <c r="AB27" s="6">
        <f t="shared" si="14"/>
        <v>8.3682665013893156E-4</v>
      </c>
      <c r="AC27" s="6">
        <f t="shared" si="15"/>
        <v>9.802124593514662E-2</v>
      </c>
      <c r="AD27" s="6">
        <f t="shared" si="32"/>
        <v>3.4067488235689255E-3</v>
      </c>
      <c r="AE27" s="6">
        <f t="shared" si="16"/>
        <v>3.2962215069735508</v>
      </c>
      <c r="AF27" s="6">
        <f t="shared" si="33"/>
        <v>7.165652333679709E-2</v>
      </c>
      <c r="AG27" s="8"/>
      <c r="AP27" s="6">
        <f t="shared" si="34"/>
        <v>8.1404669421199949E-2</v>
      </c>
      <c r="AS27" s="6" t="s">
        <v>190</v>
      </c>
      <c r="AV27" s="6">
        <f>$AT$11-AS32</f>
        <v>0.41398879898160007</v>
      </c>
      <c r="AX27" s="6">
        <v>8.4470072997009232E-3</v>
      </c>
    </row>
    <row r="28" spans="1:50" x14ac:dyDescent="0.2">
      <c r="A28" s="6">
        <v>5.8174999999999999</v>
      </c>
      <c r="B28" s="6">
        <v>0.38819999999999999</v>
      </c>
      <c r="C28" s="6">
        <v>20.854199999999999</v>
      </c>
      <c r="D28" s="6">
        <v>0.6855</v>
      </c>
      <c r="E28" s="6">
        <v>3.3412000000000002</v>
      </c>
      <c r="F28" s="6">
        <v>0.1396</v>
      </c>
      <c r="G28" s="8"/>
      <c r="H28" s="9">
        <f t="shared" si="35"/>
        <v>3.2</v>
      </c>
      <c r="I28" s="9">
        <f t="shared" si="35"/>
        <v>4</v>
      </c>
      <c r="J28" s="6">
        <v>1.6504246522603214</v>
      </c>
      <c r="K28" s="6">
        <v>20.737803046184883</v>
      </c>
      <c r="L28" s="6">
        <v>3.0170947521106428</v>
      </c>
      <c r="M28" s="6">
        <f t="shared" si="3"/>
        <v>2.8054666273174327</v>
      </c>
      <c r="N28" s="6">
        <f t="shared" si="4"/>
        <v>20.61333873292126</v>
      </c>
      <c r="O28" s="6">
        <f t="shared" si="5"/>
        <v>0.45070069005074598</v>
      </c>
      <c r="P28" s="8"/>
      <c r="Q28" s="6">
        <f t="shared" si="29"/>
        <v>5.7254420965661891E-2</v>
      </c>
      <c r="R28" s="6">
        <f t="shared" si="30"/>
        <v>0.42068038230451554</v>
      </c>
      <c r="S28" s="6">
        <f t="shared" si="31"/>
        <v>5.8215020673049081E-2</v>
      </c>
      <c r="T28" s="8"/>
      <c r="U28" s="6">
        <f t="shared" si="8"/>
        <v>5.3819155707722173E-2</v>
      </c>
      <c r="V28" s="6">
        <f t="shared" si="9"/>
        <v>0.39543955936624459</v>
      </c>
      <c r="W28" s="6">
        <f t="shared" si="10"/>
        <v>5.4722119432666132E-2</v>
      </c>
      <c r="X28" s="6">
        <f t="shared" si="11"/>
        <v>0.15637244511176968</v>
      </c>
      <c r="Y28" s="6">
        <v>2.1999999999999999E-2</v>
      </c>
      <c r="Z28" s="6">
        <f t="shared" si="12"/>
        <v>30.070516021766974</v>
      </c>
      <c r="AA28" s="6">
        <f t="shared" si="13"/>
        <v>4.3282148342739832</v>
      </c>
      <c r="AB28" s="6">
        <f t="shared" si="14"/>
        <v>2.3455866766765449E-3</v>
      </c>
      <c r="AC28" s="6">
        <f t="shared" si="15"/>
        <v>0.16410741713699151</v>
      </c>
      <c r="AD28" s="6">
        <f t="shared" si="32"/>
        <v>5.7035874716413791E-3</v>
      </c>
      <c r="AE28" s="6">
        <f t="shared" si="16"/>
        <v>5.0590528069746741</v>
      </c>
      <c r="AF28" s="6">
        <f t="shared" si="33"/>
        <v>7.8164742384398717E-2</v>
      </c>
      <c r="AG28" s="8"/>
      <c r="AP28" s="6">
        <f t="shared" si="34"/>
        <v>6.0425706904307513E-2</v>
      </c>
      <c r="AS28" s="6">
        <f>-AS26*$AS$13+$AS$11</f>
        <v>0.391872</v>
      </c>
      <c r="AV28" s="6" t="s">
        <v>191</v>
      </c>
      <c r="AX28" s="6">
        <v>-6.1720195005918133E-2</v>
      </c>
    </row>
    <row r="29" spans="1:50" x14ac:dyDescent="0.2">
      <c r="A29" s="6">
        <v>7.3224999999999998</v>
      </c>
      <c r="B29" s="6">
        <v>0.32</v>
      </c>
      <c r="C29" s="6">
        <v>28.981400000000001</v>
      </c>
      <c r="D29" s="6">
        <v>0.47189999999999999</v>
      </c>
      <c r="E29" s="6">
        <v>4.1520000000000001</v>
      </c>
      <c r="F29" s="6">
        <v>0.10340000000000001</v>
      </c>
      <c r="G29" s="8"/>
      <c r="H29" s="9">
        <f t="shared" si="35"/>
        <v>5.2</v>
      </c>
      <c r="I29" s="9">
        <f t="shared" si="35"/>
        <v>6</v>
      </c>
      <c r="J29" s="6">
        <v>0.55677788823571017</v>
      </c>
      <c r="K29" s="6">
        <v>28.674170356682186</v>
      </c>
      <c r="L29" s="6">
        <v>3.6195229547408725</v>
      </c>
      <c r="M29" s="6">
        <f t="shared" si="3"/>
        <v>3.1533004568450993</v>
      </c>
      <c r="N29" s="6">
        <f t="shared" si="4"/>
        <v>28.50569668486845</v>
      </c>
      <c r="O29" s="6">
        <f t="shared" si="5"/>
        <v>0.26074779601649289</v>
      </c>
      <c r="P29" s="8"/>
      <c r="Q29" s="6">
        <f t="shared" si="29"/>
        <v>6.4353070547859173E-2</v>
      </c>
      <c r="R29" s="6">
        <f t="shared" si="30"/>
        <v>0.5817489119360908</v>
      </c>
      <c r="S29" s="6">
        <f t="shared" si="31"/>
        <v>3.3679642988438764E-2</v>
      </c>
      <c r="T29" s="8"/>
      <c r="U29" s="6">
        <f t="shared" si="8"/>
        <v>6.0491886314987621E-2</v>
      </c>
      <c r="V29" s="6">
        <f t="shared" si="9"/>
        <v>0.54684397721992528</v>
      </c>
      <c r="W29" s="6">
        <f t="shared" si="10"/>
        <v>3.1658864409132438E-2</v>
      </c>
      <c r="X29" s="6">
        <f t="shared" si="11"/>
        <v>0.29903833542170616</v>
      </c>
      <c r="Y29" s="6">
        <v>2.1999999999999999E-2</v>
      </c>
      <c r="Z29" s="6">
        <f t="shared" si="12"/>
        <v>60.406223108430709</v>
      </c>
      <c r="AA29" s="6">
        <f t="shared" si="13"/>
        <v>6.453880501092538</v>
      </c>
      <c r="AB29" s="6">
        <f t="shared" si="14"/>
        <v>4.4855750313255926E-3</v>
      </c>
      <c r="AC29" s="6">
        <f t="shared" si="15"/>
        <v>0.22694025054626898</v>
      </c>
      <c r="AD29" s="6">
        <f t="shared" si="32"/>
        <v>7.8873556869544469E-3</v>
      </c>
      <c r="AE29" s="6">
        <f t="shared" si="16"/>
        <v>6.287191747786105</v>
      </c>
      <c r="AF29" s="6">
        <f t="shared" si="33"/>
        <v>8.6977461346313206E-2</v>
      </c>
      <c r="AG29" s="8"/>
      <c r="AP29" s="6">
        <f t="shared" si="34"/>
        <v>3.9546220096086881E-2</v>
      </c>
      <c r="AS29" s="6" t="s">
        <v>181</v>
      </c>
      <c r="AV29" s="6">
        <f>AV27*$AV$6/($AW$6*$AS$13)</f>
        <v>0.65504556800886093</v>
      </c>
      <c r="AX29" s="6">
        <v>-0.12936644738905795</v>
      </c>
    </row>
    <row r="30" spans="1:50" x14ac:dyDescent="0.2">
      <c r="A30" s="6">
        <v>8.7601999999999993</v>
      </c>
      <c r="B30" s="6">
        <v>0.37759999999999999</v>
      </c>
      <c r="C30" s="6">
        <v>35.721800000000002</v>
      </c>
      <c r="D30" s="6">
        <v>0.76849999999999996</v>
      </c>
      <c r="E30" s="6">
        <v>4.8307000000000002</v>
      </c>
      <c r="F30" s="6">
        <v>0.12740000000000001</v>
      </c>
      <c r="G30" s="8"/>
      <c r="H30" s="9">
        <f t="shared" si="35"/>
        <v>7.2</v>
      </c>
      <c r="I30" s="9">
        <f t="shared" si="35"/>
        <v>8</v>
      </c>
      <c r="J30" s="6">
        <v>-0.59592588557531379</v>
      </c>
      <c r="K30" s="6">
        <v>35.133162453125777</v>
      </c>
      <c r="L30" s="6">
        <v>4.085688668700957</v>
      </c>
      <c r="M30" s="6">
        <f t="shared" si="3"/>
        <v>3.8121260236171399</v>
      </c>
      <c r="N30" s="6">
        <f t="shared" si="4"/>
        <v>34.930816291619735</v>
      </c>
      <c r="O30" s="6">
        <f t="shared" si="5"/>
        <v>0.11092683400477726</v>
      </c>
      <c r="P30" s="8"/>
      <c r="Q30" s="6">
        <f t="shared" si="29"/>
        <v>7.7798490277900811E-2</v>
      </c>
      <c r="R30" s="6">
        <f t="shared" si="30"/>
        <v>0.71287380186979055</v>
      </c>
      <c r="S30" s="6">
        <f t="shared" si="31"/>
        <v>1.4327929992867123E-2</v>
      </c>
      <c r="T30" s="8"/>
      <c r="U30" s="6">
        <f t="shared" si="8"/>
        <v>7.3130580861226757E-2</v>
      </c>
      <c r="V30" s="6">
        <f t="shared" si="9"/>
        <v>0.67010137375760304</v>
      </c>
      <c r="W30" s="6">
        <f t="shared" si="10"/>
        <v>1.3468254193295096E-2</v>
      </c>
      <c r="X30" s="6">
        <f t="shared" si="11"/>
        <v>0.44903585111182681</v>
      </c>
      <c r="Y30" s="6">
        <v>2.1999999999999999E-2</v>
      </c>
      <c r="Z30" s="6">
        <f t="shared" si="12"/>
        <v>45.453241758776493</v>
      </c>
      <c r="AA30" s="6">
        <f t="shared" si="13"/>
        <v>8.5561841402188108</v>
      </c>
      <c r="AB30" s="6">
        <f t="shared" si="14"/>
        <v>6.7355377666774019E-3</v>
      </c>
      <c r="AC30" s="6">
        <f t="shared" si="15"/>
        <v>0.27809207010940523</v>
      </c>
      <c r="AD30" s="6">
        <f t="shared" si="32"/>
        <v>9.6651478325003228E-3</v>
      </c>
      <c r="AE30" s="6">
        <f t="shared" si="16"/>
        <v>6.578255682886522</v>
      </c>
      <c r="AF30" s="6">
        <f t="shared" si="33"/>
        <v>0.10186611862790415</v>
      </c>
      <c r="AG30" s="8"/>
      <c r="AP30" s="6">
        <f t="shared" si="34"/>
        <v>2.3133402025795419E-2</v>
      </c>
      <c r="AS30" s="6">
        <f>AS24*0.1243*2+0.1289</f>
        <v>0.18980252519999999</v>
      </c>
      <c r="AV30" s="6" t="s">
        <v>192</v>
      </c>
      <c r="AX30" s="6">
        <v>-0.18385179894924517</v>
      </c>
    </row>
    <row r="31" spans="1:50" x14ac:dyDescent="0.2">
      <c r="A31" s="6">
        <v>9.9606999999999992</v>
      </c>
      <c r="B31" s="6">
        <v>0.34460000000000002</v>
      </c>
      <c r="C31" s="6">
        <v>41.873699999999999</v>
      </c>
      <c r="D31" s="6">
        <v>0.79300000000000004</v>
      </c>
      <c r="E31" s="6">
        <v>5.3036000000000003</v>
      </c>
      <c r="F31" s="6">
        <v>0.12</v>
      </c>
      <c r="G31" s="8"/>
      <c r="H31" s="12">
        <f t="shared" si="35"/>
        <v>9.1999999999999993</v>
      </c>
      <c r="I31" s="9">
        <f t="shared" si="35"/>
        <v>10</v>
      </c>
      <c r="J31" s="6">
        <v>-1.9744306611954734</v>
      </c>
      <c r="K31" s="6">
        <v>40.913422187698544</v>
      </c>
      <c r="L31" s="6">
        <v>4.342150834280039</v>
      </c>
      <c r="M31" s="6">
        <f t="shared" si="3"/>
        <v>4.5922544233686216</v>
      </c>
      <c r="N31" s="6">
        <f t="shared" si="4"/>
        <v>40.702797088846161</v>
      </c>
      <c r="O31" s="6">
        <f t="shared" si="5"/>
        <v>-0.14570534457379175</v>
      </c>
      <c r="P31" s="8"/>
      <c r="Q31" s="6">
        <f t="shared" si="29"/>
        <v>9.3719478027931055E-2</v>
      </c>
      <c r="R31" s="6">
        <f t="shared" si="30"/>
        <v>0.83066932834379925</v>
      </c>
      <c r="S31" s="6">
        <f t="shared" si="31"/>
        <v>-1.882011683980777E-2</v>
      </c>
      <c r="T31" s="8"/>
      <c r="U31" s="6">
        <f t="shared" si="8"/>
        <v>8.8096309346255189E-2</v>
      </c>
      <c r="V31" s="6">
        <f t="shared" si="9"/>
        <v>0.7808291686431712</v>
      </c>
      <c r="W31" s="6">
        <f t="shared" si="10"/>
        <v>-1.7690909829419302E-2</v>
      </c>
      <c r="X31" s="6">
        <f t="shared" si="11"/>
        <v>0.60969419060398589</v>
      </c>
      <c r="Y31" s="6">
        <v>2.1999999999999999E-2</v>
      </c>
      <c r="Z31" s="6">
        <f t="shared" si="12"/>
        <v>51.327612974585321</v>
      </c>
      <c r="AA31" s="6">
        <f t="shared" si="13"/>
        <v>10.648088209973832</v>
      </c>
      <c r="AB31" s="6">
        <f t="shared" si="14"/>
        <v>9.1454128590597872E-3</v>
      </c>
      <c r="AC31" s="6">
        <f t="shared" si="15"/>
        <v>0.32404410498691605</v>
      </c>
      <c r="AD31" s="6">
        <f t="shared" si="32"/>
        <v>1.1262220378008812E-2</v>
      </c>
      <c r="AE31" s="6">
        <f t="shared" si="16"/>
        <v>6.5482882518143235</v>
      </c>
      <c r="AF31" s="6">
        <f t="shared" si="33"/>
        <v>0.11924172220531498</v>
      </c>
      <c r="AG31" s="8"/>
      <c r="AP31" s="6">
        <f t="shared" si="34"/>
        <v>-6.4286894514104902E-3</v>
      </c>
      <c r="AS31" s="6" t="s">
        <v>193</v>
      </c>
      <c r="AV31" s="6">
        <f>1-((AS28-AS32)*($AT$13)/($AV$8*AV29*$AS$13))</f>
        <v>1.4502410642452941</v>
      </c>
      <c r="AX31" s="6">
        <v>-0.24761620036859264</v>
      </c>
    </row>
    <row r="32" spans="1:50" x14ac:dyDescent="0.2">
      <c r="A32" s="6">
        <v>10.5661</v>
      </c>
      <c r="B32" s="6">
        <v>0.28649999999999998</v>
      </c>
      <c r="C32" s="6">
        <v>44.796399999999998</v>
      </c>
      <c r="D32" s="6">
        <v>0.94020000000000004</v>
      </c>
      <c r="E32" s="6">
        <v>5.5477999999999996</v>
      </c>
      <c r="F32" s="6">
        <v>6.6600000000000006E-2</v>
      </c>
      <c r="G32" s="8"/>
      <c r="H32" s="9">
        <f>H31+1</f>
        <v>10.199999999999999</v>
      </c>
      <c r="I32" s="9">
        <f>I31+1</f>
        <v>11</v>
      </c>
      <c r="J32" s="6">
        <v>-2.6532758648568926</v>
      </c>
      <c r="K32" s="6">
        <v>43.616602134903907</v>
      </c>
      <c r="L32" s="6">
        <v>4.4767503144478349</v>
      </c>
      <c r="M32" s="6">
        <f t="shared" si="3"/>
        <v>5.112492209759095</v>
      </c>
      <c r="N32" s="6">
        <f t="shared" si="4"/>
        <v>43.397122923238683</v>
      </c>
      <c r="O32" s="6">
        <f t="shared" si="5"/>
        <v>-0.24729858593185627</v>
      </c>
      <c r="P32" s="8"/>
      <c r="Q32" s="6">
        <f t="shared" si="29"/>
        <v>0.10433657570936929</v>
      </c>
      <c r="R32" s="6">
        <f t="shared" si="30"/>
        <v>0.88565556986201399</v>
      </c>
      <c r="S32" s="6">
        <f t="shared" si="31"/>
        <v>-3.1942467828966196E-2</v>
      </c>
      <c r="T32" s="8"/>
      <c r="U32" s="6">
        <f t="shared" si="8"/>
        <v>9.8076381166807128E-2</v>
      </c>
      <c r="V32" s="6">
        <f t="shared" si="9"/>
        <v>0.83251623567029309</v>
      </c>
      <c r="W32" s="6">
        <f t="shared" si="10"/>
        <v>-3.0025919759228224E-2</v>
      </c>
      <c r="X32" s="6">
        <f t="shared" si="11"/>
        <v>0.69308328265463504</v>
      </c>
      <c r="Y32" s="6">
        <v>2.1999999999999999E-2</v>
      </c>
      <c r="Z32" s="6">
        <f t="shared" si="12"/>
        <v>46.157331337203445</v>
      </c>
      <c r="AA32" s="6">
        <f t="shared" si="13"/>
        <v>11.690988475606343</v>
      </c>
      <c r="AB32" s="6">
        <f t="shared" si="14"/>
        <v>1.0396249239819525E-2</v>
      </c>
      <c r="AC32" s="6">
        <f t="shared" si="15"/>
        <v>0.34549423780317162</v>
      </c>
      <c r="AD32" s="6">
        <f t="shared" si="32"/>
        <v>1.2007724212815445E-2</v>
      </c>
      <c r="AE32" s="6">
        <f t="shared" si="16"/>
        <v>6.3807729872211567</v>
      </c>
      <c r="AF32" s="6">
        <f t="shared" si="33"/>
        <v>0.13047263040662666</v>
      </c>
      <c r="AG32" s="8"/>
      <c r="AP32" s="6">
        <f t="shared" si="34"/>
        <v>-1.8018195546412777E-2</v>
      </c>
      <c r="AS32" s="6">
        <f>$AS$11-$AS$13*AS30</f>
        <v>0.39601120101839998</v>
      </c>
      <c r="AX32" s="6">
        <v>-0.27517113852416131</v>
      </c>
    </row>
    <row r="33" spans="1:50" x14ac:dyDescent="0.2">
      <c r="A33" s="6">
        <v>11.3195</v>
      </c>
      <c r="B33" s="6">
        <v>0.28549999999999998</v>
      </c>
      <c r="C33" s="6">
        <v>47.186</v>
      </c>
      <c r="D33" s="6">
        <v>0.83630000000000004</v>
      </c>
      <c r="E33" s="6">
        <v>5.7175000000000002</v>
      </c>
      <c r="F33" s="6">
        <v>0.1053</v>
      </c>
      <c r="G33" s="8"/>
      <c r="H33" s="9">
        <f t="shared" ref="H33:H36" si="36">H32+1</f>
        <v>11.2</v>
      </c>
      <c r="I33" s="9">
        <f t="shared" ref="I33:I39" si="37">I32+1</f>
        <v>12</v>
      </c>
      <c r="J33" s="6">
        <v>-3.1800943185709087</v>
      </c>
      <c r="K33" s="6">
        <v>45.764302346817146</v>
      </c>
      <c r="L33" s="6">
        <v>4.535973147639667</v>
      </c>
      <c r="M33" s="6">
        <f t="shared" si="3"/>
        <v>5.7694696590698609</v>
      </c>
      <c r="N33" s="6">
        <f t="shared" si="4"/>
        <v>45.510411874855329</v>
      </c>
      <c r="O33" s="6">
        <f t="shared" si="5"/>
        <v>-0.37711124720150496</v>
      </c>
      <c r="P33" s="8"/>
      <c r="Q33" s="6">
        <f t="shared" si="29"/>
        <v>0.11774427875652778</v>
      </c>
      <c r="R33" s="6">
        <f t="shared" si="30"/>
        <v>0.92878391581337405</v>
      </c>
      <c r="S33" s="6">
        <f t="shared" si="31"/>
        <v>-4.8709796848553984E-2</v>
      </c>
      <c r="T33" s="8"/>
      <c r="U33" s="6">
        <f t="shared" si="8"/>
        <v>0.1106796220311361</v>
      </c>
      <c r="V33" s="6">
        <f t="shared" si="9"/>
        <v>0.87305688086457156</v>
      </c>
      <c r="W33" s="6">
        <f t="shared" si="10"/>
        <v>-4.578720903764074E-2</v>
      </c>
      <c r="X33" s="6">
        <f t="shared" si="11"/>
        <v>0.76222831722497475</v>
      </c>
      <c r="Y33" s="6">
        <v>2.1999999999999999E-2</v>
      </c>
      <c r="Z33" s="6">
        <f t="shared" si="12"/>
        <v>54.418763451937494</v>
      </c>
      <c r="AA33" s="6">
        <f t="shared" si="13"/>
        <v>12.724637211117594</v>
      </c>
      <c r="AB33" s="6">
        <f t="shared" si="14"/>
        <v>1.1433424758374621E-2</v>
      </c>
      <c r="AC33" s="6">
        <f t="shared" si="15"/>
        <v>0.36231860555879719</v>
      </c>
      <c r="AD33" s="6">
        <f t="shared" si="32"/>
        <v>1.2592458619238828E-2</v>
      </c>
      <c r="AE33" s="6">
        <f t="shared" si="16"/>
        <v>6.0581390811877363</v>
      </c>
      <c r="AF33" s="6">
        <f t="shared" si="33"/>
        <v>0.1441130467895107</v>
      </c>
      <c r="AG33" s="8"/>
      <c r="AP33" s="6">
        <f t="shared" si="34"/>
        <v>-3.3194750418401912E-2</v>
      </c>
      <c r="AX33" s="6">
        <v>-0.30287014734388845</v>
      </c>
    </row>
    <row r="34" spans="1:50" x14ac:dyDescent="0.2">
      <c r="A34" s="6">
        <v>11.8696</v>
      </c>
      <c r="B34" s="6">
        <v>0.30070000000000002</v>
      </c>
      <c r="C34" s="6">
        <v>49.380800000000001</v>
      </c>
      <c r="D34" s="6">
        <v>0.87239999999999995</v>
      </c>
      <c r="E34" s="6">
        <v>5.8730000000000002</v>
      </c>
      <c r="F34" s="6">
        <v>0.11459999999999999</v>
      </c>
      <c r="G34" s="8"/>
      <c r="H34" s="9">
        <f t="shared" si="36"/>
        <v>12.2</v>
      </c>
      <c r="I34" s="9">
        <f t="shared" si="37"/>
        <v>13</v>
      </c>
      <c r="J34" s="6">
        <v>-3.9057960553947648</v>
      </c>
      <c r="K34" s="6">
        <v>47.694896508457056</v>
      </c>
      <c r="L34" s="6">
        <v>4.5801529862707575</v>
      </c>
      <c r="M34" s="6">
        <f t="shared" si="3"/>
        <v>6.2615271522277354</v>
      </c>
      <c r="N34" s="6">
        <f t="shared" si="4"/>
        <v>47.443141480098902</v>
      </c>
      <c r="O34" s="6">
        <f t="shared" si="5"/>
        <v>-0.47512254610837973</v>
      </c>
      <c r="P34" s="8"/>
      <c r="Q34" s="6">
        <f t="shared" si="29"/>
        <v>0.12778626841281093</v>
      </c>
      <c r="R34" s="6">
        <f t="shared" si="30"/>
        <v>0.9682273771448755</v>
      </c>
      <c r="S34" s="6">
        <f t="shared" si="31"/>
        <v>-6.1369484126631325E-2</v>
      </c>
      <c r="T34" s="8"/>
      <c r="U34" s="6">
        <f t="shared" si="8"/>
        <v>0.12011909230804227</v>
      </c>
      <c r="V34" s="6">
        <f t="shared" si="9"/>
        <v>0.91013373451618296</v>
      </c>
      <c r="W34" s="6">
        <f t="shared" si="10"/>
        <v>-5.7687315079033442E-2</v>
      </c>
      <c r="X34" s="6">
        <f t="shared" si="11"/>
        <v>0.82834341470437378</v>
      </c>
      <c r="Y34" s="6">
        <v>2.1999999999999999E-2</v>
      </c>
      <c r="Z34" s="6">
        <f t="shared" si="12"/>
        <v>54.382326318316032</v>
      </c>
      <c r="AA34" s="6">
        <f t="shared" si="13"/>
        <v>13.755410999648431</v>
      </c>
      <c r="AB34" s="6">
        <f t="shared" si="14"/>
        <v>1.2425151220565606E-2</v>
      </c>
      <c r="AC34" s="6">
        <f t="shared" si="15"/>
        <v>0.37770549982421592</v>
      </c>
      <c r="AD34" s="6">
        <f t="shared" si="32"/>
        <v>1.3127233335036428E-2</v>
      </c>
      <c r="AE34" s="6">
        <f t="shared" si="16"/>
        <v>5.889146782408023</v>
      </c>
      <c r="AF34" s="6">
        <f t="shared" si="33"/>
        <v>0.15454424352860788</v>
      </c>
      <c r="AG34" s="8"/>
      <c r="AP34" s="6">
        <f t="shared" si="34"/>
        <v>-4.4560081743997018E-2</v>
      </c>
      <c r="AX34" s="6">
        <v>-0.32568801451725665</v>
      </c>
    </row>
    <row r="35" spans="1:50" x14ac:dyDescent="0.2">
      <c r="A35" s="6">
        <v>14.523099999999999</v>
      </c>
      <c r="B35" s="6">
        <v>1.0023</v>
      </c>
      <c r="C35" s="6">
        <v>48.445599999999999</v>
      </c>
      <c r="D35" s="6">
        <v>1.7230000000000001</v>
      </c>
      <c r="E35" s="6">
        <v>5.6482000000000001</v>
      </c>
      <c r="F35" s="6">
        <v>0.39589999999999997</v>
      </c>
      <c r="G35" s="8"/>
      <c r="H35" s="9">
        <f t="shared" si="36"/>
        <v>13.2</v>
      </c>
      <c r="I35" s="9">
        <f t="shared" si="37"/>
        <v>14</v>
      </c>
      <c r="J35" s="6">
        <v>-2.5232924537604511</v>
      </c>
      <c r="K35" s="6">
        <v>46.473265099481416</v>
      </c>
      <c r="L35" s="6">
        <v>4.2432237395406442</v>
      </c>
      <c r="M35" s="6">
        <f t="shared" si="3"/>
        <v>8.1555862235895251</v>
      </c>
      <c r="N35" s="6">
        <f t="shared" si="4"/>
        <v>45.821586475846495</v>
      </c>
      <c r="O35" s="6">
        <f t="shared" si="5"/>
        <v>-0.82363957698606893</v>
      </c>
      <c r="P35" s="8"/>
      <c r="Q35" s="6">
        <f t="shared" si="29"/>
        <v>0.16644053517529644</v>
      </c>
      <c r="R35" s="6">
        <f t="shared" si="30"/>
        <v>0.93513441787441831</v>
      </c>
      <c r="S35" s="6">
        <f t="shared" si="31"/>
        <v>-0.1063858921449327</v>
      </c>
      <c r="T35" s="8"/>
      <c r="U35" s="6">
        <f t="shared" si="8"/>
        <v>0.15645410306477864</v>
      </c>
      <c r="V35" s="6">
        <f t="shared" si="9"/>
        <v>0.87902635280195318</v>
      </c>
      <c r="W35" s="6">
        <f t="shared" si="10"/>
        <v>-0.10000273861623674</v>
      </c>
      <c r="X35" s="6">
        <f t="shared" si="11"/>
        <v>0.7726873289203039</v>
      </c>
      <c r="Y35" s="6">
        <v>2.1999999999999999E-2</v>
      </c>
      <c r="Z35" s="6">
        <f t="shared" si="12"/>
        <v>26.594072243671789</v>
      </c>
      <c r="AA35" s="6">
        <f t="shared" si="13"/>
        <v>14.729591872825621</v>
      </c>
      <c r="AB35" s="6">
        <f t="shared" si="14"/>
        <v>1.1590309933804558E-2</v>
      </c>
      <c r="AC35" s="6">
        <f t="shared" si="15"/>
        <v>0.36479593641281055</v>
      </c>
      <c r="AD35" s="6">
        <f t="shared" si="32"/>
        <v>1.2678558769180656E-2</v>
      </c>
      <c r="AE35" s="6">
        <f t="shared" si="16"/>
        <v>4.6253732952860158</v>
      </c>
      <c r="AF35" s="6">
        <f t="shared" si="33"/>
        <v>0.19004441299858318</v>
      </c>
      <c r="AG35" s="8"/>
      <c r="AP35" s="6">
        <f t="shared" si="34"/>
        <v>-8.732417984705608E-2</v>
      </c>
      <c r="AX35" s="6">
        <v>-0.3588434654691815</v>
      </c>
    </row>
    <row r="36" spans="1:50" x14ac:dyDescent="0.2">
      <c r="A36" s="6">
        <v>15.621</v>
      </c>
      <c r="B36" s="6">
        <v>1.0419</v>
      </c>
      <c r="C36" s="6">
        <v>50.630400000000002</v>
      </c>
      <c r="D36" s="6">
        <v>2.3990999999999998</v>
      </c>
      <c r="E36" s="6">
        <v>5.8823999999999996</v>
      </c>
      <c r="F36" s="6">
        <v>0.44069999999999998</v>
      </c>
      <c r="G36" s="8"/>
      <c r="H36" s="9">
        <f t="shared" si="36"/>
        <v>14.2</v>
      </c>
      <c r="I36" s="9">
        <f t="shared" si="37"/>
        <v>15</v>
      </c>
      <c r="J36" s="6">
        <v>-2.6911963558526129</v>
      </c>
      <c r="K36" s="6">
        <v>48.34949536967212</v>
      </c>
      <c r="L36" s="6">
        <v>4.3645195631040998</v>
      </c>
      <c r="M36" s="6">
        <f t="shared" si="3"/>
        <v>9.2515205248574759</v>
      </c>
      <c r="N36" s="6">
        <f t="shared" si="4"/>
        <v>47.53236379884595</v>
      </c>
      <c r="O36" s="6">
        <f t="shared" si="5"/>
        <v>-0.89964080526440671</v>
      </c>
      <c r="P36" s="8"/>
      <c r="Q36" s="6">
        <f t="shared" si="29"/>
        <v>0.18880654132362196</v>
      </c>
      <c r="R36" s="6">
        <f t="shared" si="30"/>
        <v>0.97004824079277452</v>
      </c>
      <c r="S36" s="6">
        <f t="shared" si="31"/>
        <v>-0.11620263565802205</v>
      </c>
      <c r="T36" s="8"/>
      <c r="U36" s="6">
        <f t="shared" si="8"/>
        <v>0.17747814884420463</v>
      </c>
      <c r="V36" s="6">
        <f t="shared" si="9"/>
        <v>0.91184534634520797</v>
      </c>
      <c r="W36" s="6">
        <f t="shared" si="10"/>
        <v>-0.10923047751854072</v>
      </c>
      <c r="X36" s="6">
        <f t="shared" si="11"/>
        <v>0.83146193565141224</v>
      </c>
      <c r="Y36" s="6">
        <v>2.1999999999999999E-2</v>
      </c>
      <c r="Z36" s="6">
        <f t="shared" si="12"/>
        <v>19.812581300840296</v>
      </c>
      <c r="AA36" s="6">
        <f t="shared" si="13"/>
        <v>15.756831637466522</v>
      </c>
      <c r="AB36" s="6">
        <f t="shared" si="14"/>
        <v>1.2471929034771184E-2</v>
      </c>
      <c r="AC36" s="6">
        <f t="shared" si="15"/>
        <v>0.3784158187332613</v>
      </c>
      <c r="AD36" s="6">
        <f t="shared" si="32"/>
        <v>1.3151920616703405E-2</v>
      </c>
      <c r="AE36" s="6">
        <f t="shared" si="16"/>
        <v>4.3021703764877817</v>
      </c>
      <c r="AF36" s="6">
        <f t="shared" si="33"/>
        <v>0.2119500778789758</v>
      </c>
      <c r="AG36" s="8"/>
      <c r="AP36" s="6">
        <f t="shared" si="34"/>
        <v>-9.6078556901837309E-2</v>
      </c>
      <c r="AX36" s="6">
        <v>-0.3777351832911619</v>
      </c>
    </row>
    <row r="37" spans="1:50" x14ac:dyDescent="0.2">
      <c r="A37" s="6">
        <v>18.177499999999998</v>
      </c>
      <c r="B37" s="6">
        <v>0.71220000000000006</v>
      </c>
      <c r="C37" s="6">
        <v>49.556100000000001</v>
      </c>
      <c r="D37" s="6">
        <v>1.8052999999999999</v>
      </c>
      <c r="E37" s="6">
        <v>5.9907000000000004</v>
      </c>
      <c r="F37" s="6">
        <v>0.28660000000000002</v>
      </c>
      <c r="G37" s="8"/>
      <c r="H37" s="13">
        <f>H36+1</f>
        <v>15.2</v>
      </c>
      <c r="I37" s="9">
        <f t="shared" si="37"/>
        <v>16</v>
      </c>
      <c r="J37" s="6">
        <v>-1.3949221855405547</v>
      </c>
      <c r="K37" s="6">
        <v>46.944581312358046</v>
      </c>
      <c r="L37" s="6">
        <v>4.3591748486669966</v>
      </c>
      <c r="M37" s="6">
        <f t="shared" si="3"/>
        <v>10.962238298374441</v>
      </c>
      <c r="N37" s="6">
        <f t="shared" si="4"/>
        <v>45.668028794616937</v>
      </c>
      <c r="O37" s="6">
        <f t="shared" si="5"/>
        <v>-0.88601056184471783</v>
      </c>
      <c r="P37" s="8"/>
      <c r="Q37" s="6">
        <f t="shared" ref="Q37:Q38" si="38">M37/(0.5*$B$54^2*$B$55*$B$56)</f>
        <v>0.22371914894641717</v>
      </c>
      <c r="R37" s="6">
        <f t="shared" ref="R37:R38" si="39">N37/(0.5*$B$54^2*$B$55*$B$56)</f>
        <v>0.93200058764524363</v>
      </c>
      <c r="S37" s="6">
        <f t="shared" ref="S37:S38" si="40">O37/(0.5*$B$54^2*$B$55*$B$56*$B$57)</f>
        <v>-0.11444207722096587</v>
      </c>
      <c r="T37" s="8"/>
      <c r="U37" s="6">
        <f t="shared" si="8"/>
        <v>0.21029600000963214</v>
      </c>
      <c r="V37" s="6">
        <f t="shared" si="9"/>
        <v>0.87608055238652893</v>
      </c>
      <c r="W37" s="6">
        <f t="shared" si="10"/>
        <v>-0.10757555258770791</v>
      </c>
      <c r="X37" s="6">
        <f t="shared" si="11"/>
        <v>0.76751713426988566</v>
      </c>
      <c r="Y37" s="6">
        <v>2.1999999999999999E-2</v>
      </c>
      <c r="Z37" s="6">
        <f t="shared" si="12"/>
        <v>25.296642549502543</v>
      </c>
      <c r="AA37" s="6">
        <f t="shared" si="13"/>
        <v>16.727146858480818</v>
      </c>
      <c r="AB37" s="6">
        <f t="shared" si="14"/>
        <v>1.1512757014048285E-2</v>
      </c>
      <c r="AC37" s="6">
        <f t="shared" si="15"/>
        <v>0.36357342924040947</v>
      </c>
      <c r="AD37" s="6">
        <f t="shared" si="32"/>
        <v>1.2636070277714863E-2</v>
      </c>
      <c r="AE37" s="6">
        <f t="shared" si="16"/>
        <v>3.5933104416812967</v>
      </c>
      <c r="AF37" s="6">
        <f t="shared" si="33"/>
        <v>0.24380875702368041</v>
      </c>
      <c r="AG37" s="8"/>
      <c r="AP37" s="6">
        <f t="shared" si="34"/>
        <v>-9.4939482309993051E-2</v>
      </c>
      <c r="AX37" s="6">
        <v>-0.36554885024667955</v>
      </c>
    </row>
    <row r="38" spans="1:50" x14ac:dyDescent="0.2">
      <c r="A38" s="6">
        <v>21.664999999999999</v>
      </c>
      <c r="B38" s="6">
        <v>1.3038000000000001</v>
      </c>
      <c r="C38" s="6">
        <v>44.555</v>
      </c>
      <c r="D38" s="6">
        <v>1.3219000000000001</v>
      </c>
      <c r="E38" s="6">
        <v>5.0578000000000003</v>
      </c>
      <c r="F38" s="6">
        <v>0.41460000000000002</v>
      </c>
      <c r="G38" s="8"/>
      <c r="H38" s="9">
        <f>H37+1</f>
        <v>16.2</v>
      </c>
      <c r="I38" s="9">
        <f t="shared" si="37"/>
        <v>17</v>
      </c>
      <c r="J38" s="6">
        <v>0.83831393417153066</v>
      </c>
      <c r="K38" s="6">
        <v>41.590923635783803</v>
      </c>
      <c r="L38" s="6">
        <v>3.3119242135102511</v>
      </c>
      <c r="M38" s="6">
        <f t="shared" si="3"/>
        <v>12.408525363940363</v>
      </c>
      <c r="N38" s="6">
        <f t="shared" si="4"/>
        <v>39.705619217212501</v>
      </c>
      <c r="O38" s="6">
        <f t="shared" si="5"/>
        <v>-1.5632465373637552</v>
      </c>
      <c r="P38" s="8"/>
      <c r="Q38" s="6">
        <f t="shared" si="38"/>
        <v>0.25323521150898698</v>
      </c>
      <c r="R38" s="6">
        <f t="shared" si="39"/>
        <v>0.81031875953494903</v>
      </c>
      <c r="S38" s="6">
        <f t="shared" si="40"/>
        <v>-0.20191766176230369</v>
      </c>
      <c r="T38" s="8"/>
      <c r="U38" s="6">
        <f t="shared" si="8"/>
        <v>0.23804109881844776</v>
      </c>
      <c r="V38" s="6">
        <f t="shared" si="9"/>
        <v>0.76169963396285201</v>
      </c>
      <c r="W38" s="6">
        <f t="shared" si="10"/>
        <v>-0.18980260205656546</v>
      </c>
      <c r="X38" s="6">
        <f t="shared" si="11"/>
        <v>0.58018633237914274</v>
      </c>
      <c r="Y38" s="6">
        <v>2.1999999999999999E-2</v>
      </c>
      <c r="Z38" s="6">
        <f t="shared" si="12"/>
        <v>30.036779799691729</v>
      </c>
      <c r="AA38" s="6">
        <f t="shared" si="13"/>
        <v>17.632210696189166</v>
      </c>
      <c r="AB38" s="6">
        <f t="shared" si="14"/>
        <v>8.7027949856871411E-3</v>
      </c>
      <c r="AC38" s="6">
        <f t="shared" si="15"/>
        <v>0.31610534809458357</v>
      </c>
      <c r="AD38" s="6">
        <f t="shared" si="32"/>
        <v>1.0986307228308111E-2</v>
      </c>
      <c r="AE38" s="6">
        <f t="shared" si="16"/>
        <v>2.8342955934023619</v>
      </c>
      <c r="AF38" s="6">
        <f t="shared" si="33"/>
        <v>0.26874389380413494</v>
      </c>
      <c r="AG38" s="8"/>
      <c r="AP38" s="6">
        <f t="shared" si="34"/>
        <v>-0.17881629482825734</v>
      </c>
      <c r="AX38" s="6">
        <v>-0.41409495264436058</v>
      </c>
    </row>
    <row r="39" spans="1:50" x14ac:dyDescent="0.2">
      <c r="A39" s="6">
        <v>24.936900000000001</v>
      </c>
      <c r="B39" s="6">
        <v>1.6011</v>
      </c>
      <c r="C39" s="6">
        <v>39.637700000000002</v>
      </c>
      <c r="D39" s="6">
        <v>2.1863000000000001</v>
      </c>
      <c r="E39" s="6">
        <v>4.3090999999999999</v>
      </c>
      <c r="F39" s="6">
        <v>0.73319999999999996</v>
      </c>
      <c r="H39" s="9">
        <f>H38+1</f>
        <v>17.2</v>
      </c>
      <c r="I39" s="9">
        <f t="shared" si="37"/>
        <v>18</v>
      </c>
      <c r="J39" s="6">
        <v>2.8622940642119161</v>
      </c>
      <c r="K39" s="6">
        <v>36.299229732432956</v>
      </c>
      <c r="L39" s="6">
        <v>2.4482024899450723</v>
      </c>
      <c r="M39" s="6">
        <f t="shared" ref="M39" si="41">SIN(RADIANS(H39))*K39+COS(RADIANS(H39))*J39</f>
        <v>13.468262027851496</v>
      </c>
      <c r="N39" s="6">
        <f t="shared" ref="N39" si="42">COS(RADIANS(H39))*K39-SIN(RADIANS(H39))*J39</f>
        <v>33.829465328720474</v>
      </c>
      <c r="O39" s="6">
        <f t="shared" ref="O39" si="43">L39-0.115*K39-0.11*J39</f>
        <v>-2.041061276348028</v>
      </c>
      <c r="P39" s="8"/>
      <c r="Q39" s="6">
        <f t="shared" ref="Q39" si="44">M39/(0.5*$B$54^2*$B$55*$B$56)</f>
        <v>0.27486249036431626</v>
      </c>
      <c r="R39" s="6">
        <f t="shared" ref="R39" si="45">N39/(0.5*$B$54^2*$B$55*$B$56)</f>
        <v>0.69039725160654031</v>
      </c>
      <c r="S39" s="6">
        <f t="shared" ref="S39" si="46">O39/(0.5*$B$54^2*$B$55*$B$56*$B$57)</f>
        <v>-0.26363488457091555</v>
      </c>
      <c r="T39" s="8"/>
      <c r="U39" s="6">
        <f t="shared" si="8"/>
        <v>0.25837074094245727</v>
      </c>
      <c r="V39" s="6">
        <f t="shared" si="9"/>
        <v>0.64897341651014784</v>
      </c>
      <c r="W39" s="6">
        <f t="shared" si="10"/>
        <v>-0.24781679149666061</v>
      </c>
      <c r="X39" s="6">
        <f t="shared" si="11"/>
        <v>0.42116649533685385</v>
      </c>
      <c r="Y39" s="6">
        <v>2.1999999999999999E-2</v>
      </c>
      <c r="Z39" s="6">
        <f t="shared" si="12"/>
        <v>15.473386693829974</v>
      </c>
      <c r="AA39" s="6">
        <f t="shared" si="13"/>
        <v>18.538647935703423</v>
      </c>
      <c r="AB39" s="6">
        <f t="shared" si="14"/>
        <v>6.3174974300528076E-3</v>
      </c>
      <c r="AC39" s="6">
        <f t="shared" si="15"/>
        <v>0.26932396785171137</v>
      </c>
      <c r="AD39" s="6">
        <f t="shared" si="32"/>
        <v>9.3604106118462017E-3</v>
      </c>
      <c r="AE39" s="6">
        <f t="shared" si="16"/>
        <v>2.2636904122550723</v>
      </c>
      <c r="AF39" s="6">
        <f t="shared" si="33"/>
        <v>0.28668823837251012</v>
      </c>
      <c r="AG39" s="8"/>
      <c r="AP39" s="6">
        <f t="shared" si="34"/>
        <v>-0.23845638088481441</v>
      </c>
      <c r="AX39" s="6">
        <v>-0.43891544320633469</v>
      </c>
    </row>
    <row r="40" spans="1:50" x14ac:dyDescent="0.2">
      <c r="P40" s="8"/>
      <c r="T40" s="8"/>
      <c r="U40" s="33" t="s">
        <v>194</v>
      </c>
      <c r="V40" s="33"/>
      <c r="W40" s="33"/>
      <c r="AG40" s="8"/>
      <c r="AP40" s="6">
        <f t="shared" si="34"/>
        <v>0</v>
      </c>
    </row>
    <row r="41" spans="1:50" x14ac:dyDescent="0.2"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50" x14ac:dyDescent="0.2">
      <c r="AG42" s="34" t="s">
        <v>195</v>
      </c>
      <c r="AH42" s="34"/>
      <c r="AI42" s="34"/>
      <c r="AJ42" s="34"/>
      <c r="AK42" s="34"/>
      <c r="AL42" s="34"/>
      <c r="AM42" s="34"/>
      <c r="AN42" s="34"/>
      <c r="AO42" s="34"/>
      <c r="AP42" s="34"/>
    </row>
    <row r="43" spans="1:50" x14ac:dyDescent="0.2">
      <c r="AH43" s="6" t="s">
        <v>196</v>
      </c>
      <c r="AI43" s="6" t="s">
        <v>197</v>
      </c>
      <c r="AJ43" s="6" t="s">
        <v>198</v>
      </c>
    </row>
    <row r="44" spans="1:50" x14ac:dyDescent="0.2">
      <c r="AG44" s="6" t="s">
        <v>199</v>
      </c>
      <c r="AH44" s="6">
        <v>3.85E-2</v>
      </c>
      <c r="AI44" s="6">
        <v>4.6800000000000001E-2</v>
      </c>
      <c r="AJ44" s="6">
        <v>4.2999999999999997E-2</v>
      </c>
    </row>
    <row r="45" spans="1:50" x14ac:dyDescent="0.2">
      <c r="AG45" s="6" t="s">
        <v>200</v>
      </c>
      <c r="AH45" s="6">
        <v>8.6499999999999994E-2</v>
      </c>
      <c r="AI45" s="6">
        <v>6.1400000000000003E-2</v>
      </c>
      <c r="AJ45" s="6">
        <v>7.7100000000000002E-2</v>
      </c>
    </row>
    <row r="46" spans="1:50" x14ac:dyDescent="0.2">
      <c r="AG46" s="6" t="s">
        <v>201</v>
      </c>
      <c r="AH46" s="6">
        <f>1/(AH45*PI()*$AN$46)</f>
        <v>0.6205536386626066</v>
      </c>
      <c r="AI46" s="6">
        <f t="shared" ref="AI46:AJ46" si="47">1/(AI45*PI()*$AN$46)</f>
        <v>0.87423273199210849</v>
      </c>
      <c r="AJ46" s="6">
        <f t="shared" si="47"/>
        <v>0.69621128073042104</v>
      </c>
      <c r="AN46" s="6">
        <v>5.93</v>
      </c>
    </row>
    <row r="47" spans="1:50" x14ac:dyDescent="0.2">
      <c r="J47" s="6" t="s">
        <v>131</v>
      </c>
      <c r="K47" s="6" t="s">
        <v>132</v>
      </c>
      <c r="L47" s="6" t="s">
        <v>133</v>
      </c>
    </row>
    <row r="48" spans="1:50" x14ac:dyDescent="0.2">
      <c r="A48" s="8"/>
      <c r="B48" s="8"/>
      <c r="C48" s="8"/>
      <c r="D48" s="8"/>
      <c r="E48" s="8"/>
      <c r="F48" s="8"/>
      <c r="J48" s="6">
        <f>-1*C3</f>
        <v>2.8E-3</v>
      </c>
      <c r="K48" s="6">
        <v>0.6875</v>
      </c>
      <c r="L48" s="6">
        <f t="shared" ref="L48:L55" si="48">-1*E3</f>
        <v>0.32</v>
      </c>
    </row>
    <row r="49" spans="1:35" ht="18" x14ac:dyDescent="0.3">
      <c r="B49" s="33" t="s">
        <v>202</v>
      </c>
      <c r="C49" s="33"/>
      <c r="D49" s="33"/>
      <c r="F49" s="8"/>
      <c r="J49" s="6">
        <f t="shared" ref="J49:J84" si="49">-1*C4</f>
        <v>-6.9717000000000002</v>
      </c>
      <c r="K49" s="6">
        <v>0.99839999999999995</v>
      </c>
      <c r="L49" s="6">
        <f t="shared" si="48"/>
        <v>-0.83179999999999998</v>
      </c>
      <c r="AG49" s="6" t="s">
        <v>203</v>
      </c>
      <c r="AH49" s="6" t="s">
        <v>204</v>
      </c>
      <c r="AI49" s="6" t="s">
        <v>205</v>
      </c>
    </row>
    <row r="50" spans="1:35" x14ac:dyDescent="0.2">
      <c r="A50" s="6" t="s">
        <v>206</v>
      </c>
      <c r="B50" s="6">
        <v>70.260000000000005</v>
      </c>
      <c r="C50" s="6">
        <v>74.650000000000006</v>
      </c>
      <c r="F50" s="8"/>
      <c r="J50" s="6">
        <f t="shared" si="49"/>
        <v>-14.2423</v>
      </c>
      <c r="K50" s="6">
        <v>0.79930000000000001</v>
      </c>
      <c r="L50" s="6">
        <f t="shared" si="48"/>
        <v>-2.0055999999999998</v>
      </c>
      <c r="AG50" s="6" t="s">
        <v>207</v>
      </c>
      <c r="AH50" s="6">
        <v>0.74704874187507764</v>
      </c>
      <c r="AI50" s="6">
        <v>1.4500000000000001E-2</v>
      </c>
    </row>
    <row r="51" spans="1:35" x14ac:dyDescent="0.2">
      <c r="A51" s="6" t="s">
        <v>208</v>
      </c>
      <c r="B51" s="6">
        <v>-6.6699999999999995E-2</v>
      </c>
      <c r="C51" s="6">
        <v>-5.2900000000000003E-2</v>
      </c>
      <c r="F51" s="8"/>
      <c r="J51" s="6">
        <f t="shared" si="49"/>
        <v>-21.451899999999998</v>
      </c>
      <c r="K51" s="6">
        <v>0.66200000000000003</v>
      </c>
      <c r="L51" s="6">
        <f t="shared" si="48"/>
        <v>-3.1320999999999999</v>
      </c>
      <c r="AG51" s="6" t="s">
        <v>209</v>
      </c>
      <c r="AH51" s="6">
        <f>AH46</f>
        <v>0.6205536386626066</v>
      </c>
      <c r="AI51" s="6">
        <f>AH44</f>
        <v>3.85E-2</v>
      </c>
    </row>
    <row r="52" spans="1:35" x14ac:dyDescent="0.2">
      <c r="A52" s="6" t="s">
        <v>210</v>
      </c>
      <c r="B52" s="6">
        <v>6.9000000000000006E-2</v>
      </c>
      <c r="C52" s="6">
        <v>7.6300000000000007E-2</v>
      </c>
      <c r="F52" s="8"/>
      <c r="J52" s="6">
        <f t="shared" si="49"/>
        <v>-28.4451</v>
      </c>
      <c r="K52" s="6">
        <v>0.67610000000000003</v>
      </c>
      <c r="L52" s="6">
        <f t="shared" si="48"/>
        <v>-4.2275</v>
      </c>
      <c r="AG52" s="6" t="s">
        <v>211</v>
      </c>
      <c r="AH52" s="6">
        <f>AI46</f>
        <v>0.87423273199210849</v>
      </c>
      <c r="AI52" s="6">
        <f>AI44</f>
        <v>4.6800000000000001E-2</v>
      </c>
    </row>
    <row r="53" spans="1:35" x14ac:dyDescent="0.2">
      <c r="F53" s="8"/>
      <c r="J53" s="6">
        <f t="shared" si="49"/>
        <v>-34.129600000000003</v>
      </c>
      <c r="K53" s="6">
        <v>0.88119999999999998</v>
      </c>
      <c r="L53" s="6">
        <f t="shared" si="48"/>
        <v>-5.1492000000000004</v>
      </c>
      <c r="AG53" s="6" t="s">
        <v>212</v>
      </c>
      <c r="AH53" s="6">
        <f>AJ46</f>
        <v>0.69621128073042104</v>
      </c>
      <c r="AI53" s="6">
        <f>AJ44</f>
        <v>4.2999999999999997E-2</v>
      </c>
    </row>
    <row r="54" spans="1:35" x14ac:dyDescent="0.2">
      <c r="A54" s="6" t="s">
        <v>213</v>
      </c>
      <c r="B54" s="6">
        <v>25</v>
      </c>
      <c r="F54" s="8"/>
      <c r="J54" s="6">
        <f t="shared" si="49"/>
        <v>-39.220700000000001</v>
      </c>
      <c r="K54" s="6">
        <v>0.6885</v>
      </c>
      <c r="L54" s="6">
        <f t="shared" si="48"/>
        <v>-5.9752999999999998</v>
      </c>
    </row>
    <row r="55" spans="1:35" x14ac:dyDescent="0.2">
      <c r="A55" s="6" t="s">
        <v>214</v>
      </c>
      <c r="B55" s="6">
        <v>1.2250000000000001</v>
      </c>
      <c r="F55" s="8"/>
      <c r="J55" s="6">
        <f t="shared" si="49"/>
        <v>-43.476399999999998</v>
      </c>
      <c r="K55" s="6">
        <v>0.85729999999999995</v>
      </c>
      <c r="L55" s="6">
        <f t="shared" si="48"/>
        <v>-6.6657000000000002</v>
      </c>
    </row>
    <row r="56" spans="1:35" x14ac:dyDescent="0.2">
      <c r="A56" s="6" t="s">
        <v>215</v>
      </c>
      <c r="B56" s="6">
        <v>0.128</v>
      </c>
      <c r="F56" s="8"/>
    </row>
    <row r="57" spans="1:35" x14ac:dyDescent="0.2">
      <c r="A57" s="6" t="s">
        <v>216</v>
      </c>
      <c r="B57" s="6">
        <v>0.158</v>
      </c>
      <c r="F57" s="8"/>
    </row>
    <row r="58" spans="1:35" x14ac:dyDescent="0.2">
      <c r="F58" s="8"/>
      <c r="J58" s="6" t="s">
        <v>131</v>
      </c>
      <c r="K58" s="6" t="s">
        <v>132</v>
      </c>
      <c r="L58" s="6" t="s">
        <v>133</v>
      </c>
    </row>
    <row r="59" spans="1:35" x14ac:dyDescent="0.2">
      <c r="A59" s="6" t="s">
        <v>217</v>
      </c>
      <c r="B59" s="6">
        <v>23.9</v>
      </c>
      <c r="D59" s="6">
        <v>24.8</v>
      </c>
      <c r="F59" s="8"/>
      <c r="J59" s="6">
        <f t="shared" si="49"/>
        <v>1.4853000000000001</v>
      </c>
      <c r="K59" s="6">
        <v>0.72709999999999997</v>
      </c>
      <c r="L59" s="6">
        <f t="shared" ref="L59:L66" si="50">-1*E14</f>
        <v>-7.1000000000000004E-3</v>
      </c>
    </row>
    <row r="60" spans="1:35" x14ac:dyDescent="0.2">
      <c r="A60" s="6" t="s">
        <v>218</v>
      </c>
      <c r="B60" s="6" t="s">
        <v>219</v>
      </c>
      <c r="F60" s="8"/>
      <c r="J60" s="6">
        <f t="shared" si="49"/>
        <v>-6.7729999999999997</v>
      </c>
      <c r="K60" s="6">
        <v>0.62229999999999996</v>
      </c>
      <c r="L60" s="6">
        <f t="shared" si="50"/>
        <v>-0.92530000000000001</v>
      </c>
    </row>
    <row r="61" spans="1:35" x14ac:dyDescent="0.2">
      <c r="A61" s="6" t="s">
        <v>220</v>
      </c>
      <c r="B61" s="6">
        <f>0.5*B55*B54^2</f>
        <v>382.8125</v>
      </c>
      <c r="F61" s="8"/>
      <c r="J61" s="6">
        <f t="shared" si="49"/>
        <v>-15.110099999999999</v>
      </c>
      <c r="K61" s="6">
        <v>0.59789999999999999</v>
      </c>
      <c r="L61" s="6">
        <f t="shared" si="50"/>
        <v>-1.8626</v>
      </c>
    </row>
    <row r="62" spans="1:35" x14ac:dyDescent="0.2">
      <c r="F62" s="8"/>
      <c r="J62" s="6">
        <f t="shared" si="49"/>
        <v>-23.304500000000001</v>
      </c>
      <c r="K62" s="6">
        <v>0.76129999999999998</v>
      </c>
      <c r="L62" s="6">
        <f t="shared" si="50"/>
        <v>-2.7086999999999999</v>
      </c>
    </row>
    <row r="63" spans="1:35" x14ac:dyDescent="0.2">
      <c r="F63" s="8"/>
      <c r="J63" s="6">
        <f t="shared" si="49"/>
        <v>-31.663900000000002</v>
      </c>
      <c r="K63" s="6">
        <v>0.88149999999999995</v>
      </c>
      <c r="L63" s="6">
        <f t="shared" si="50"/>
        <v>-3.5110000000000001</v>
      </c>
    </row>
    <row r="64" spans="1:35" x14ac:dyDescent="0.2">
      <c r="F64" s="8"/>
      <c r="J64" s="6">
        <f t="shared" si="49"/>
        <v>-38.398000000000003</v>
      </c>
      <c r="K64" s="6">
        <v>0.61650000000000005</v>
      </c>
      <c r="L64" s="6">
        <f t="shared" si="50"/>
        <v>-4.1628999999999996</v>
      </c>
    </row>
    <row r="65" spans="6:12" x14ac:dyDescent="0.2">
      <c r="F65" s="8"/>
      <c r="J65" s="6">
        <f t="shared" si="49"/>
        <v>-44.232999999999997</v>
      </c>
      <c r="K65" s="6">
        <v>0.84160000000000001</v>
      </c>
      <c r="L65" s="6">
        <f t="shared" si="50"/>
        <v>-4.7507999999999999</v>
      </c>
    </row>
    <row r="66" spans="6:12" x14ac:dyDescent="0.2">
      <c r="F66" s="8"/>
      <c r="J66" s="6">
        <f t="shared" si="49"/>
        <v>-49.043100000000003</v>
      </c>
      <c r="K66" s="6">
        <v>0.85780000000000001</v>
      </c>
      <c r="L66" s="6">
        <f t="shared" si="50"/>
        <v>-5.2228000000000003</v>
      </c>
    </row>
    <row r="67" spans="6:12" x14ac:dyDescent="0.2">
      <c r="F67" s="8"/>
    </row>
    <row r="68" spans="6:12" x14ac:dyDescent="0.2">
      <c r="F68" s="8"/>
    </row>
    <row r="69" spans="6:12" x14ac:dyDescent="0.2">
      <c r="F69" s="8"/>
      <c r="J69" s="6" t="s">
        <v>131</v>
      </c>
      <c r="K69" s="6" t="s">
        <v>132</v>
      </c>
      <c r="L69" s="6" t="s">
        <v>133</v>
      </c>
    </row>
    <row r="70" spans="6:12" x14ac:dyDescent="0.2">
      <c r="F70" s="8"/>
      <c r="J70" s="6">
        <f t="shared" si="49"/>
        <v>4.2051999999999996</v>
      </c>
      <c r="K70" s="6">
        <v>0.58589999999999998</v>
      </c>
      <c r="L70" s="6">
        <f t="shared" ref="L70:L84" si="51">-1*E25</f>
        <v>-0.64170000000000005</v>
      </c>
    </row>
    <row r="71" spans="6:12" x14ac:dyDescent="0.2">
      <c r="F71" s="8"/>
      <c r="J71" s="6">
        <f t="shared" si="49"/>
        <v>-4.2412000000000001</v>
      </c>
      <c r="K71" s="6">
        <v>0.70269999999999999</v>
      </c>
      <c r="L71" s="6">
        <f t="shared" si="51"/>
        <v>-1.5851999999999999</v>
      </c>
    </row>
    <row r="72" spans="6:12" x14ac:dyDescent="0.2">
      <c r="F72" s="8"/>
      <c r="J72" s="6">
        <f t="shared" si="49"/>
        <v>-12.379300000000001</v>
      </c>
      <c r="K72" s="6">
        <v>0.84389999999999998</v>
      </c>
      <c r="L72" s="6">
        <f t="shared" si="51"/>
        <v>-2.4358</v>
      </c>
    </row>
    <row r="73" spans="6:12" x14ac:dyDescent="0.2">
      <c r="F73" s="8"/>
      <c r="J73" s="6">
        <f t="shared" si="49"/>
        <v>-20.854199999999999</v>
      </c>
      <c r="K73" s="6">
        <v>0.6855</v>
      </c>
      <c r="L73" s="6">
        <f t="shared" si="51"/>
        <v>-3.3412000000000002</v>
      </c>
    </row>
    <row r="74" spans="6:12" x14ac:dyDescent="0.2">
      <c r="F74" s="8"/>
      <c r="J74" s="6">
        <f t="shared" si="49"/>
        <v>-28.981400000000001</v>
      </c>
      <c r="K74" s="6">
        <v>0.47189999999999999</v>
      </c>
      <c r="L74" s="6">
        <f t="shared" si="51"/>
        <v>-4.1520000000000001</v>
      </c>
    </row>
    <row r="75" spans="6:12" x14ac:dyDescent="0.2">
      <c r="F75" s="8"/>
      <c r="J75" s="6">
        <f t="shared" si="49"/>
        <v>-35.721800000000002</v>
      </c>
      <c r="K75" s="6">
        <v>0.76849999999999996</v>
      </c>
      <c r="L75" s="6">
        <f t="shared" si="51"/>
        <v>-4.8307000000000002</v>
      </c>
    </row>
    <row r="76" spans="6:12" x14ac:dyDescent="0.2">
      <c r="F76" s="8"/>
      <c r="J76" s="6">
        <f t="shared" si="49"/>
        <v>-41.873699999999999</v>
      </c>
      <c r="K76" s="6">
        <v>0.79300000000000004</v>
      </c>
      <c r="L76" s="6">
        <f t="shared" si="51"/>
        <v>-5.3036000000000003</v>
      </c>
    </row>
    <row r="77" spans="6:12" x14ac:dyDescent="0.2">
      <c r="F77" s="8"/>
      <c r="J77" s="6">
        <f t="shared" si="49"/>
        <v>-44.796399999999998</v>
      </c>
      <c r="K77" s="6">
        <v>0.94020000000000004</v>
      </c>
      <c r="L77" s="6">
        <f t="shared" si="51"/>
        <v>-5.5477999999999996</v>
      </c>
    </row>
    <row r="78" spans="6:12" x14ac:dyDescent="0.2">
      <c r="F78" s="8"/>
      <c r="J78" s="6">
        <f t="shared" si="49"/>
        <v>-47.186</v>
      </c>
      <c r="K78" s="6">
        <v>0.83630000000000004</v>
      </c>
      <c r="L78" s="6">
        <f t="shared" si="51"/>
        <v>-5.7175000000000002</v>
      </c>
    </row>
    <row r="79" spans="6:12" x14ac:dyDescent="0.2">
      <c r="F79" s="8"/>
      <c r="J79" s="6">
        <f t="shared" si="49"/>
        <v>-49.380800000000001</v>
      </c>
      <c r="K79" s="6">
        <v>0.87239999999999995</v>
      </c>
      <c r="L79" s="6">
        <f t="shared" si="51"/>
        <v>-5.8730000000000002</v>
      </c>
    </row>
    <row r="80" spans="6:12" x14ac:dyDescent="0.2">
      <c r="F80" s="8"/>
      <c r="J80" s="6">
        <f t="shared" si="49"/>
        <v>-48.445599999999999</v>
      </c>
      <c r="K80" s="6">
        <v>1.7230000000000001</v>
      </c>
      <c r="L80" s="6">
        <f t="shared" si="51"/>
        <v>-5.6482000000000001</v>
      </c>
    </row>
    <row r="81" spans="6:12" x14ac:dyDescent="0.2">
      <c r="F81" s="8"/>
      <c r="J81" s="6">
        <f t="shared" si="49"/>
        <v>-50.630400000000002</v>
      </c>
      <c r="K81" s="6">
        <v>2.3990999999999998</v>
      </c>
      <c r="L81" s="6">
        <f t="shared" si="51"/>
        <v>-5.8823999999999996</v>
      </c>
    </row>
    <row r="82" spans="6:12" x14ac:dyDescent="0.2">
      <c r="F82" s="8"/>
      <c r="J82" s="6">
        <f t="shared" si="49"/>
        <v>-49.556100000000001</v>
      </c>
      <c r="K82" s="6">
        <v>1.8052999999999999</v>
      </c>
      <c r="L82" s="6">
        <f t="shared" si="51"/>
        <v>-5.9907000000000004</v>
      </c>
    </row>
    <row r="83" spans="6:12" x14ac:dyDescent="0.2">
      <c r="F83" s="8"/>
      <c r="J83" s="6">
        <f t="shared" si="49"/>
        <v>-44.555</v>
      </c>
      <c r="K83" s="6">
        <v>1.3219000000000001</v>
      </c>
      <c r="L83" s="6">
        <f t="shared" si="51"/>
        <v>-5.0578000000000003</v>
      </c>
    </row>
    <row r="84" spans="6:12" x14ac:dyDescent="0.2">
      <c r="F84" s="8"/>
      <c r="J84" s="6">
        <f t="shared" si="49"/>
        <v>-39.637700000000002</v>
      </c>
      <c r="K84" s="6">
        <v>2.1863000000000001</v>
      </c>
      <c r="L84" s="6">
        <f t="shared" si="51"/>
        <v>-4.3090999999999999</v>
      </c>
    </row>
    <row r="85" spans="6:12" x14ac:dyDescent="0.2">
      <c r="F85" s="8"/>
    </row>
    <row r="86" spans="6:12" x14ac:dyDescent="0.2">
      <c r="F86" s="8"/>
    </row>
    <row r="87" spans="6:12" x14ac:dyDescent="0.2">
      <c r="F87" s="8"/>
    </row>
    <row r="88" spans="6:12" x14ac:dyDescent="0.2">
      <c r="F88" s="8"/>
    </row>
    <row r="89" spans="6:12" x14ac:dyDescent="0.2">
      <c r="F89" s="8"/>
    </row>
    <row r="90" spans="6:12" x14ac:dyDescent="0.2">
      <c r="F90" s="8"/>
    </row>
    <row r="97" spans="50:69" x14ac:dyDescent="0.2">
      <c r="AX97" s="6" t="s">
        <v>221</v>
      </c>
    </row>
    <row r="98" spans="50:69" x14ac:dyDescent="0.2">
      <c r="AX98" s="6" t="s">
        <v>222</v>
      </c>
      <c r="AY98" s="6" t="s">
        <v>223</v>
      </c>
      <c r="AZ98" s="6" t="s">
        <v>224</v>
      </c>
      <c r="BA98" s="6" t="s">
        <v>225</v>
      </c>
      <c r="BB98" s="6" t="s">
        <v>226</v>
      </c>
      <c r="BC98" s="6" t="s">
        <v>227</v>
      </c>
      <c r="BD98" s="6" t="s">
        <v>228</v>
      </c>
      <c r="BE98" s="6" t="s">
        <v>229</v>
      </c>
      <c r="BF98" s="6" t="s">
        <v>230</v>
      </c>
      <c r="BG98" s="6" t="s">
        <v>231</v>
      </c>
      <c r="BH98" s="6" t="s">
        <v>232</v>
      </c>
      <c r="BI98" s="6" t="s">
        <v>233</v>
      </c>
      <c r="BJ98" s="6" t="s">
        <v>234</v>
      </c>
      <c r="BK98" s="6" t="s">
        <v>235</v>
      </c>
      <c r="BL98" s="6" t="s">
        <v>236</v>
      </c>
      <c r="BM98" s="6" t="s">
        <v>237</v>
      </c>
      <c r="BN98" s="6" t="s">
        <v>238</v>
      </c>
      <c r="BO98" s="6" t="s">
        <v>239</v>
      </c>
      <c r="BP98" s="6" t="s">
        <v>240</v>
      </c>
      <c r="BQ98" s="6" t="s">
        <v>241</v>
      </c>
    </row>
    <row r="99" spans="50:69" x14ac:dyDescent="0.2">
      <c r="AX99" s="6">
        <f t="shared" ref="AX99:AX106" si="52">SQRT(0.0025*(COS(RADIANS(H3))^2))</f>
        <v>4.9940306867071703E-2</v>
      </c>
      <c r="AY99" s="6">
        <f t="shared" ref="AY99:AY106" si="53">SQRT(0.0025*(SIN(RADIANS(H3))^2))</f>
        <v>2.4424884897806627E-3</v>
      </c>
      <c r="AZ99" s="6">
        <f t="shared" ref="AZ99:AZ106" si="54">0.007116+ABS((AX99/SIN(RADIANS(H3)))*100)</f>
        <v>102.23954631854856</v>
      </c>
      <c r="BA99" s="6">
        <f t="shared" ref="BA99:BA106" si="55">0.007116+ABS((AY99/COS(RADIANS(H3)))*100)</f>
        <v>0.25165679710422495</v>
      </c>
      <c r="BB99" s="6">
        <f t="shared" ref="BB99:BB106" si="56">ABS((AZ99/100)*$B$50*SIN(RADIANS(H3)))+0.00005</f>
        <v>3.5091001947526652</v>
      </c>
      <c r="BC99" s="6">
        <f t="shared" ref="BC99:BC106" si="57">ABS((BA99/100)*$B$50*COS(RADIANS(H3)))+0.00005</f>
        <v>0.17665297393494517</v>
      </c>
      <c r="BD99" s="6">
        <f t="shared" ref="BD99:BD106" si="58">ABS((AX99/SIN(RADIANS(H3)))*100)</f>
        <v>102.23243031854857</v>
      </c>
      <c r="BE99" s="6">
        <f t="shared" ref="BE99:BE106" si="59">ABS((AY99/COS(RADIANS(H3)))*100)</f>
        <v>0.24454079710422494</v>
      </c>
      <c r="BF99" s="6">
        <f t="shared" ref="BF99:BF106" si="60">BD99+0.0005</f>
        <v>102.23293031854857</v>
      </c>
      <c r="BG99" s="6">
        <f t="shared" ref="BG99:BG106" si="61">BE99+0.00005</f>
        <v>0.24459079710422493</v>
      </c>
      <c r="BH99" s="6">
        <f t="shared" ref="BH99:BH106" si="62">ABS((BF99/100)*SIN(RADIANS(H3))*$B$52)</f>
        <v>3.4458980269985273E-3</v>
      </c>
      <c r="BI99" s="6">
        <f t="shared" ref="BI99:BI106" si="63">ABS((BG99/100)*COS(RADIANS(H3))*$B$51)</f>
        <v>1.6294729245305053E-4</v>
      </c>
      <c r="BJ99" s="6">
        <f t="shared" ref="BJ99:BJ106" si="64">BH99+BI99</f>
        <v>3.6088453194515779E-3</v>
      </c>
      <c r="BK99" s="6">
        <f t="shared" ref="BK99:BK106" si="65">ABS((BJ99/100)*($B$52*SIN(RADIANS(H3))+$B$51*COS(RADIANS(H3))))</f>
        <v>2.5258670530014222E-6</v>
      </c>
      <c r="BL99" s="6">
        <f t="shared" ref="BL99:BL106" si="66">BK99+0.005</f>
        <v>5.0025258670530013E-3</v>
      </c>
      <c r="BM99" s="6">
        <f t="shared" ref="BM99:BM106" si="67">ABS((BL99/100)*($B$52*SIN(RADIANS(H3)))+ABS($B$51*COS(RADIANS(H3)))*$B$50)</f>
        <v>4.6807469826640871</v>
      </c>
      <c r="BN99" s="6">
        <f t="shared" ref="BN99:BN106" si="68">0.00005+BM99</f>
        <v>4.6807969826640869</v>
      </c>
      <c r="BO99" s="6">
        <f t="shared" ref="BO99:BO106" si="69">BB99+BC99+BN99</f>
        <v>8.3665501513516976</v>
      </c>
      <c r="BP99" s="6">
        <f t="shared" ref="BP99:BP106" si="70">ABS((BO99/O3)*100)</f>
        <v>2641.9644392714576</v>
      </c>
      <c r="BQ99" s="6">
        <f t="shared" ref="BQ99:BQ106" si="71">BP99+2*2+0.04082+0.3906+0.1365</f>
        <v>2646.5323592714581</v>
      </c>
    </row>
    <row r="100" spans="50:69" x14ac:dyDescent="0.2">
      <c r="AX100" s="6">
        <f t="shared" si="52"/>
        <v>4.9995126200465215E-2</v>
      </c>
      <c r="AY100" s="6">
        <f t="shared" si="53"/>
        <v>6.9810901695726343E-4</v>
      </c>
      <c r="AZ100" s="6">
        <f t="shared" si="54"/>
        <v>358.08246659761159</v>
      </c>
      <c r="BA100" s="6">
        <f t="shared" si="55"/>
        <v>7.6933707245908242E-2</v>
      </c>
      <c r="BB100" s="6">
        <f t="shared" si="56"/>
        <v>3.5127773735800671</v>
      </c>
      <c r="BC100" s="6">
        <f t="shared" si="57"/>
        <v>5.4098353780550688E-2</v>
      </c>
      <c r="BD100" s="6">
        <f t="shared" si="58"/>
        <v>358.07535059761159</v>
      </c>
      <c r="BE100" s="6">
        <f t="shared" si="59"/>
        <v>6.9817707245908245E-2</v>
      </c>
      <c r="BF100" s="6">
        <f t="shared" si="60"/>
        <v>358.07585059761158</v>
      </c>
      <c r="BG100" s="6">
        <f t="shared" si="61"/>
        <v>6.9867707245908239E-2</v>
      </c>
      <c r="BH100" s="6">
        <f t="shared" si="62"/>
        <v>3.4496685247843166E-3</v>
      </c>
      <c r="BI100" s="6">
        <f t="shared" si="63"/>
        <v>4.6597218180225176E-5</v>
      </c>
      <c r="BJ100" s="6">
        <f t="shared" si="64"/>
        <v>3.4962657429645416E-3</v>
      </c>
      <c r="BK100" s="6">
        <f t="shared" si="65"/>
        <v>2.3654646256889634E-6</v>
      </c>
      <c r="BL100" s="6">
        <f t="shared" si="66"/>
        <v>5.0023654646256894E-3</v>
      </c>
      <c r="BM100" s="6">
        <f t="shared" si="67"/>
        <v>4.6858851459785003</v>
      </c>
      <c r="BN100" s="6">
        <f t="shared" si="68"/>
        <v>4.6859351459785001</v>
      </c>
      <c r="BO100" s="6">
        <f t="shared" si="69"/>
        <v>8.2528108733391186</v>
      </c>
      <c r="BP100" s="6">
        <f t="shared" si="70"/>
        <v>5162.039510549479</v>
      </c>
      <c r="BQ100" s="6">
        <f t="shared" si="71"/>
        <v>5166.6074305494785</v>
      </c>
    </row>
    <row r="101" spans="50:69" x14ac:dyDescent="0.2">
      <c r="AX101" s="6">
        <f t="shared" si="52"/>
        <v>4.9989034173742272E-2</v>
      </c>
      <c r="AY101" s="6">
        <f t="shared" si="53"/>
        <v>1.047120994167848E-3</v>
      </c>
      <c r="AZ101" s="6">
        <f t="shared" si="54"/>
        <v>238.70462303197766</v>
      </c>
      <c r="BA101" s="6">
        <f t="shared" si="55"/>
        <v>0.11185106954829993</v>
      </c>
      <c r="BB101" s="6">
        <f t="shared" si="56"/>
        <v>3.512384246897331</v>
      </c>
      <c r="BC101" s="6">
        <f t="shared" si="57"/>
        <v>7.8619326133051268E-2</v>
      </c>
      <c r="BD101" s="6">
        <f t="shared" si="58"/>
        <v>238.69750703197766</v>
      </c>
      <c r="BE101" s="6">
        <f t="shared" si="59"/>
        <v>0.10473506954829993</v>
      </c>
      <c r="BF101" s="6">
        <f t="shared" si="60"/>
        <v>238.69800703197765</v>
      </c>
      <c r="BG101" s="6">
        <f t="shared" si="61"/>
        <v>0.10478506954829993</v>
      </c>
      <c r="BH101" s="6">
        <f t="shared" si="62"/>
        <v>3.4492505831230768E-3</v>
      </c>
      <c r="BI101" s="6">
        <f t="shared" si="63"/>
        <v>6.9876312996789328E-5</v>
      </c>
      <c r="BJ101" s="6">
        <f t="shared" si="64"/>
        <v>3.5191268961198663E-3</v>
      </c>
      <c r="BK101" s="6">
        <f t="shared" si="65"/>
        <v>2.2958905144966303E-6</v>
      </c>
      <c r="BL101" s="6">
        <f t="shared" si="66"/>
        <v>5.0022958905144967E-3</v>
      </c>
      <c r="BM101" s="6">
        <f t="shared" si="67"/>
        <v>4.6853142800413989</v>
      </c>
      <c r="BN101" s="6">
        <f t="shared" si="68"/>
        <v>4.6853642800413988</v>
      </c>
      <c r="BO101" s="6">
        <f t="shared" si="69"/>
        <v>8.2763678530717808</v>
      </c>
      <c r="BP101" s="6">
        <f t="shared" si="70"/>
        <v>22210.832075538419</v>
      </c>
      <c r="BQ101" s="6">
        <f t="shared" si="71"/>
        <v>22215.399995538417</v>
      </c>
    </row>
    <row r="102" spans="50:69" x14ac:dyDescent="0.2">
      <c r="AX102" s="6">
        <f t="shared" si="52"/>
        <v>4.9922038209099052E-2</v>
      </c>
      <c r="AY102" s="6">
        <f t="shared" si="53"/>
        <v>2.79107524965819E-3</v>
      </c>
      <c r="AZ102" s="6">
        <f t="shared" si="54"/>
        <v>89.43866789959992</v>
      </c>
      <c r="BA102" s="6">
        <f t="shared" si="55"/>
        <v>0.28665939904630278</v>
      </c>
      <c r="BB102" s="6">
        <f t="shared" si="56"/>
        <v>3.507851495439128</v>
      </c>
      <c r="BC102" s="6">
        <f t="shared" si="57"/>
        <v>0.20114285292717032</v>
      </c>
      <c r="BD102" s="6">
        <f t="shared" si="58"/>
        <v>89.431551899599924</v>
      </c>
      <c r="BE102" s="6">
        <f t="shared" si="59"/>
        <v>0.27954339904630277</v>
      </c>
      <c r="BF102" s="6">
        <f t="shared" si="60"/>
        <v>89.432051899599927</v>
      </c>
      <c r="BG102" s="6">
        <f t="shared" si="61"/>
        <v>0.27959339904630276</v>
      </c>
      <c r="BH102" s="6">
        <f t="shared" si="62"/>
        <v>3.4446398948470578E-3</v>
      </c>
      <c r="BI102" s="6">
        <f t="shared" si="63"/>
        <v>1.8619801715168672E-4</v>
      </c>
      <c r="BJ102" s="6">
        <f t="shared" si="64"/>
        <v>3.6308379119987444E-3</v>
      </c>
      <c r="BK102" s="6">
        <f t="shared" si="65"/>
        <v>2.2781443812336509E-6</v>
      </c>
      <c r="BL102" s="6">
        <f t="shared" si="66"/>
        <v>5.0022781443812342E-3</v>
      </c>
      <c r="BM102" s="6">
        <f t="shared" si="67"/>
        <v>4.6790350803700518</v>
      </c>
      <c r="BN102" s="6">
        <f t="shared" si="68"/>
        <v>4.6790850803700517</v>
      </c>
      <c r="BO102" s="6">
        <f t="shared" si="69"/>
        <v>8.3880794287363507</v>
      </c>
      <c r="BP102" s="6">
        <f t="shared" si="70"/>
        <v>3461.7479023063142</v>
      </c>
      <c r="BQ102" s="6">
        <f t="shared" si="71"/>
        <v>3466.3158223063147</v>
      </c>
    </row>
    <row r="103" spans="50:69" x14ac:dyDescent="0.2">
      <c r="AX103" s="6">
        <f t="shared" si="52"/>
        <v>4.9794219930798515E-2</v>
      </c>
      <c r="AY103" s="6">
        <f t="shared" si="53"/>
        <v>4.5316290098890077E-3</v>
      </c>
      <c r="AZ103" s="6">
        <f t="shared" si="54"/>
        <v>54.947866690465418</v>
      </c>
      <c r="BA103" s="6">
        <f t="shared" si="55"/>
        <v>0.46215164632469757</v>
      </c>
      <c r="BB103" s="6">
        <f t="shared" si="56"/>
        <v>3.4990450281941317</v>
      </c>
      <c r="BC103" s="6">
        <f t="shared" si="57"/>
        <v>0.32342137905597701</v>
      </c>
      <c r="BD103" s="6">
        <f t="shared" si="58"/>
        <v>54.940750690465414</v>
      </c>
      <c r="BE103" s="6">
        <f t="shared" si="59"/>
        <v>0.45503564632469756</v>
      </c>
      <c r="BF103" s="6">
        <f t="shared" si="60"/>
        <v>54.941250690465417</v>
      </c>
      <c r="BG103" s="6">
        <f t="shared" si="61"/>
        <v>0.45508564632469756</v>
      </c>
      <c r="BH103" s="6">
        <f t="shared" si="62"/>
        <v>3.4358324434652665E-3</v>
      </c>
      <c r="BI103" s="6">
        <f t="shared" si="63"/>
        <v>3.0229286770429059E-4</v>
      </c>
      <c r="BJ103" s="6">
        <f t="shared" si="64"/>
        <v>3.7381253111695573E-3</v>
      </c>
      <c r="BK103" s="6">
        <f t="shared" si="65"/>
        <v>2.2492988318520998E-6</v>
      </c>
      <c r="BL103" s="6">
        <f t="shared" si="66"/>
        <v>5.0022492988318519E-3</v>
      </c>
      <c r="BM103" s="6">
        <f t="shared" si="67"/>
        <v>4.6670551972018295</v>
      </c>
      <c r="BN103" s="6">
        <f t="shared" si="68"/>
        <v>4.6671051972018294</v>
      </c>
      <c r="BO103" s="6">
        <f t="shared" si="69"/>
        <v>8.4895716044519389</v>
      </c>
      <c r="BP103" s="6">
        <f t="shared" si="70"/>
        <v>1760.6874759535042</v>
      </c>
      <c r="BQ103" s="6">
        <f t="shared" si="71"/>
        <v>1765.2553959535041</v>
      </c>
    </row>
    <row r="104" spans="50:69" x14ac:dyDescent="0.2">
      <c r="AX104" s="6">
        <f t="shared" si="52"/>
        <v>4.9605735065723897E-2</v>
      </c>
      <c r="AY104" s="6">
        <f t="shared" si="53"/>
        <v>6.2666616782152129E-3</v>
      </c>
      <c r="AZ104" s="6">
        <f t="shared" si="54"/>
        <v>39.586191441529138</v>
      </c>
      <c r="BA104" s="6">
        <f t="shared" si="55"/>
        <v>0.63876289223054084</v>
      </c>
      <c r="BB104" s="6">
        <f t="shared" si="56"/>
        <v>3.485975574486146</v>
      </c>
      <c r="BC104" s="6">
        <f t="shared" si="57"/>
        <v>0.4453059269709464</v>
      </c>
      <c r="BD104" s="6">
        <f t="shared" si="58"/>
        <v>39.579075441529135</v>
      </c>
      <c r="BE104" s="6">
        <f t="shared" si="59"/>
        <v>0.63164689223054082</v>
      </c>
      <c r="BF104" s="6">
        <f t="shared" si="60"/>
        <v>39.579575441529137</v>
      </c>
      <c r="BG104" s="6">
        <f t="shared" si="61"/>
        <v>0.63169689223054082</v>
      </c>
      <c r="BH104" s="6">
        <f t="shared" si="62"/>
        <v>3.422838959500529E-3</v>
      </c>
      <c r="BI104" s="6">
        <f t="shared" si="63"/>
        <v>4.1801942096224347E-4</v>
      </c>
      <c r="BJ104" s="6">
        <f t="shared" si="64"/>
        <v>3.8408583804627723E-3</v>
      </c>
      <c r="BK104" s="6">
        <f t="shared" si="65"/>
        <v>2.2094943989690197E-6</v>
      </c>
      <c r="BL104" s="6">
        <f t="shared" si="66"/>
        <v>5.0022094943989693E-3</v>
      </c>
      <c r="BM104" s="6">
        <f t="shared" si="67"/>
        <v>4.6493892261782257</v>
      </c>
      <c r="BN104" s="6">
        <f t="shared" si="68"/>
        <v>4.6494392261782256</v>
      </c>
      <c r="BO104" s="6">
        <f t="shared" si="69"/>
        <v>8.5807207276353186</v>
      </c>
      <c r="BP104" s="6">
        <f t="shared" si="70"/>
        <v>1205.1749228587523</v>
      </c>
      <c r="BQ104" s="6">
        <f t="shared" si="71"/>
        <v>1209.7428428587523</v>
      </c>
    </row>
    <row r="105" spans="50:69" x14ac:dyDescent="0.2">
      <c r="AX105" s="6">
        <f t="shared" si="52"/>
        <v>4.9356813253649399E-2</v>
      </c>
      <c r="AY105" s="6">
        <f t="shared" si="53"/>
        <v>7.9940593845917434E-3</v>
      </c>
      <c r="AZ105" s="6">
        <f t="shared" si="54"/>
        <v>30.87804832556094</v>
      </c>
      <c r="BA105" s="6">
        <f t="shared" si="55"/>
        <v>0.81693929060726689</v>
      </c>
      <c r="BB105" s="6">
        <f t="shared" si="56"/>
        <v>3.4686590574313199</v>
      </c>
      <c r="BC105" s="6">
        <f t="shared" si="57"/>
        <v>0.56664799912531938</v>
      </c>
      <c r="BD105" s="6">
        <f t="shared" si="58"/>
        <v>30.87093232556094</v>
      </c>
      <c r="BE105" s="6">
        <f t="shared" si="59"/>
        <v>0.80982329060726688</v>
      </c>
      <c r="BF105" s="6">
        <f t="shared" si="60"/>
        <v>30.871432325560939</v>
      </c>
      <c r="BG105" s="6">
        <f t="shared" si="61"/>
        <v>0.80987329060726687</v>
      </c>
      <c r="BH105" s="6">
        <f t="shared" si="62"/>
        <v>3.4056752735115627E-3</v>
      </c>
      <c r="BI105" s="6">
        <f t="shared" si="63"/>
        <v>5.3323668194670947E-4</v>
      </c>
      <c r="BJ105" s="6">
        <f t="shared" si="64"/>
        <v>3.9389119554582722E-3</v>
      </c>
      <c r="BK105" s="6">
        <f t="shared" si="65"/>
        <v>2.1589250057802895E-6</v>
      </c>
      <c r="BL105" s="6">
        <f t="shared" si="66"/>
        <v>5.0021589250057808E-3</v>
      </c>
      <c r="BM105" s="6">
        <f t="shared" si="67"/>
        <v>4.6260586905629415</v>
      </c>
      <c r="BN105" s="6">
        <f t="shared" si="68"/>
        <v>4.6261086905629414</v>
      </c>
      <c r="BO105" s="6">
        <f t="shared" si="69"/>
        <v>8.6614157471195803</v>
      </c>
      <c r="BP105" s="6">
        <f t="shared" si="70"/>
        <v>942.03197928268878</v>
      </c>
      <c r="BQ105" s="6">
        <f t="shared" si="71"/>
        <v>946.59989928268874</v>
      </c>
    </row>
    <row r="106" spans="50:69" x14ac:dyDescent="0.2">
      <c r="AX106" s="6">
        <f t="shared" si="52"/>
        <v>4.9047757767459579E-2</v>
      </c>
      <c r="AY106" s="6">
        <f t="shared" si="53"/>
        <v>9.7117175609985982E-3</v>
      </c>
      <c r="AZ106" s="6">
        <f t="shared" si="54"/>
        <v>25.258961237155091</v>
      </c>
      <c r="BA106" s="6">
        <f t="shared" si="55"/>
        <v>0.99714266004048968</v>
      </c>
      <c r="BB106" s="6">
        <f t="shared" si="56"/>
        <v>3.4471165745382795</v>
      </c>
      <c r="BC106" s="6">
        <f t="shared" si="57"/>
        <v>0.68729975889548911</v>
      </c>
      <c r="BD106" s="6">
        <f t="shared" si="58"/>
        <v>25.251845237155091</v>
      </c>
      <c r="BE106" s="6">
        <f t="shared" si="59"/>
        <v>0.99002666004048967</v>
      </c>
      <c r="BF106" s="6">
        <f t="shared" si="60"/>
        <v>25.25234523715509</v>
      </c>
      <c r="BG106" s="6">
        <f t="shared" si="61"/>
        <v>0.99007666004048966</v>
      </c>
      <c r="BH106" s="6">
        <f t="shared" si="62"/>
        <v>3.3843622968058821E-3</v>
      </c>
      <c r="BI106" s="6">
        <f t="shared" si="63"/>
        <v>6.4780427617303733E-4</v>
      </c>
      <c r="BJ106" s="6">
        <f t="shared" si="64"/>
        <v>4.0321665729789197E-3</v>
      </c>
      <c r="BK106" s="6">
        <f t="shared" si="65"/>
        <v>2.0978370212863069E-6</v>
      </c>
      <c r="BL106" s="6">
        <f t="shared" si="66"/>
        <v>5.0020978370212861E-3</v>
      </c>
      <c r="BM106" s="6">
        <f t="shared" si="67"/>
        <v>4.5970920150191086</v>
      </c>
      <c r="BN106" s="6">
        <f t="shared" si="68"/>
        <v>4.5971420150191085</v>
      </c>
      <c r="BO106" s="6">
        <f t="shared" si="69"/>
        <v>8.7315583484528769</v>
      </c>
      <c r="BP106" s="6">
        <f t="shared" si="70"/>
        <v>778.1534800922376</v>
      </c>
      <c r="BQ106" s="6">
        <f t="shared" si="71"/>
        <v>782.72140009223756</v>
      </c>
    </row>
    <row r="110" spans="50:69" x14ac:dyDescent="0.2">
      <c r="AX110" s="6">
        <f t="shared" ref="AX110:AX117" si="72">SQRT(0.0025*(COS(RADIANS(H14))^2))</f>
        <v>4.9940306867071703E-2</v>
      </c>
      <c r="AY110" s="6">
        <f t="shared" ref="AY110:AY117" si="73">SQRT(0.0025*(SIN(RADIANS(H14))^2))</f>
        <v>2.4424884897806627E-3</v>
      </c>
      <c r="AZ110" s="6">
        <f t="shared" ref="AZ110:AZ117" si="74">0.007116+ABS((AX110/SIN(RADIANS(H14)))*100)</f>
        <v>102.23954631854856</v>
      </c>
      <c r="BA110" s="6">
        <f t="shared" ref="BA110:BA117" si="75">0.007116+ABS((AY110/COS(RADIANS(H14)))*100)</f>
        <v>0.25165679710422495</v>
      </c>
      <c r="BB110" s="6">
        <f t="shared" ref="BB110:BB117" si="76">ABS((AZ110/100)*$B$50*SIN(RADIANS(H14)))+0.00005</f>
        <v>3.5091001947526652</v>
      </c>
      <c r="BC110" s="6">
        <f t="shared" ref="BC110:BC117" si="77">ABS((BA110/100)*$B$50*COS(RADIANS(H14)))+0.00005</f>
        <v>0.17665297393494517</v>
      </c>
      <c r="BD110" s="6">
        <f t="shared" ref="BD110:BD117" si="78">ABS((AX110/SIN(RADIANS(H14)))*100)</f>
        <v>102.23243031854857</v>
      </c>
      <c r="BE110" s="6">
        <f t="shared" ref="BE110:BE117" si="79">ABS((AY110/COS(RADIANS(H14)))*100)</f>
        <v>0.24454079710422494</v>
      </c>
      <c r="BF110" s="6">
        <f t="shared" ref="BF110:BF117" si="80">BD110+0.0005</f>
        <v>102.23293031854857</v>
      </c>
      <c r="BG110" s="6">
        <f t="shared" ref="BG110:BG117" si="81">BE110+0.00005</f>
        <v>0.24459079710422493</v>
      </c>
      <c r="BH110" s="6">
        <f t="shared" ref="BH110:BH117" si="82">ABS((BF110/100)*SIN(RADIANS(H14))*$B$52)</f>
        <v>3.4458980269985273E-3</v>
      </c>
      <c r="BI110" s="6">
        <f t="shared" ref="BI110:BI117" si="83">ABS((BG110/100)*COS(RADIANS(H14))*$B$51)</f>
        <v>1.6294729245305053E-4</v>
      </c>
      <c r="BJ110" s="6">
        <f t="shared" ref="BJ110:BJ117" si="84">BH110+BI110</f>
        <v>3.6088453194515779E-3</v>
      </c>
      <c r="BK110" s="6">
        <f t="shared" ref="BK110:BK117" si="85">ABS((BJ110/100)*($B$52*SIN(RADIANS(H14))+$B$51*COS(RADIANS(H14))))</f>
        <v>2.5258670530014222E-6</v>
      </c>
      <c r="BL110" s="6">
        <f t="shared" ref="BL110:BL117" si="86">BK110+0.005</f>
        <v>5.0025258670530013E-3</v>
      </c>
      <c r="BM110" s="6">
        <f t="shared" ref="BM110:BM117" si="87">ABS((BL110/100)*($B$52*SIN(RADIANS(H14)))+ABS($B$51*COS(RADIANS(H14)))*$B$50)</f>
        <v>4.6807469826640871</v>
      </c>
      <c r="BN110" s="6">
        <f t="shared" ref="BN110:BN117" si="88">0.00005+BM110</f>
        <v>4.6807969826640869</v>
      </c>
      <c r="BO110" s="6">
        <f t="shared" ref="BO110:BO117" si="89">BB110+BC110+BN110</f>
        <v>8.3665501513516976</v>
      </c>
      <c r="BP110" s="6">
        <f t="shared" ref="BP110:BP117" si="90">ABS((BO110/O14)*100)</f>
        <v>4277.3914478166798</v>
      </c>
      <c r="BQ110" s="6">
        <f t="shared" ref="BQ110:BQ117" si="91">BP110+2*2+0.04082+0.3906+0.1365</f>
        <v>4281.9593678166793</v>
      </c>
    </row>
    <row r="111" spans="50:69" x14ac:dyDescent="0.2">
      <c r="AX111" s="6">
        <f t="shared" si="72"/>
        <v>4.9995126200465215E-2</v>
      </c>
      <c r="AY111" s="6">
        <f t="shared" si="73"/>
        <v>6.9810901695726343E-4</v>
      </c>
      <c r="AZ111" s="6">
        <f t="shared" si="74"/>
        <v>358.08246659761159</v>
      </c>
      <c r="BA111" s="6">
        <f t="shared" si="75"/>
        <v>7.6933707245908242E-2</v>
      </c>
      <c r="BB111" s="6">
        <f t="shared" si="76"/>
        <v>3.5127773735800671</v>
      </c>
      <c r="BC111" s="6">
        <f t="shared" si="77"/>
        <v>5.4098353780550688E-2</v>
      </c>
      <c r="BD111" s="6">
        <f t="shared" si="78"/>
        <v>358.07535059761159</v>
      </c>
      <c r="BE111" s="6">
        <f t="shared" si="79"/>
        <v>6.9817707245908245E-2</v>
      </c>
      <c r="BF111" s="6">
        <f t="shared" si="80"/>
        <v>358.07585059761158</v>
      </c>
      <c r="BG111" s="6">
        <f t="shared" si="81"/>
        <v>6.9867707245908239E-2</v>
      </c>
      <c r="BH111" s="6">
        <f t="shared" si="82"/>
        <v>3.4496685247843166E-3</v>
      </c>
      <c r="BI111" s="6">
        <f t="shared" si="83"/>
        <v>4.6597218180225176E-5</v>
      </c>
      <c r="BJ111" s="6">
        <f t="shared" si="84"/>
        <v>3.4962657429645416E-3</v>
      </c>
      <c r="BK111" s="6">
        <f t="shared" si="85"/>
        <v>2.3654646256889634E-6</v>
      </c>
      <c r="BL111" s="6">
        <f t="shared" si="86"/>
        <v>5.0023654646256894E-3</v>
      </c>
      <c r="BM111" s="6">
        <f t="shared" si="87"/>
        <v>4.6858851459785003</v>
      </c>
      <c r="BN111" s="6">
        <f t="shared" si="88"/>
        <v>4.6859351459785001</v>
      </c>
      <c r="BO111" s="6">
        <f t="shared" si="89"/>
        <v>8.2528108733391186</v>
      </c>
      <c r="BP111" s="6">
        <f t="shared" si="90"/>
        <v>16789.754389465936</v>
      </c>
      <c r="BQ111" s="6">
        <f t="shared" si="91"/>
        <v>16794.322309465933</v>
      </c>
    </row>
    <row r="112" spans="50:69" x14ac:dyDescent="0.2">
      <c r="AX112" s="6">
        <f t="shared" si="72"/>
        <v>4.9989034173742272E-2</v>
      </c>
      <c r="AY112" s="6">
        <f t="shared" si="73"/>
        <v>1.047120994167848E-3</v>
      </c>
      <c r="AZ112" s="6">
        <f t="shared" si="74"/>
        <v>238.70462303197766</v>
      </c>
      <c r="BA112" s="6">
        <f t="shared" si="75"/>
        <v>0.11185106954829993</v>
      </c>
      <c r="BB112" s="6">
        <f t="shared" si="76"/>
        <v>3.512384246897331</v>
      </c>
      <c r="BC112" s="6">
        <f t="shared" si="77"/>
        <v>7.8619326133051268E-2</v>
      </c>
      <c r="BD112" s="6">
        <f t="shared" si="78"/>
        <v>238.69750703197766</v>
      </c>
      <c r="BE112" s="6">
        <f t="shared" si="79"/>
        <v>0.10473506954829993</v>
      </c>
      <c r="BF112" s="6">
        <f t="shared" si="80"/>
        <v>238.69800703197765</v>
      </c>
      <c r="BG112" s="6">
        <f t="shared" si="81"/>
        <v>0.10478506954829993</v>
      </c>
      <c r="BH112" s="6">
        <f t="shared" si="82"/>
        <v>3.4492505831230768E-3</v>
      </c>
      <c r="BI112" s="6">
        <f t="shared" si="83"/>
        <v>6.9876312996789328E-5</v>
      </c>
      <c r="BJ112" s="6">
        <f t="shared" si="84"/>
        <v>3.5191268961198663E-3</v>
      </c>
      <c r="BK112" s="6">
        <f t="shared" si="85"/>
        <v>2.2958905144966303E-6</v>
      </c>
      <c r="BL112" s="6">
        <f t="shared" si="86"/>
        <v>5.0022958905144967E-3</v>
      </c>
      <c r="BM112" s="6">
        <f t="shared" si="87"/>
        <v>4.6853142800413989</v>
      </c>
      <c r="BN112" s="6">
        <f t="shared" si="88"/>
        <v>4.6853642800413988</v>
      </c>
      <c r="BO112" s="6">
        <f t="shared" si="89"/>
        <v>8.2763678530717808</v>
      </c>
      <c r="BP112" s="6">
        <f t="shared" si="90"/>
        <v>3193.5378347139917</v>
      </c>
      <c r="BQ112" s="6">
        <f t="shared" si="91"/>
        <v>3198.1057547139922</v>
      </c>
    </row>
    <row r="113" spans="50:69" x14ac:dyDescent="0.2">
      <c r="AX113" s="6">
        <f t="shared" si="72"/>
        <v>4.9922038209099052E-2</v>
      </c>
      <c r="AY113" s="6">
        <f t="shared" si="73"/>
        <v>2.79107524965819E-3</v>
      </c>
      <c r="AZ113" s="6">
        <f t="shared" si="74"/>
        <v>89.43866789959992</v>
      </c>
      <c r="BA113" s="6">
        <f t="shared" si="75"/>
        <v>0.28665939904630278</v>
      </c>
      <c r="BB113" s="6">
        <f t="shared" si="76"/>
        <v>3.507851495439128</v>
      </c>
      <c r="BC113" s="6">
        <f t="shared" si="77"/>
        <v>0.20114285292717032</v>
      </c>
      <c r="BD113" s="6">
        <f t="shared" si="78"/>
        <v>89.431551899599924</v>
      </c>
      <c r="BE113" s="6">
        <f t="shared" si="79"/>
        <v>0.27954339904630277</v>
      </c>
      <c r="BF113" s="6">
        <f t="shared" si="80"/>
        <v>89.432051899599927</v>
      </c>
      <c r="BG113" s="6">
        <f t="shared" si="81"/>
        <v>0.27959339904630276</v>
      </c>
      <c r="BH113" s="6">
        <f t="shared" si="82"/>
        <v>3.4446398948470578E-3</v>
      </c>
      <c r="BI113" s="6">
        <f t="shared" si="83"/>
        <v>1.8619801715168672E-4</v>
      </c>
      <c r="BJ113" s="6">
        <f t="shared" si="84"/>
        <v>3.6308379119987444E-3</v>
      </c>
      <c r="BK113" s="6">
        <f t="shared" si="85"/>
        <v>2.2781443812336509E-6</v>
      </c>
      <c r="BL113" s="6">
        <f t="shared" si="86"/>
        <v>5.0022781443812342E-3</v>
      </c>
      <c r="BM113" s="6">
        <f t="shared" si="87"/>
        <v>4.6790350803700518</v>
      </c>
      <c r="BN113" s="6">
        <f t="shared" si="88"/>
        <v>4.6790850803700517</v>
      </c>
      <c r="BO113" s="6">
        <f t="shared" si="89"/>
        <v>8.3880794287363507</v>
      </c>
      <c r="BP113" s="6">
        <f t="shared" si="90"/>
        <v>1875.1149563765787</v>
      </c>
      <c r="BQ113" s="6">
        <f t="shared" si="91"/>
        <v>1879.6828763765786</v>
      </c>
    </row>
    <row r="114" spans="50:69" x14ac:dyDescent="0.2">
      <c r="AX114" s="6">
        <f t="shared" si="72"/>
        <v>4.9794219930798515E-2</v>
      </c>
      <c r="AY114" s="6">
        <f t="shared" si="73"/>
        <v>4.5316290098890077E-3</v>
      </c>
      <c r="AZ114" s="6">
        <f t="shared" si="74"/>
        <v>54.947866690465418</v>
      </c>
      <c r="BA114" s="6">
        <f t="shared" si="75"/>
        <v>0.46215164632469757</v>
      </c>
      <c r="BB114" s="6">
        <f t="shared" si="76"/>
        <v>3.4990450281941317</v>
      </c>
      <c r="BC114" s="6">
        <f t="shared" si="77"/>
        <v>0.32342137905597701</v>
      </c>
      <c r="BD114" s="6">
        <f t="shared" si="78"/>
        <v>54.940750690465414</v>
      </c>
      <c r="BE114" s="6">
        <f t="shared" si="79"/>
        <v>0.45503564632469756</v>
      </c>
      <c r="BF114" s="6">
        <f t="shared" si="80"/>
        <v>54.941250690465417</v>
      </c>
      <c r="BG114" s="6">
        <f t="shared" si="81"/>
        <v>0.45508564632469756</v>
      </c>
      <c r="BH114" s="6">
        <f t="shared" si="82"/>
        <v>3.4358324434652665E-3</v>
      </c>
      <c r="BI114" s="6">
        <f t="shared" si="83"/>
        <v>3.0229286770429059E-4</v>
      </c>
      <c r="BJ114" s="6">
        <f t="shared" si="84"/>
        <v>3.7381253111695573E-3</v>
      </c>
      <c r="BK114" s="6">
        <f t="shared" si="85"/>
        <v>2.2492988318520998E-6</v>
      </c>
      <c r="BL114" s="6">
        <f t="shared" si="86"/>
        <v>5.0022492988318519E-3</v>
      </c>
      <c r="BM114" s="6">
        <f t="shared" si="87"/>
        <v>4.6670551972018295</v>
      </c>
      <c r="BN114" s="6">
        <f t="shared" si="88"/>
        <v>4.6671051972018294</v>
      </c>
      <c r="BO114" s="6">
        <f t="shared" si="89"/>
        <v>8.4895716044519389</v>
      </c>
      <c r="BP114" s="6">
        <f t="shared" si="90"/>
        <v>1240.8086088436614</v>
      </c>
      <c r="BQ114" s="6">
        <f t="shared" si="91"/>
        <v>1245.3765288436614</v>
      </c>
    </row>
    <row r="115" spans="50:69" x14ac:dyDescent="0.2">
      <c r="AX115" s="6">
        <f t="shared" si="72"/>
        <v>4.9605735065723897E-2</v>
      </c>
      <c r="AY115" s="6">
        <f t="shared" si="73"/>
        <v>6.2666616782152129E-3</v>
      </c>
      <c r="AZ115" s="6">
        <f t="shared" si="74"/>
        <v>39.586191441529138</v>
      </c>
      <c r="BA115" s="6">
        <f t="shared" si="75"/>
        <v>0.63876289223054084</v>
      </c>
      <c r="BB115" s="6">
        <f t="shared" si="76"/>
        <v>3.485975574486146</v>
      </c>
      <c r="BC115" s="6">
        <f t="shared" si="77"/>
        <v>0.4453059269709464</v>
      </c>
      <c r="BD115" s="6">
        <f t="shared" si="78"/>
        <v>39.579075441529135</v>
      </c>
      <c r="BE115" s="6">
        <f t="shared" si="79"/>
        <v>0.63164689223054082</v>
      </c>
      <c r="BF115" s="6">
        <f t="shared" si="80"/>
        <v>39.579575441529137</v>
      </c>
      <c r="BG115" s="6">
        <f t="shared" si="81"/>
        <v>0.63169689223054082</v>
      </c>
      <c r="BH115" s="6">
        <f t="shared" si="82"/>
        <v>3.422838959500529E-3</v>
      </c>
      <c r="BI115" s="6">
        <f t="shared" si="83"/>
        <v>4.1801942096224347E-4</v>
      </c>
      <c r="BJ115" s="6">
        <f t="shared" si="84"/>
        <v>3.8408583804627723E-3</v>
      </c>
      <c r="BK115" s="6">
        <f t="shared" si="85"/>
        <v>2.2094943989690197E-6</v>
      </c>
      <c r="BL115" s="6">
        <f t="shared" si="86"/>
        <v>5.0022094943989693E-3</v>
      </c>
      <c r="BM115" s="6">
        <f t="shared" si="87"/>
        <v>4.6493892261782257</v>
      </c>
      <c r="BN115" s="6">
        <f t="shared" si="88"/>
        <v>4.6494392261782256</v>
      </c>
      <c r="BO115" s="6">
        <f t="shared" si="89"/>
        <v>8.5807207276353186</v>
      </c>
      <c r="BP115" s="6">
        <f t="shared" si="90"/>
        <v>1006.8572091389207</v>
      </c>
      <c r="BQ115" s="6">
        <f t="shared" si="91"/>
        <v>1011.4251291389206</v>
      </c>
    </row>
    <row r="116" spans="50:69" x14ac:dyDescent="0.2">
      <c r="AX116" s="6">
        <f t="shared" si="72"/>
        <v>4.9356813253649399E-2</v>
      </c>
      <c r="AY116" s="6">
        <f t="shared" si="73"/>
        <v>7.9940593845917434E-3</v>
      </c>
      <c r="AZ116" s="6">
        <f t="shared" si="74"/>
        <v>30.87804832556094</v>
      </c>
      <c r="BA116" s="6">
        <f t="shared" si="75"/>
        <v>0.81693929060726689</v>
      </c>
      <c r="BB116" s="6">
        <f t="shared" si="76"/>
        <v>3.4686590574313199</v>
      </c>
      <c r="BC116" s="6">
        <f t="shared" si="77"/>
        <v>0.56664799912531938</v>
      </c>
      <c r="BD116" s="6">
        <f t="shared" si="78"/>
        <v>30.87093232556094</v>
      </c>
      <c r="BE116" s="6">
        <f t="shared" si="79"/>
        <v>0.80982329060726688</v>
      </c>
      <c r="BF116" s="6">
        <f t="shared" si="80"/>
        <v>30.871432325560939</v>
      </c>
      <c r="BG116" s="6">
        <f t="shared" si="81"/>
        <v>0.80987329060726687</v>
      </c>
      <c r="BH116" s="6">
        <f t="shared" si="82"/>
        <v>3.4056752735115627E-3</v>
      </c>
      <c r="BI116" s="6">
        <f t="shared" si="83"/>
        <v>5.3323668194670947E-4</v>
      </c>
      <c r="BJ116" s="6">
        <f t="shared" si="84"/>
        <v>3.9389119554582722E-3</v>
      </c>
      <c r="BK116" s="6">
        <f t="shared" si="85"/>
        <v>2.1589250057802895E-6</v>
      </c>
      <c r="BL116" s="6">
        <f t="shared" si="86"/>
        <v>5.0021589250057808E-3</v>
      </c>
      <c r="BM116" s="6">
        <f t="shared" si="87"/>
        <v>4.6260586905629415</v>
      </c>
      <c r="BN116" s="6">
        <f t="shared" si="88"/>
        <v>4.6261086905629414</v>
      </c>
      <c r="BO116" s="6">
        <f t="shared" si="89"/>
        <v>8.6614157471195803</v>
      </c>
      <c r="BP116" s="6">
        <f t="shared" si="90"/>
        <v>901.06238759178791</v>
      </c>
      <c r="BQ116" s="6">
        <f t="shared" si="91"/>
        <v>905.63030759178787</v>
      </c>
    </row>
    <row r="117" spans="50:69" x14ac:dyDescent="0.2">
      <c r="AX117" s="6">
        <f t="shared" si="72"/>
        <v>4.9047757767459579E-2</v>
      </c>
      <c r="AY117" s="6">
        <f t="shared" si="73"/>
        <v>9.7117175609985982E-3</v>
      </c>
      <c r="AZ117" s="6">
        <f t="shared" si="74"/>
        <v>25.258961237155091</v>
      </c>
      <c r="BA117" s="6">
        <f t="shared" si="75"/>
        <v>0.99714266004048968</v>
      </c>
      <c r="BB117" s="6">
        <f t="shared" si="76"/>
        <v>3.4471165745382795</v>
      </c>
      <c r="BC117" s="6">
        <f t="shared" si="77"/>
        <v>0.68729975889548911</v>
      </c>
      <c r="BD117" s="6">
        <f t="shared" si="78"/>
        <v>25.251845237155091</v>
      </c>
      <c r="BE117" s="6">
        <f t="shared" si="79"/>
        <v>0.99002666004048967</v>
      </c>
      <c r="BF117" s="6">
        <f t="shared" si="80"/>
        <v>25.25234523715509</v>
      </c>
      <c r="BG117" s="6">
        <f t="shared" si="81"/>
        <v>0.99007666004048966</v>
      </c>
      <c r="BH117" s="6">
        <f t="shared" si="82"/>
        <v>3.3843622968058821E-3</v>
      </c>
      <c r="BI117" s="6">
        <f t="shared" si="83"/>
        <v>6.4780427617303733E-4</v>
      </c>
      <c r="BJ117" s="6">
        <f t="shared" si="84"/>
        <v>4.0321665729789197E-3</v>
      </c>
      <c r="BK117" s="6">
        <f t="shared" si="85"/>
        <v>2.0978370212863069E-6</v>
      </c>
      <c r="BL117" s="6">
        <f t="shared" si="86"/>
        <v>5.0020978370212861E-3</v>
      </c>
      <c r="BM117" s="6">
        <f t="shared" si="87"/>
        <v>4.5970920150191086</v>
      </c>
      <c r="BN117" s="6">
        <f t="shared" si="88"/>
        <v>4.5971420150191085</v>
      </c>
      <c r="BO117" s="6">
        <f t="shared" si="89"/>
        <v>8.7315583484528769</v>
      </c>
      <c r="BP117" s="6">
        <f t="shared" si="90"/>
        <v>815.87432090095274</v>
      </c>
      <c r="BQ117" s="6">
        <f t="shared" si="91"/>
        <v>820.4422409009527</v>
      </c>
    </row>
    <row r="121" spans="50:69" x14ac:dyDescent="0.2">
      <c r="AX121" s="6">
        <f t="shared" ref="AX121:AX135" si="92">SQRT(0.0025*(COS(RADIANS(H25))^2))</f>
        <v>4.9940306867071703E-2</v>
      </c>
      <c r="AY121" s="6">
        <f t="shared" ref="AY121:AY135" si="93">SQRT(0.0025*(SIN(RADIANS(H25))^2))</f>
        <v>2.4424884897806627E-3</v>
      </c>
      <c r="AZ121" s="6">
        <f t="shared" ref="AZ121:AZ135" si="94">0.007116+ABS((AX121/SIN(RADIANS(H25)))*100)</f>
        <v>102.23954631854856</v>
      </c>
      <c r="BA121" s="6">
        <f t="shared" ref="BA121:BA135" si="95">0.007116+ABS((AY121/COS(RADIANS(H25)))*100)</f>
        <v>0.25165679710422495</v>
      </c>
      <c r="BB121" s="6">
        <f t="shared" ref="BB121:BB135" si="96">ABS((AZ121/100)*$B$50*SIN(RADIANS(H25)))+0.00005</f>
        <v>3.5091001947526652</v>
      </c>
      <c r="BC121" s="6">
        <f t="shared" ref="BC121:BC135" si="97">ABS((BA121/100)*$B$50*COS(RADIANS(H25)))+0.00005</f>
        <v>0.17665297393494517</v>
      </c>
      <c r="BD121" s="6">
        <f t="shared" ref="BD121:BD135" si="98">ABS((AX121/SIN(RADIANS(H25)))*100)</f>
        <v>102.23243031854857</v>
      </c>
      <c r="BE121" s="6">
        <f t="shared" ref="BE121:BE135" si="99">ABS((AY121/COS(RADIANS(H25)))*100)</f>
        <v>0.24454079710422494</v>
      </c>
      <c r="BF121" s="6">
        <f t="shared" ref="BF121:BF135" si="100">BD121+0.0005</f>
        <v>102.23293031854857</v>
      </c>
      <c r="BG121" s="6">
        <f t="shared" ref="BG121:BG135" si="101">BE121+0.00005</f>
        <v>0.24459079710422493</v>
      </c>
      <c r="BH121" s="6">
        <f t="shared" ref="BH121:BH135" si="102">ABS((BF121/100)*SIN(RADIANS(H25))*$B$52)</f>
        <v>3.4458980269985273E-3</v>
      </c>
      <c r="BI121" s="6">
        <f t="shared" ref="BI121:BI135" si="103">ABS((BG121/100)*COS(RADIANS(H25))*$B$51)</f>
        <v>1.6294729245305053E-4</v>
      </c>
      <c r="BJ121" s="6">
        <f t="shared" ref="BJ121:BJ135" si="104">BH121+BI121</f>
        <v>3.6088453194515779E-3</v>
      </c>
      <c r="BK121" s="6">
        <f t="shared" ref="BK121:BK135" si="105">ABS((BJ121/100)*($B$52*SIN(RADIANS(H25))+$B$51*COS(RADIANS(H25))))</f>
        <v>2.5258670530014222E-6</v>
      </c>
      <c r="BL121" s="6">
        <f t="shared" ref="BL121:BL135" si="106">BK121+0.005</f>
        <v>5.0025258670530013E-3</v>
      </c>
      <c r="BM121" s="6">
        <f t="shared" ref="BM121:BM135" si="107">ABS((BL121/100)*($B$52*SIN(RADIANS(H25)))+ABS($B$51*COS(RADIANS(H25)))*$B$50)</f>
        <v>4.6807469826640871</v>
      </c>
      <c r="BN121" s="6">
        <f t="shared" ref="BN121:BN135" si="108">0.00005+BM121</f>
        <v>4.6807969826640869</v>
      </c>
      <c r="BO121" s="6">
        <f t="shared" ref="BO121:BO135" si="109">BB121+BC121+BN121</f>
        <v>8.3665501513516976</v>
      </c>
      <c r="BP121" s="6">
        <f t="shared" ref="BP121:BP135" si="110">ABS((BO121/O25)*100)</f>
        <v>736.71138135893057</v>
      </c>
      <c r="BQ121" s="6">
        <f t="shared" ref="BQ121:BQ135" si="111">BP121+2*2+0.04082+0.3906+0.1365</f>
        <v>741.27930135893052</v>
      </c>
    </row>
    <row r="122" spans="50:69" x14ac:dyDescent="0.2">
      <c r="AX122" s="6">
        <f t="shared" si="92"/>
        <v>4.9995126200465215E-2</v>
      </c>
      <c r="AY122" s="6">
        <f t="shared" si="93"/>
        <v>6.9810901695726343E-4</v>
      </c>
      <c r="AZ122" s="6">
        <f t="shared" si="94"/>
        <v>358.08246659761159</v>
      </c>
      <c r="BA122" s="6">
        <f t="shared" si="95"/>
        <v>7.6933707245908242E-2</v>
      </c>
      <c r="BB122" s="6">
        <f t="shared" si="96"/>
        <v>3.5127773735800671</v>
      </c>
      <c r="BC122" s="6">
        <f t="shared" si="97"/>
        <v>5.4098353780550688E-2</v>
      </c>
      <c r="BD122" s="6">
        <f t="shared" si="98"/>
        <v>358.07535059761159</v>
      </c>
      <c r="BE122" s="6">
        <f t="shared" si="99"/>
        <v>6.9817707245908245E-2</v>
      </c>
      <c r="BF122" s="6">
        <f t="shared" si="100"/>
        <v>358.07585059761158</v>
      </c>
      <c r="BG122" s="6">
        <f t="shared" si="101"/>
        <v>6.9867707245908239E-2</v>
      </c>
      <c r="BH122" s="6">
        <f t="shared" si="102"/>
        <v>3.4496685247843166E-3</v>
      </c>
      <c r="BI122" s="6">
        <f t="shared" si="103"/>
        <v>4.6597218180225176E-5</v>
      </c>
      <c r="BJ122" s="6">
        <f t="shared" si="104"/>
        <v>3.4962657429645416E-3</v>
      </c>
      <c r="BK122" s="6">
        <f t="shared" si="105"/>
        <v>2.3654646256889634E-6</v>
      </c>
      <c r="BL122" s="6">
        <f t="shared" si="106"/>
        <v>5.0023654646256894E-3</v>
      </c>
      <c r="BM122" s="6">
        <f t="shared" si="107"/>
        <v>4.6858851459785003</v>
      </c>
      <c r="BN122" s="6">
        <f t="shared" si="108"/>
        <v>4.6859351459785001</v>
      </c>
      <c r="BO122" s="6">
        <f t="shared" si="109"/>
        <v>8.2528108733391186</v>
      </c>
      <c r="BP122" s="6">
        <f t="shared" si="110"/>
        <v>925.24538635593194</v>
      </c>
      <c r="BQ122" s="6">
        <f t="shared" si="111"/>
        <v>929.8133063559319</v>
      </c>
    </row>
    <row r="123" spans="50:69" x14ac:dyDescent="0.2">
      <c r="AX123" s="6">
        <f t="shared" si="92"/>
        <v>4.9989034173742272E-2</v>
      </c>
      <c r="AY123" s="6">
        <f t="shared" si="93"/>
        <v>1.047120994167848E-3</v>
      </c>
      <c r="AZ123" s="6">
        <f t="shared" si="94"/>
        <v>238.70462303197766</v>
      </c>
      <c r="BA123" s="6">
        <f t="shared" si="95"/>
        <v>0.11185106954829993</v>
      </c>
      <c r="BB123" s="6">
        <f t="shared" si="96"/>
        <v>3.512384246897331</v>
      </c>
      <c r="BC123" s="6">
        <f t="shared" si="97"/>
        <v>7.8619326133051268E-2</v>
      </c>
      <c r="BD123" s="6">
        <f t="shared" si="98"/>
        <v>238.69750703197766</v>
      </c>
      <c r="BE123" s="6">
        <f t="shared" si="99"/>
        <v>0.10473506954829993</v>
      </c>
      <c r="BF123" s="6">
        <f t="shared" si="100"/>
        <v>238.69800703197765</v>
      </c>
      <c r="BG123" s="6">
        <f t="shared" si="101"/>
        <v>0.10478506954829993</v>
      </c>
      <c r="BH123" s="6">
        <f t="shared" si="102"/>
        <v>3.4492505831230768E-3</v>
      </c>
      <c r="BI123" s="6">
        <f t="shared" si="103"/>
        <v>6.9876312996789328E-5</v>
      </c>
      <c r="BJ123" s="6">
        <f t="shared" si="104"/>
        <v>3.5191268961198663E-3</v>
      </c>
      <c r="BK123" s="6">
        <f t="shared" si="105"/>
        <v>2.2958905144966303E-6</v>
      </c>
      <c r="BL123" s="6">
        <f t="shared" si="106"/>
        <v>5.0022958905144967E-3</v>
      </c>
      <c r="BM123" s="6">
        <f t="shared" si="107"/>
        <v>4.6853142800413989</v>
      </c>
      <c r="BN123" s="6">
        <f t="shared" si="108"/>
        <v>4.6853642800413988</v>
      </c>
      <c r="BO123" s="6">
        <f t="shared" si="109"/>
        <v>8.2763678530717808</v>
      </c>
      <c r="BP123" s="6">
        <f t="shared" si="110"/>
        <v>1288.3428367351401</v>
      </c>
      <c r="BQ123" s="6">
        <f t="shared" si="111"/>
        <v>1292.91075673514</v>
      </c>
    </row>
    <row r="124" spans="50:69" x14ac:dyDescent="0.2">
      <c r="AX124" s="6">
        <f t="shared" si="92"/>
        <v>4.9922038209099052E-2</v>
      </c>
      <c r="AY124" s="6">
        <f t="shared" si="93"/>
        <v>2.79107524965819E-3</v>
      </c>
      <c r="AZ124" s="6">
        <f t="shared" si="94"/>
        <v>89.43866789959992</v>
      </c>
      <c r="BA124" s="6">
        <f t="shared" si="95"/>
        <v>0.28665939904630278</v>
      </c>
      <c r="BB124" s="6">
        <f t="shared" si="96"/>
        <v>3.507851495439128</v>
      </c>
      <c r="BC124" s="6">
        <f t="shared" si="97"/>
        <v>0.20114285292717032</v>
      </c>
      <c r="BD124" s="6">
        <f t="shared" si="98"/>
        <v>89.431551899599924</v>
      </c>
      <c r="BE124" s="6">
        <f t="shared" si="99"/>
        <v>0.27954339904630277</v>
      </c>
      <c r="BF124" s="6">
        <f t="shared" si="100"/>
        <v>89.432051899599927</v>
      </c>
      <c r="BG124" s="6">
        <f t="shared" si="101"/>
        <v>0.27959339904630276</v>
      </c>
      <c r="BH124" s="6">
        <f t="shared" si="102"/>
        <v>3.4446398948470578E-3</v>
      </c>
      <c r="BI124" s="6">
        <f t="shared" si="103"/>
        <v>1.8619801715168672E-4</v>
      </c>
      <c r="BJ124" s="6">
        <f t="shared" si="104"/>
        <v>3.6308379119987444E-3</v>
      </c>
      <c r="BK124" s="6">
        <f t="shared" si="105"/>
        <v>2.2781443812336509E-6</v>
      </c>
      <c r="BL124" s="6">
        <f t="shared" si="106"/>
        <v>5.0022781443812342E-3</v>
      </c>
      <c r="BM124" s="6">
        <f t="shared" si="107"/>
        <v>4.6790350803700518</v>
      </c>
      <c r="BN124" s="6">
        <f t="shared" si="108"/>
        <v>4.6790850803700517</v>
      </c>
      <c r="BO124" s="6">
        <f t="shared" si="109"/>
        <v>8.3880794287363507</v>
      </c>
      <c r="BP124" s="6">
        <f t="shared" si="110"/>
        <v>1861.1197217807471</v>
      </c>
      <c r="BQ124" s="6">
        <f t="shared" si="111"/>
        <v>1865.6876417807471</v>
      </c>
    </row>
    <row r="125" spans="50:69" x14ac:dyDescent="0.2">
      <c r="AX125" s="6">
        <f t="shared" si="92"/>
        <v>4.9794219930798515E-2</v>
      </c>
      <c r="AY125" s="6">
        <f t="shared" si="93"/>
        <v>4.5316290098890077E-3</v>
      </c>
      <c r="AZ125" s="6">
        <f t="shared" si="94"/>
        <v>54.947866690465418</v>
      </c>
      <c r="BA125" s="6">
        <f t="shared" si="95"/>
        <v>0.46215164632469757</v>
      </c>
      <c r="BB125" s="6">
        <f t="shared" si="96"/>
        <v>3.4990450281941317</v>
      </c>
      <c r="BC125" s="6">
        <f t="shared" si="97"/>
        <v>0.32342137905597701</v>
      </c>
      <c r="BD125" s="6">
        <f t="shared" si="98"/>
        <v>54.940750690465414</v>
      </c>
      <c r="BE125" s="6">
        <f t="shared" si="99"/>
        <v>0.45503564632469756</v>
      </c>
      <c r="BF125" s="6">
        <f t="shared" si="100"/>
        <v>54.941250690465417</v>
      </c>
      <c r="BG125" s="6">
        <f t="shared" si="101"/>
        <v>0.45508564632469756</v>
      </c>
      <c r="BH125" s="6">
        <f t="shared" si="102"/>
        <v>3.4358324434652665E-3</v>
      </c>
      <c r="BI125" s="6">
        <f t="shared" si="103"/>
        <v>3.0229286770429059E-4</v>
      </c>
      <c r="BJ125" s="6">
        <f t="shared" si="104"/>
        <v>3.7381253111695573E-3</v>
      </c>
      <c r="BK125" s="6">
        <f t="shared" si="105"/>
        <v>2.2492988318520998E-6</v>
      </c>
      <c r="BL125" s="6">
        <f t="shared" si="106"/>
        <v>5.0022492988318519E-3</v>
      </c>
      <c r="BM125" s="6">
        <f t="shared" si="107"/>
        <v>4.6670551972018295</v>
      </c>
      <c r="BN125" s="6">
        <f t="shared" si="108"/>
        <v>4.6671051972018294</v>
      </c>
      <c r="BO125" s="6">
        <f t="shared" si="109"/>
        <v>8.4895716044519389</v>
      </c>
      <c r="BP125" s="6">
        <f t="shared" si="110"/>
        <v>3255.855556268999</v>
      </c>
      <c r="BQ125" s="6">
        <f t="shared" si="111"/>
        <v>3260.4234762689994</v>
      </c>
    </row>
    <row r="126" spans="50:69" x14ac:dyDescent="0.2">
      <c r="AX126" s="6">
        <f t="shared" si="92"/>
        <v>4.9605735065723897E-2</v>
      </c>
      <c r="AY126" s="6">
        <f t="shared" si="93"/>
        <v>6.2666616782152129E-3</v>
      </c>
      <c r="AZ126" s="6">
        <f t="shared" si="94"/>
        <v>39.586191441529138</v>
      </c>
      <c r="BA126" s="6">
        <f t="shared" si="95"/>
        <v>0.63876289223054084</v>
      </c>
      <c r="BB126" s="6">
        <f t="shared" si="96"/>
        <v>3.485975574486146</v>
      </c>
      <c r="BC126" s="6">
        <f t="shared" si="97"/>
        <v>0.4453059269709464</v>
      </c>
      <c r="BD126" s="6">
        <f t="shared" si="98"/>
        <v>39.579075441529135</v>
      </c>
      <c r="BE126" s="6">
        <f t="shared" si="99"/>
        <v>0.63164689223054082</v>
      </c>
      <c r="BF126" s="6">
        <f t="shared" si="100"/>
        <v>39.579575441529137</v>
      </c>
      <c r="BG126" s="6">
        <f t="shared" si="101"/>
        <v>0.63169689223054082</v>
      </c>
      <c r="BH126" s="6">
        <f t="shared" si="102"/>
        <v>3.422838959500529E-3</v>
      </c>
      <c r="BI126" s="6">
        <f t="shared" si="103"/>
        <v>4.1801942096224347E-4</v>
      </c>
      <c r="BJ126" s="6">
        <f t="shared" si="104"/>
        <v>3.8408583804627723E-3</v>
      </c>
      <c r="BK126" s="6">
        <f t="shared" si="105"/>
        <v>2.2094943989690197E-6</v>
      </c>
      <c r="BL126" s="6">
        <f t="shared" si="106"/>
        <v>5.0022094943989693E-3</v>
      </c>
      <c r="BM126" s="6">
        <f t="shared" si="107"/>
        <v>4.6493892261782257</v>
      </c>
      <c r="BN126" s="6">
        <f t="shared" si="108"/>
        <v>4.6494392261782256</v>
      </c>
      <c r="BO126" s="6">
        <f t="shared" si="109"/>
        <v>8.5807207276353186</v>
      </c>
      <c r="BP126" s="6">
        <f t="shared" si="110"/>
        <v>7735.4778982205289</v>
      </c>
      <c r="BQ126" s="6">
        <f t="shared" si="111"/>
        <v>7740.0458182205284</v>
      </c>
    </row>
    <row r="127" spans="50:69" x14ac:dyDescent="0.2">
      <c r="AX127" s="6">
        <f t="shared" si="92"/>
        <v>4.9356813253649399E-2</v>
      </c>
      <c r="AY127" s="6">
        <f t="shared" si="93"/>
        <v>7.9940593845917434E-3</v>
      </c>
      <c r="AZ127" s="6">
        <f t="shared" si="94"/>
        <v>30.87804832556094</v>
      </c>
      <c r="BA127" s="6">
        <f t="shared" si="95"/>
        <v>0.81693929060726689</v>
      </c>
      <c r="BB127" s="6">
        <f t="shared" si="96"/>
        <v>3.4686590574313199</v>
      </c>
      <c r="BC127" s="6">
        <f t="shared" si="97"/>
        <v>0.56664799912531938</v>
      </c>
      <c r="BD127" s="6">
        <f t="shared" si="98"/>
        <v>30.87093232556094</v>
      </c>
      <c r="BE127" s="6">
        <f t="shared" si="99"/>
        <v>0.80982329060726688</v>
      </c>
      <c r="BF127" s="6">
        <f t="shared" si="100"/>
        <v>30.871432325560939</v>
      </c>
      <c r="BG127" s="6">
        <f t="shared" si="101"/>
        <v>0.80987329060726687</v>
      </c>
      <c r="BH127" s="6">
        <f t="shared" si="102"/>
        <v>3.4056752735115627E-3</v>
      </c>
      <c r="BI127" s="6">
        <f t="shared" si="103"/>
        <v>5.3323668194670947E-4</v>
      </c>
      <c r="BJ127" s="6">
        <f t="shared" si="104"/>
        <v>3.9389119554582722E-3</v>
      </c>
      <c r="BK127" s="6">
        <f t="shared" si="105"/>
        <v>2.1589250057802895E-6</v>
      </c>
      <c r="BL127" s="6">
        <f t="shared" si="106"/>
        <v>5.0021589250057808E-3</v>
      </c>
      <c r="BM127" s="6">
        <f t="shared" si="107"/>
        <v>4.6260586905629415</v>
      </c>
      <c r="BN127" s="6">
        <f t="shared" si="108"/>
        <v>4.6261086905629414</v>
      </c>
      <c r="BO127" s="6">
        <f t="shared" si="109"/>
        <v>8.6614157471195803</v>
      </c>
      <c r="BP127" s="6">
        <f t="shared" si="110"/>
        <v>5944.4736035286951</v>
      </c>
      <c r="BQ127" s="6">
        <f t="shared" si="111"/>
        <v>5949.0415235286946</v>
      </c>
    </row>
    <row r="128" spans="50:69" x14ac:dyDescent="0.2">
      <c r="AX128" s="6">
        <f t="shared" si="92"/>
        <v>4.9209780398462091E-2</v>
      </c>
      <c r="AY128" s="6">
        <f t="shared" si="93"/>
        <v>8.8542370159791651E-3</v>
      </c>
      <c r="AZ128" s="6">
        <f t="shared" si="94"/>
        <v>27.795947668755666</v>
      </c>
      <c r="BA128" s="6">
        <f t="shared" si="95"/>
        <v>0.90675799639629739</v>
      </c>
      <c r="BB128" s="6">
        <f t="shared" si="96"/>
        <v>3.4584145416554586</v>
      </c>
      <c r="BC128" s="6">
        <f t="shared" si="97"/>
        <v>0.62706937709857291</v>
      </c>
      <c r="BD128" s="6">
        <f t="shared" si="98"/>
        <v>27.788831668755666</v>
      </c>
      <c r="BE128" s="6">
        <f t="shared" si="99"/>
        <v>0.89964199639629738</v>
      </c>
      <c r="BF128" s="6">
        <f t="shared" si="100"/>
        <v>27.789331668755665</v>
      </c>
      <c r="BG128" s="6">
        <f t="shared" si="101"/>
        <v>0.89969199639629738</v>
      </c>
      <c r="BH128" s="6">
        <f t="shared" si="102"/>
        <v>3.3955359417292947E-3</v>
      </c>
      <c r="BI128" s="6">
        <f t="shared" si="103"/>
        <v>5.9061043188933602E-4</v>
      </c>
      <c r="BJ128" s="6">
        <f t="shared" si="104"/>
        <v>3.9861463736186303E-3</v>
      </c>
      <c r="BK128" s="6">
        <f t="shared" si="105"/>
        <v>2.1296784218173386E-6</v>
      </c>
      <c r="BL128" s="6">
        <f t="shared" si="106"/>
        <v>5.0021296784218171E-3</v>
      </c>
      <c r="BM128" s="6">
        <f t="shared" si="107"/>
        <v>4.6122778250443695</v>
      </c>
      <c r="BN128" s="6">
        <f t="shared" si="108"/>
        <v>4.6123278250443693</v>
      </c>
      <c r="BO128" s="6">
        <f t="shared" si="109"/>
        <v>8.6978117437984004</v>
      </c>
      <c r="BP128" s="6">
        <f t="shared" si="110"/>
        <v>3517.129590945216</v>
      </c>
      <c r="BQ128" s="6">
        <f t="shared" si="111"/>
        <v>3521.6975109452164</v>
      </c>
    </row>
    <row r="129" spans="50:69" x14ac:dyDescent="0.2">
      <c r="AX129" s="6">
        <f t="shared" si="92"/>
        <v>4.9047757767459579E-2</v>
      </c>
      <c r="AY129" s="6">
        <f t="shared" si="93"/>
        <v>9.7117175609985982E-3</v>
      </c>
      <c r="AZ129" s="6">
        <f t="shared" si="94"/>
        <v>25.258961237155091</v>
      </c>
      <c r="BA129" s="6">
        <f t="shared" si="95"/>
        <v>0.99714266004048968</v>
      </c>
      <c r="BB129" s="6">
        <f t="shared" si="96"/>
        <v>3.4471165745382795</v>
      </c>
      <c r="BC129" s="6">
        <f t="shared" si="97"/>
        <v>0.68729975889548911</v>
      </c>
      <c r="BD129" s="6">
        <f t="shared" si="98"/>
        <v>25.251845237155091</v>
      </c>
      <c r="BE129" s="6">
        <f t="shared" si="99"/>
        <v>0.99002666004048967</v>
      </c>
      <c r="BF129" s="6">
        <f t="shared" si="100"/>
        <v>25.25234523715509</v>
      </c>
      <c r="BG129" s="6">
        <f t="shared" si="101"/>
        <v>0.99007666004048966</v>
      </c>
      <c r="BH129" s="6">
        <f t="shared" si="102"/>
        <v>3.3843622968058821E-3</v>
      </c>
      <c r="BI129" s="6">
        <f t="shared" si="103"/>
        <v>6.4780427617303733E-4</v>
      </c>
      <c r="BJ129" s="6">
        <f t="shared" si="104"/>
        <v>4.0321665729789197E-3</v>
      </c>
      <c r="BK129" s="6">
        <f t="shared" si="105"/>
        <v>2.0978370212863069E-6</v>
      </c>
      <c r="BL129" s="6">
        <f t="shared" si="106"/>
        <v>5.0020978370212861E-3</v>
      </c>
      <c r="BM129" s="6">
        <f t="shared" si="107"/>
        <v>4.5970920150191086</v>
      </c>
      <c r="BN129" s="6">
        <f t="shared" si="108"/>
        <v>4.5971420150191085</v>
      </c>
      <c r="BO129" s="6">
        <f t="shared" si="109"/>
        <v>8.7315583484528769</v>
      </c>
      <c r="BP129" s="6">
        <f t="shared" si="110"/>
        <v>2315.3799875364816</v>
      </c>
      <c r="BQ129" s="6">
        <f t="shared" si="111"/>
        <v>2319.947907536482</v>
      </c>
    </row>
    <row r="130" spans="50:69" x14ac:dyDescent="0.2">
      <c r="AX130" s="6">
        <f t="shared" si="92"/>
        <v>4.8870794714304791E-2</v>
      </c>
      <c r="AY130" s="6">
        <f t="shared" si="93"/>
        <v>1.0566239822769432E-2</v>
      </c>
      <c r="AZ130" s="6">
        <f t="shared" si="94"/>
        <v>23.133031904819799</v>
      </c>
      <c r="BA130" s="6">
        <f t="shared" si="95"/>
        <v>1.0881542647283435</v>
      </c>
      <c r="BB130" s="6">
        <f t="shared" si="96"/>
        <v>3.4347685975500122</v>
      </c>
      <c r="BC130" s="6">
        <f t="shared" si="97"/>
        <v>0.74732079775830795</v>
      </c>
      <c r="BD130" s="6">
        <f t="shared" si="98"/>
        <v>23.125915904819799</v>
      </c>
      <c r="BE130" s="6">
        <f t="shared" si="99"/>
        <v>1.0810382647283436</v>
      </c>
      <c r="BF130" s="6">
        <f t="shared" si="100"/>
        <v>23.126415904819797</v>
      </c>
      <c r="BG130" s="6">
        <f t="shared" si="101"/>
        <v>1.0810882647283437</v>
      </c>
      <c r="BH130" s="6">
        <f t="shared" si="102"/>
        <v>3.372157742341808E-3</v>
      </c>
      <c r="BI130" s="6">
        <f t="shared" si="103"/>
        <v>7.0480079299879564E-4</v>
      </c>
      <c r="BJ130" s="6">
        <f t="shared" si="104"/>
        <v>4.0769585353406038E-3</v>
      </c>
      <c r="BK130" s="6">
        <f t="shared" si="105"/>
        <v>2.0634395980289476E-6</v>
      </c>
      <c r="BL130" s="6">
        <f t="shared" si="106"/>
        <v>5.0020634395980292E-3</v>
      </c>
      <c r="BM130" s="6">
        <f t="shared" si="107"/>
        <v>4.5805058862319168</v>
      </c>
      <c r="BN130" s="6">
        <f t="shared" si="108"/>
        <v>4.5805558862319167</v>
      </c>
      <c r="BO130" s="6">
        <f t="shared" si="109"/>
        <v>8.7626452815402374</v>
      </c>
      <c r="BP130" s="6">
        <f t="shared" si="110"/>
        <v>1844.2916155659343</v>
      </c>
      <c r="BQ130" s="6">
        <f t="shared" si="111"/>
        <v>1848.8595355659343</v>
      </c>
    </row>
    <row r="131" spans="50:69" x14ac:dyDescent="0.2">
      <c r="AX131" s="6">
        <f t="shared" si="92"/>
        <v>4.8678945143658017E-2</v>
      </c>
      <c r="AY131" s="6">
        <f t="shared" si="93"/>
        <v>1.1417543505532786E-2</v>
      </c>
      <c r="AZ131" s="6">
        <f t="shared" si="94"/>
        <v>21.324724783390607</v>
      </c>
      <c r="BA131" s="6">
        <f t="shared" si="95"/>
        <v>1.1798554124747467</v>
      </c>
      <c r="BB131" s="6">
        <f t="shared" si="96"/>
        <v>3.4213743720040664</v>
      </c>
      <c r="BC131" s="6">
        <f t="shared" si="97"/>
        <v>0.80711421069715472</v>
      </c>
      <c r="BD131" s="6">
        <f t="shared" si="98"/>
        <v>21.317608783390607</v>
      </c>
      <c r="BE131" s="6">
        <f t="shared" si="99"/>
        <v>1.1727394124747468</v>
      </c>
      <c r="BF131" s="6">
        <f t="shared" si="100"/>
        <v>21.318108783390606</v>
      </c>
      <c r="BG131" s="6">
        <f t="shared" si="101"/>
        <v>1.1727894124747469</v>
      </c>
      <c r="BH131" s="6">
        <f t="shared" si="102"/>
        <v>3.3589259959625919E-3</v>
      </c>
      <c r="BI131" s="6">
        <f t="shared" si="103"/>
        <v>7.6158262067544758E-4</v>
      </c>
      <c r="BJ131" s="6">
        <f t="shared" si="104"/>
        <v>4.1205086166380394E-3</v>
      </c>
      <c r="BK131" s="6">
        <f t="shared" si="105"/>
        <v>2.0265280600069848E-6</v>
      </c>
      <c r="BL131" s="6">
        <f t="shared" si="106"/>
        <v>5.0020265280600069E-3</v>
      </c>
      <c r="BM131" s="6">
        <f t="shared" si="107"/>
        <v>4.5625244909782179</v>
      </c>
      <c r="BN131" s="6">
        <f t="shared" si="108"/>
        <v>4.5625744909782178</v>
      </c>
      <c r="BO131" s="6">
        <f t="shared" si="109"/>
        <v>8.7910630736794388</v>
      </c>
      <c r="BP131" s="6">
        <f t="shared" si="110"/>
        <v>1067.3434496492307</v>
      </c>
      <c r="BQ131" s="6">
        <f t="shared" si="111"/>
        <v>1071.9113696492307</v>
      </c>
    </row>
    <row r="132" spans="50:69" x14ac:dyDescent="0.2">
      <c r="AX132" s="6">
        <f t="shared" si="92"/>
        <v>4.8472267494756943E-2</v>
      </c>
      <c r="AY132" s="6">
        <f t="shared" si="93"/>
        <v>1.2265369293940127E-2</v>
      </c>
      <c r="AZ132" s="6">
        <f t="shared" si="94"/>
        <v>19.766923606732774</v>
      </c>
      <c r="BA132" s="6">
        <f t="shared" si="95"/>
        <v>1.2723105048028569</v>
      </c>
      <c r="BB132" s="6">
        <f t="shared" si="96"/>
        <v>3.4069379779112934</v>
      </c>
      <c r="BC132" s="6">
        <f t="shared" si="97"/>
        <v>0.86666178405921657</v>
      </c>
      <c r="BD132" s="6">
        <f t="shared" si="98"/>
        <v>19.759807606732775</v>
      </c>
      <c r="BE132" s="6">
        <f t="shared" si="99"/>
        <v>1.265194504802857</v>
      </c>
      <c r="BF132" s="6">
        <f t="shared" si="100"/>
        <v>19.760307606732773</v>
      </c>
      <c r="BG132" s="6">
        <f t="shared" si="101"/>
        <v>1.2652445048028571</v>
      </c>
      <c r="BH132" s="6">
        <f t="shared" si="102"/>
        <v>3.3446710881863575E-3</v>
      </c>
      <c r="BI132" s="6">
        <f t="shared" si="103"/>
        <v>8.1813246290822548E-4</v>
      </c>
      <c r="BJ132" s="6">
        <f t="shared" si="104"/>
        <v>4.1628035510945828E-3</v>
      </c>
      <c r="BK132" s="6">
        <f t="shared" si="105"/>
        <v>1.9871473782437089E-6</v>
      </c>
      <c r="BL132" s="6">
        <f t="shared" si="106"/>
        <v>5.0019871473782436E-3</v>
      </c>
      <c r="BM132" s="6">
        <f t="shared" si="107"/>
        <v>4.5431533065651148</v>
      </c>
      <c r="BN132" s="6">
        <f t="shared" si="108"/>
        <v>4.5432033065651147</v>
      </c>
      <c r="BO132" s="6">
        <f t="shared" si="109"/>
        <v>8.8168030685356236</v>
      </c>
      <c r="BP132" s="6">
        <f t="shared" si="110"/>
        <v>980.03592288639504</v>
      </c>
      <c r="BQ132" s="6">
        <f t="shared" si="111"/>
        <v>984.603842886395</v>
      </c>
    </row>
    <row r="133" spans="50:69" x14ac:dyDescent="0.2">
      <c r="AX133" s="6">
        <f t="shared" si="92"/>
        <v>4.8250824723615568E-2</v>
      </c>
      <c r="AY133" s="6">
        <f t="shared" si="93"/>
        <v>1.3109458932043237E-2</v>
      </c>
      <c r="AZ133" s="6">
        <f t="shared" si="94"/>
        <v>18.41017327861768</v>
      </c>
      <c r="BA133" s="6">
        <f t="shared" si="95"/>
        <v>1.3655859336369092</v>
      </c>
      <c r="BB133" s="6">
        <f t="shared" si="96"/>
        <v>3.3914638127371837</v>
      </c>
      <c r="BC133" s="6">
        <f t="shared" si="97"/>
        <v>0.92594537907679741</v>
      </c>
      <c r="BD133" s="6">
        <f t="shared" si="98"/>
        <v>18.40305727861768</v>
      </c>
      <c r="BE133" s="6">
        <f t="shared" si="99"/>
        <v>1.3584699336369093</v>
      </c>
      <c r="BF133" s="6">
        <f t="shared" si="100"/>
        <v>18.403557278617679</v>
      </c>
      <c r="BG133" s="6">
        <f t="shared" si="101"/>
        <v>1.3585199336369094</v>
      </c>
      <c r="BH133" s="6">
        <f t="shared" si="102"/>
        <v>3.3293973611961056E-3</v>
      </c>
      <c r="BI133" s="6">
        <f t="shared" si="103"/>
        <v>8.7443309406737453E-4</v>
      </c>
      <c r="BJ133" s="6">
        <f t="shared" si="104"/>
        <v>4.2038304552634801E-3</v>
      </c>
      <c r="BK133" s="6">
        <f t="shared" si="105"/>
        <v>1.9453455320337215E-6</v>
      </c>
      <c r="BL133" s="6">
        <f t="shared" si="106"/>
        <v>5.0019453455320342E-3</v>
      </c>
      <c r="BM133" s="6">
        <f t="shared" si="107"/>
        <v>4.5223982336429609</v>
      </c>
      <c r="BN133" s="6">
        <f t="shared" si="108"/>
        <v>4.5224482336429608</v>
      </c>
      <c r="BO133" s="6">
        <f t="shared" si="109"/>
        <v>8.8398574254569411</v>
      </c>
      <c r="BP133" s="6">
        <f t="shared" si="110"/>
        <v>997.71467814694222</v>
      </c>
      <c r="BQ133" s="6">
        <f t="shared" si="111"/>
        <v>1002.2825981469422</v>
      </c>
    </row>
    <row r="134" spans="50:69" x14ac:dyDescent="0.2">
      <c r="AX134" s="6">
        <f t="shared" si="92"/>
        <v>4.8014684283847156E-2</v>
      </c>
      <c r="AY134" s="6">
        <f t="shared" si="93"/>
        <v>1.3949555301961465E-2</v>
      </c>
      <c r="AZ134" s="6">
        <f t="shared" si="94"/>
        <v>17.217228883346092</v>
      </c>
      <c r="BA134" s="6">
        <f t="shared" si="95"/>
        <v>1.4597502836595824</v>
      </c>
      <c r="BB134" s="6">
        <f t="shared" si="96"/>
        <v>3.374956590062351</v>
      </c>
      <c r="BC134" s="6">
        <f t="shared" si="97"/>
        <v>0.98494693739256145</v>
      </c>
      <c r="BD134" s="6">
        <f t="shared" si="98"/>
        <v>17.210112883346092</v>
      </c>
      <c r="BE134" s="6">
        <f t="shared" si="99"/>
        <v>1.4526342836595825</v>
      </c>
      <c r="BF134" s="6">
        <f t="shared" si="100"/>
        <v>17.210612883346091</v>
      </c>
      <c r="BG134" s="6">
        <f t="shared" si="101"/>
        <v>1.4526842836595826</v>
      </c>
      <c r="BH134" s="6">
        <f t="shared" si="102"/>
        <v>3.3131094675170371E-3</v>
      </c>
      <c r="BI134" s="6">
        <f t="shared" si="103"/>
        <v>9.3046736443524699E-4</v>
      </c>
      <c r="BJ134" s="6">
        <f t="shared" si="104"/>
        <v>4.2435768319522837E-3</v>
      </c>
      <c r="BK134" s="6">
        <f t="shared" si="105"/>
        <v>1.9011734504875493E-6</v>
      </c>
      <c r="BL134" s="6">
        <f t="shared" si="106"/>
        <v>5.0019011734504879E-3</v>
      </c>
      <c r="BM134" s="6">
        <f t="shared" si="107"/>
        <v>4.5002655944079564</v>
      </c>
      <c r="BN134" s="6">
        <f t="shared" si="108"/>
        <v>4.5003155944079563</v>
      </c>
      <c r="BO134" s="6">
        <f t="shared" si="109"/>
        <v>8.860219121862869</v>
      </c>
      <c r="BP134" s="6">
        <f t="shared" si="110"/>
        <v>566.78322389280083</v>
      </c>
      <c r="BQ134" s="6">
        <f t="shared" si="111"/>
        <v>571.35114389280079</v>
      </c>
    </row>
    <row r="135" spans="50:69" x14ac:dyDescent="0.2">
      <c r="AX135" s="6">
        <f t="shared" si="92"/>
        <v>4.776391810611718E-2</v>
      </c>
      <c r="AY135" s="6">
        <f t="shared" si="93"/>
        <v>1.4785402502202333E-2</v>
      </c>
      <c r="AZ135" s="6">
        <f t="shared" si="94"/>
        <v>16.159506203446469</v>
      </c>
      <c r="BA135" s="6">
        <f t="shared" si="95"/>
        <v>1.5548745475037431</v>
      </c>
      <c r="BB135" s="6">
        <f t="shared" si="96"/>
        <v>3.357421338146731</v>
      </c>
      <c r="BC135" s="6">
        <f t="shared" si="97"/>
        <v>1.0436484865602844</v>
      </c>
      <c r="BD135" s="6">
        <f t="shared" si="98"/>
        <v>16.152390203446469</v>
      </c>
      <c r="BE135" s="6">
        <f t="shared" si="99"/>
        <v>1.5477585475037432</v>
      </c>
      <c r="BF135" s="6">
        <f t="shared" si="100"/>
        <v>16.152890203446468</v>
      </c>
      <c r="BG135" s="6">
        <f t="shared" si="101"/>
        <v>1.5478085475037433</v>
      </c>
      <c r="BH135" s="6">
        <f t="shared" si="102"/>
        <v>3.2958123685993502E-3</v>
      </c>
      <c r="BI135" s="6">
        <f t="shared" si="103"/>
        <v>9.8621820543027248E-4</v>
      </c>
      <c r="BJ135" s="6">
        <f t="shared" si="104"/>
        <v>4.2820305740296225E-3</v>
      </c>
      <c r="BK135" s="6">
        <f t="shared" si="105"/>
        <v>1.8546849504823669E-6</v>
      </c>
      <c r="BL135" s="6">
        <f t="shared" si="106"/>
        <v>5.0018546849504826E-3</v>
      </c>
      <c r="BM135" s="6">
        <f t="shared" si="107"/>
        <v>4.4767621306763479</v>
      </c>
      <c r="BN135" s="6">
        <f t="shared" si="108"/>
        <v>4.4768121306763478</v>
      </c>
      <c r="BO135" s="6">
        <f t="shared" si="109"/>
        <v>8.8778819553833621</v>
      </c>
      <c r="BP135" s="6">
        <f t="shared" si="110"/>
        <v>434.96400908002749</v>
      </c>
      <c r="BQ135" s="6">
        <f t="shared" si="111"/>
        <v>439.53192908002751</v>
      </c>
    </row>
  </sheetData>
  <mergeCells count="7">
    <mergeCell ref="AS18:AT18"/>
    <mergeCell ref="AG42:AP42"/>
    <mergeCell ref="AH1:AP1"/>
    <mergeCell ref="B49:D49"/>
    <mergeCell ref="Q1:S1"/>
    <mergeCell ref="U40:W40"/>
    <mergeCell ref="U1:AD1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B58C3E2E4CB943BBA5A34974EBA151" ma:contentTypeVersion="13" ma:contentTypeDescription="Create a new document." ma:contentTypeScope="" ma:versionID="386abcf7981096c58d90ac53a93836a0">
  <xsd:schema xmlns:xsd="http://www.w3.org/2001/XMLSchema" xmlns:xs="http://www.w3.org/2001/XMLSchema" xmlns:p="http://schemas.microsoft.com/office/2006/metadata/properties" xmlns:ns2="02ca3038-0f98-4252-bf64-cc1cc07597e0" xmlns:ns3="4059121e-d26c-48ea-81b3-9553f2c71daf" targetNamespace="http://schemas.microsoft.com/office/2006/metadata/properties" ma:root="true" ma:fieldsID="10afbe752ea15b6fb3ffd1127b1b3d4c" ns2:_="" ns3:_="">
    <xsd:import namespace="02ca3038-0f98-4252-bf64-cc1cc07597e0"/>
    <xsd:import namespace="4059121e-d26c-48ea-81b3-9553f2c71da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a3038-0f98-4252-bf64-cc1cc07597e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9121e-d26c-48ea-81b3-9553f2c71da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579c628-3ff1-4663-8582-e118fb964c1f}" ma:internalName="TaxCatchAll" ma:showField="CatchAllData" ma:web="4059121e-d26c-48ea-81b3-9553f2c71d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ca3038-0f98-4252-bf64-cc1cc07597e0">
      <Terms xmlns="http://schemas.microsoft.com/office/infopath/2007/PartnerControls"/>
    </lcf76f155ced4ddcb4097134ff3c332f>
    <TaxCatchAll xmlns="4059121e-d26c-48ea-81b3-9553f2c71daf" xsi:nil="true"/>
  </documentManagement>
</p:properties>
</file>

<file path=customXml/itemProps1.xml><?xml version="1.0" encoding="utf-8"?>
<ds:datastoreItem xmlns:ds="http://schemas.openxmlformats.org/officeDocument/2006/customXml" ds:itemID="{2B370EDE-5B24-4C32-BD6D-4F1E4BB5C4F9}"/>
</file>

<file path=customXml/itemProps2.xml><?xml version="1.0" encoding="utf-8"?>
<ds:datastoreItem xmlns:ds="http://schemas.openxmlformats.org/officeDocument/2006/customXml" ds:itemID="{4A9FC100-B9BB-47DA-8021-CB8BE2216E19}"/>
</file>

<file path=customXml/itemProps3.xml><?xml version="1.0" encoding="utf-8"?>
<ds:datastoreItem xmlns:ds="http://schemas.openxmlformats.org/officeDocument/2006/customXml" ds:itemID="{E778F651-C0D8-4412-9755-5E5EAC51088D}"/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KESHAV Flight Sim</vt:lpstr>
      <vt:lpstr>Flight Tests</vt:lpstr>
      <vt:lpstr>Q1 Plots</vt:lpstr>
      <vt:lpstr>Wind Tunnel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Halaby, Suhail</dc:creator>
  <cp:keywords/>
  <dc:description/>
  <cp:lastModifiedBy>Ranjith, Keshav</cp:lastModifiedBy>
  <cp:revision/>
  <dcterms:created xsi:type="dcterms:W3CDTF">2024-03-07T17:03:17Z</dcterms:created>
  <dcterms:modified xsi:type="dcterms:W3CDTF">2024-04-28T08:08:45Z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0x0101006CB58C3E2E4CB943BBA5A34974EBA151</vt:lpwstr>
  </property>
</Properties>
</file>