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activeTab="1"/>
  </bookViews>
  <sheets>
    <sheet name="Materials" sheetId="2" r:id="rId1"/>
    <sheet name="Geometry" sheetId="1" r:id="rId2"/>
    <sheet name="Parameters" sheetId="3" r:id="rId3"/>
  </sheets>
  <calcPr calcId="145621"/>
</workbook>
</file>

<file path=xl/calcChain.xml><?xml version="1.0" encoding="utf-8"?>
<calcChain xmlns="http://schemas.openxmlformats.org/spreadsheetml/2006/main">
  <c r="H37" i="1" l="1"/>
  <c r="H30" i="1"/>
  <c r="H25" i="1"/>
  <c r="H12" i="1"/>
  <c r="X21" i="3" l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20" i="3"/>
  <c r="AB20" i="3" s="1"/>
  <c r="X19" i="3"/>
  <c r="AB19" i="3" s="1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20" i="3"/>
  <c r="R19" i="3"/>
  <c r="V20" i="3" s="1"/>
  <c r="W19" i="3"/>
  <c r="AB21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9" i="3"/>
  <c r="AB22" i="3" l="1"/>
  <c r="U28" i="3"/>
  <c r="U29" i="3"/>
  <c r="U30" i="3" s="1"/>
  <c r="U31" i="3" s="1"/>
  <c r="U32" i="3" s="1"/>
  <c r="U33" i="3" s="1"/>
  <c r="U34" i="3" s="1"/>
  <c r="U35" i="3" s="1"/>
  <c r="U36" i="3" s="1"/>
  <c r="U37" i="3" s="1"/>
  <c r="U38" i="3" s="1"/>
  <c r="AB23" i="3" l="1"/>
  <c r="N10" i="2"/>
  <c r="N9" i="2"/>
  <c r="N7" i="2"/>
  <c r="N5" i="2"/>
  <c r="AB24" i="3" l="1"/>
  <c r="N6" i="2"/>
  <c r="AB25" i="3" l="1"/>
  <c r="D5" i="2"/>
  <c r="D6" i="2" s="1"/>
  <c r="AB26" i="3" l="1"/>
  <c r="D7" i="2"/>
  <c r="D9" i="2"/>
  <c r="D10" i="2"/>
  <c r="AB27" i="3" l="1"/>
  <c r="V21" i="3"/>
  <c r="U20" i="3"/>
  <c r="U21" i="3" s="1"/>
  <c r="U22" i="3" s="1"/>
  <c r="U23" i="3" s="1"/>
  <c r="U24" i="3" s="1"/>
  <c r="U25" i="3" s="1"/>
  <c r="U26" i="3" s="1"/>
  <c r="U27" i="3" s="1"/>
  <c r="AB28" i="3" l="1"/>
  <c r="V22" i="3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/>
  <c r="AB29" i="3" l="1"/>
  <c r="V35" i="3"/>
  <c r="X12" i="1"/>
  <c r="AB12" i="1" s="1"/>
  <c r="W12" i="1"/>
  <c r="AC12" i="1" s="1"/>
  <c r="W7" i="1"/>
  <c r="AC7" i="1" s="1"/>
  <c r="X7" i="1"/>
  <c r="AB7" i="1" s="1"/>
  <c r="X4" i="1"/>
  <c r="W4" i="1"/>
  <c r="AC35" i="1"/>
  <c r="AB35" i="1"/>
  <c r="AD36" i="1"/>
  <c r="AA36" i="1"/>
  <c r="AA8" i="1"/>
  <c r="AD8" i="1"/>
  <c r="AA12" i="1"/>
  <c r="AD12" i="1"/>
  <c r="AD4" i="1"/>
  <c r="AD37" i="1"/>
  <c r="AZ3" i="1"/>
  <c r="AY3" i="1"/>
  <c r="AX3" i="1"/>
  <c r="AW3" i="1"/>
  <c r="AV3" i="1"/>
  <c r="AU3" i="1"/>
  <c r="AT3" i="1"/>
  <c r="AS3" i="1"/>
  <c r="AR3" i="1"/>
  <c r="AP1" i="1"/>
  <c r="AO1" i="1"/>
  <c r="AN1" i="1"/>
  <c r="AM1" i="1"/>
  <c r="AL1" i="1"/>
  <c r="AK1" i="1"/>
  <c r="AJ1" i="1"/>
  <c r="AI1" i="1"/>
  <c r="AH1" i="1"/>
  <c r="AA37" i="1"/>
  <c r="AA4" i="1"/>
  <c r="L9" i="3"/>
  <c r="M9" i="3"/>
  <c r="AB30" i="3" l="1"/>
  <c r="V36" i="3"/>
  <c r="L70" i="3"/>
  <c r="M70" i="3" s="1"/>
  <c r="J24" i="3"/>
  <c r="L24" i="3"/>
  <c r="M24" i="3" s="1"/>
  <c r="AB31" i="3" l="1"/>
  <c r="V37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9" i="3"/>
  <c r="AB32" i="3" l="1"/>
  <c r="V38" i="3"/>
  <c r="L29" i="3"/>
  <c r="M29" i="3" s="1"/>
  <c r="L31" i="3"/>
  <c r="K31" i="3" s="1"/>
  <c r="L38" i="3"/>
  <c r="M38" i="3" s="1"/>
  <c r="L58" i="3"/>
  <c r="K58" i="3" s="1"/>
  <c r="L27" i="3"/>
  <c r="L40" i="3"/>
  <c r="M40" i="3" s="1"/>
  <c r="L42" i="3"/>
  <c r="K42" i="3" s="1"/>
  <c r="L43" i="3"/>
  <c r="M43" i="3" s="1"/>
  <c r="L56" i="3"/>
  <c r="K56" i="3" s="1"/>
  <c r="L69" i="3"/>
  <c r="K69" i="3" s="1"/>
  <c r="L41" i="3"/>
  <c r="K41" i="3" s="1"/>
  <c r="L33" i="3"/>
  <c r="K33" i="3" s="1"/>
  <c r="L25" i="3"/>
  <c r="K25" i="3" s="1"/>
  <c r="L54" i="3"/>
  <c r="K54" i="3" s="1"/>
  <c r="L59" i="3"/>
  <c r="K59" i="3" s="1"/>
  <c r="M58" i="3"/>
  <c r="K27" i="3"/>
  <c r="M27" i="3"/>
  <c r="K40" i="3"/>
  <c r="K29" i="3"/>
  <c r="M56" i="3"/>
  <c r="L34" i="3"/>
  <c r="L50" i="3"/>
  <c r="L66" i="3"/>
  <c r="L39" i="3"/>
  <c r="L55" i="3"/>
  <c r="L37" i="3"/>
  <c r="L65" i="3"/>
  <c r="L36" i="3"/>
  <c r="L52" i="3"/>
  <c r="L68" i="3"/>
  <c r="L61" i="3"/>
  <c r="L47" i="3"/>
  <c r="L63" i="3"/>
  <c r="L45" i="3"/>
  <c r="L28" i="3"/>
  <c r="L44" i="3"/>
  <c r="L60" i="3"/>
  <c r="L49" i="3"/>
  <c r="L26" i="3"/>
  <c r="L30" i="3"/>
  <c r="L46" i="3"/>
  <c r="L62" i="3"/>
  <c r="L35" i="3"/>
  <c r="L51" i="3"/>
  <c r="L67" i="3"/>
  <c r="L53" i="3"/>
  <c r="L32" i="3"/>
  <c r="L48" i="3"/>
  <c r="L64" i="3"/>
  <c r="L57" i="3"/>
  <c r="AB33" i="3" l="1"/>
  <c r="M31" i="3"/>
  <c r="M54" i="3"/>
  <c r="M25" i="3"/>
  <c r="M33" i="3"/>
  <c r="K43" i="3"/>
  <c r="K38" i="3"/>
  <c r="M41" i="3"/>
  <c r="M59" i="3"/>
  <c r="M69" i="3"/>
  <c r="M42" i="3"/>
  <c r="K51" i="3"/>
  <c r="M51" i="3"/>
  <c r="K44" i="3"/>
  <c r="M44" i="3"/>
  <c r="K36" i="3"/>
  <c r="M36" i="3"/>
  <c r="K32" i="3"/>
  <c r="M32" i="3"/>
  <c r="K35" i="3"/>
  <c r="M35" i="3"/>
  <c r="K26" i="3"/>
  <c r="M26" i="3"/>
  <c r="K28" i="3"/>
  <c r="M28" i="3"/>
  <c r="K61" i="3"/>
  <c r="M61" i="3"/>
  <c r="K65" i="3"/>
  <c r="M65" i="3"/>
  <c r="K66" i="3"/>
  <c r="M66" i="3"/>
  <c r="K30" i="3"/>
  <c r="M30" i="3"/>
  <c r="K47" i="3"/>
  <c r="M47" i="3"/>
  <c r="K39" i="3"/>
  <c r="M39" i="3"/>
  <c r="K57" i="3"/>
  <c r="M57" i="3"/>
  <c r="K53" i="3"/>
  <c r="M53" i="3"/>
  <c r="K62" i="3"/>
  <c r="M62" i="3"/>
  <c r="K49" i="3"/>
  <c r="M49" i="3"/>
  <c r="K45" i="3"/>
  <c r="M45" i="3"/>
  <c r="K68" i="3"/>
  <c r="M68" i="3"/>
  <c r="K37" i="3"/>
  <c r="M37" i="3"/>
  <c r="K50" i="3"/>
  <c r="M50" i="3"/>
  <c r="K48" i="3"/>
  <c r="M48" i="3"/>
  <c r="K64" i="3"/>
  <c r="M64" i="3"/>
  <c r="K67" i="3"/>
  <c r="M67" i="3"/>
  <c r="K46" i="3"/>
  <c r="M46" i="3"/>
  <c r="K60" i="3"/>
  <c r="M60" i="3"/>
  <c r="K63" i="3"/>
  <c r="M63" i="3"/>
  <c r="K52" i="3"/>
  <c r="M52" i="3"/>
  <c r="K55" i="3"/>
  <c r="M55" i="3"/>
  <c r="K34" i="3"/>
  <c r="M34" i="3"/>
  <c r="AQ3" i="1"/>
  <c r="AB34" i="3" l="1"/>
  <c r="AG1" i="1"/>
  <c r="AB35" i="3" l="1"/>
  <c r="W39" i="3"/>
  <c r="AB36" i="3" l="1"/>
  <c r="AB38" i="3" l="1"/>
  <c r="AB37" i="3"/>
</calcChain>
</file>

<file path=xl/sharedStrings.xml><?xml version="1.0" encoding="utf-8"?>
<sst xmlns="http://schemas.openxmlformats.org/spreadsheetml/2006/main" count="653" uniqueCount="133">
  <si>
    <t>Twist (deg)</t>
  </si>
  <si>
    <t>Blade span (m)</t>
  </si>
  <si>
    <t>Chord</t>
  </si>
  <si>
    <t>[-]</t>
  </si>
  <si>
    <t>Sta.#</t>
  </si>
  <si>
    <t>GELCOAT</t>
  </si>
  <si>
    <t>E11</t>
  </si>
  <si>
    <t>E22</t>
  </si>
  <si>
    <t>G12</t>
  </si>
  <si>
    <t>nu12</t>
  </si>
  <si>
    <t>Material ID</t>
  </si>
  <si>
    <t>density</t>
  </si>
  <si>
    <t>UTS</t>
  </si>
  <si>
    <t>UCS</t>
  </si>
  <si>
    <t>[MPa]</t>
  </si>
  <si>
    <t>[kg/m3]</t>
  </si>
  <si>
    <t>Gelcoat</t>
  </si>
  <si>
    <t>Type</t>
  </si>
  <si>
    <t>Reference</t>
  </si>
  <si>
    <t>Ex</t>
  </si>
  <si>
    <t>Ey</t>
  </si>
  <si>
    <t>Gxy</t>
  </si>
  <si>
    <t>prxy</t>
  </si>
  <si>
    <t>SW1</t>
  </si>
  <si>
    <t>Layer Thickness</t>
  </si>
  <si>
    <t>[mm]</t>
  </si>
  <si>
    <t>orthotropic</t>
  </si>
  <si>
    <t>isotropic</t>
  </si>
  <si>
    <t>circular</t>
  </si>
  <si>
    <t>TE Type</t>
  </si>
  <si>
    <t>round</t>
  </si>
  <si>
    <t>Airfoil Shape File</t>
  </si>
  <si>
    <t>xoffset</t>
  </si>
  <si>
    <t>aero center</t>
  </si>
  <si>
    <t>-blank-</t>
  </si>
  <si>
    <t>Stack ID -&gt;</t>
  </si>
  <si>
    <t>Material ID -&gt;</t>
  </si>
  <si>
    <t># of segments -&gt;</t>
  </si>
  <si>
    <t># of stacks -&gt;</t>
  </si>
  <si>
    <t>HP_TE</t>
  </si>
  <si>
    <t>HP_LE</t>
  </si>
  <si>
    <t>LP_LE</t>
  </si>
  <si>
    <t>LP_CAP</t>
  </si>
  <si>
    <t>LP_TE</t>
  </si>
  <si>
    <t>HP_CAP</t>
  </si>
  <si>
    <t>stacks</t>
  </si>
  <si>
    <t>dps</t>
  </si>
  <si>
    <t># Shear webs -&gt;</t>
  </si>
  <si>
    <t>SW2</t>
  </si>
  <si>
    <t>Segment ID -&gt;</t>
  </si>
  <si>
    <t>DP Types</t>
  </si>
  <si>
    <t>Spar cap width</t>
  </si>
  <si>
    <t>mm</t>
  </si>
  <si>
    <t>sharp</t>
  </si>
  <si>
    <t>root</t>
  </si>
  <si>
    <t>first entry in the CSV list is the exterior blade surface stack</t>
  </si>
  <si>
    <t>Notes</t>
  </si>
  <si>
    <t>Notes:</t>
  </si>
  <si>
    <t>SNL_V27</t>
  </si>
  <si>
    <t>18% thick</t>
  </si>
  <si>
    <t>24% thick</t>
  </si>
  <si>
    <t>35% thick</t>
  </si>
  <si>
    <t>tip; 14% thick</t>
  </si>
  <si>
    <t>63-235</t>
  </si>
  <si>
    <t>63-214</t>
  </si>
  <si>
    <t>63-218</t>
  </si>
  <si>
    <t>63-224</t>
  </si>
  <si>
    <t>interp</t>
  </si>
  <si>
    <t>h, mm</t>
  </si>
  <si>
    <t>Page 11-12 of OUO Rotor Blade.pdf</t>
  </si>
  <si>
    <t>Trailing edges deflect., mm</t>
  </si>
  <si>
    <t>Blade twist deg.</t>
  </si>
  <si>
    <t>Ideal twist deg.</t>
  </si>
  <si>
    <t>**Blade R</t>
  </si>
  <si>
    <t>inboard end of profile</t>
  </si>
  <si>
    <t>**x-offset</t>
  </si>
  <si>
    <t>=&gt;LE</t>
  </si>
  <si>
    <t>=&gt;TE</t>
  </si>
  <si>
    <t>HP_TE_PANEL</t>
  </si>
  <si>
    <t>HP_LE_PANEL</t>
  </si>
  <si>
    <t>LP_LE_PANEL</t>
  </si>
  <si>
    <t>LP_TE_PANEL</t>
  </si>
  <si>
    <t>7,3,3,7</t>
  </si>
  <si>
    <t>8,2,2,8</t>
  </si>
  <si>
    <t>end foam core</t>
  </si>
  <si>
    <t>Properties same as used in WindPact blade</t>
  </si>
  <si>
    <t>PVC_Foam</t>
  </si>
  <si>
    <t>FOAM</t>
  </si>
  <si>
    <t>Chord (m)</t>
  </si>
  <si>
    <t>Rnode</t>
  </si>
  <si>
    <t>dRnode</t>
  </si>
  <si>
    <t>Lnode</t>
  </si>
  <si>
    <t>HubRad=</t>
  </si>
  <si>
    <t>tip=&gt;</t>
  </si>
  <si>
    <t>UD1200</t>
  </si>
  <si>
    <t>M300</t>
  </si>
  <si>
    <t>UD700/M100</t>
  </si>
  <si>
    <t>NM450</t>
  </si>
  <si>
    <t>T900(DB600/UD300)</t>
  </si>
  <si>
    <t>M300RandMat</t>
  </si>
  <si>
    <t>TRX900</t>
  </si>
  <si>
    <t>swUD_200</t>
  </si>
  <si>
    <t>swUD_300</t>
  </si>
  <si>
    <t>mbUD</t>
  </si>
  <si>
    <t>swFOAM</t>
  </si>
  <si>
    <t>end: M300x3700 in sw</t>
  </si>
  <si>
    <t>end: M300x2600 in sw</t>
  </si>
  <si>
    <t>end: M300x8200 in sw</t>
  </si>
  <si>
    <t>plydrop: UD1200x200w in sw</t>
  </si>
  <si>
    <t>plydrop: UD1200x300w in sw</t>
  </si>
  <si>
    <t>begin: foam; end: NM450 in sw</t>
  </si>
  <si>
    <t>end: NM450 in mb</t>
  </si>
  <si>
    <t>end of box beam and spar cap</t>
  </si>
  <si>
    <t>1,2,3,3,2</t>
  </si>
  <si>
    <t>1,2,3,5,3,2</t>
  </si>
  <si>
    <t>1,2,3,6,6,5,6,6,3,2,2,7,7,7,7,7,7,2,4,7,7,7,7,7,7,2,10,2</t>
  </si>
  <si>
    <t>1,2,3,6,6,6,6,3,2,2,7,7,7,7,7,7,2,4,7,7,7,7,7,7,2,10,2</t>
  </si>
  <si>
    <t>1,2,3,6,6,5,6,6,3,2,2,7,7,7,7,7,7,2,7,7,7,7,7,7,2,10,2</t>
  </si>
  <si>
    <t>1,2,3,5,3,2,2,7,7,7,7,7,7,2,7,7,7,7,7,7,2,10,2</t>
  </si>
  <si>
    <t>1,2,3,3,2,2,7,7,7,7,7,7,2,7,7,7,7,7,7,2,10,2</t>
  </si>
  <si>
    <t>2,3,2,8,2,4,9,2,3,2</t>
  </si>
  <si>
    <t>thickness scale factor</t>
  </si>
  <si>
    <t>displacement test measurement station</t>
  </si>
  <si>
    <t>density scale factor</t>
  </si>
  <si>
    <t>Gxy computed using isotropic assumption</t>
  </si>
  <si>
    <t>Properties derived using CLT using given information</t>
  </si>
  <si>
    <t>Same as UD450</t>
  </si>
  <si>
    <t>From SNL 100m blade report</t>
  </si>
  <si>
    <t>r/R</t>
  </si>
  <si>
    <t>element width</t>
  </si>
  <si>
    <t>Thickness ratio associated with assigned polar data</t>
  </si>
  <si>
    <t>Blade section thickness ratio</t>
  </si>
  <si>
    <t>r,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</si>
</sst>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quotePrefix="1"/>
    <xf numFmtId="1" fontId="0" fillId="0" borderId="0" xfId="0" applyNumberFormat="1"/>
    <xf numFmtId="0" fontId="3" fillId="0" borderId="0" xfId="0" applyFont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Parameters!$E$8</c:f>
              <c:strCache>
                <c:ptCount val="1"/>
                <c:pt idx="0">
                  <c:v>Blade section thickness ratio</c:v>
                </c:pt>
              </c:strCache>
            </c:strRef>
          </c:tx>
          <c:marker>
            <c:symbol val="none"/>
          </c:marker>
          <c:xVal>
            <c:numRef>
              <c:f>Parameters!$N$14:$N$70</c:f>
              <c:numCache>
                <c:formatCode>General</c:formatCode>
                <c:ptCount val="57"/>
                <c:pt idx="0">
                  <c:v>7.407407407407407E-2</c:v>
                </c:pt>
                <c:pt idx="1">
                  <c:v>8.1481481481481488E-2</c:v>
                </c:pt>
                <c:pt idx="2">
                  <c:v>8.8888888888888892E-2</c:v>
                </c:pt>
                <c:pt idx="3">
                  <c:v>9.6296296296296297E-2</c:v>
                </c:pt>
                <c:pt idx="4">
                  <c:v>0.1037037037037037</c:v>
                </c:pt>
                <c:pt idx="5">
                  <c:v>0.1111111111111111</c:v>
                </c:pt>
                <c:pt idx="6">
                  <c:v>0.11851851851851852</c:v>
                </c:pt>
                <c:pt idx="7">
                  <c:v>0.12592592592592591</c:v>
                </c:pt>
                <c:pt idx="8">
                  <c:v>0.13333333333333333</c:v>
                </c:pt>
                <c:pt idx="9">
                  <c:v>0.14074074074074072</c:v>
                </c:pt>
                <c:pt idx="10">
                  <c:v>0.14814814814814814</c:v>
                </c:pt>
                <c:pt idx="11">
                  <c:v>0.16666666666666666</c:v>
                </c:pt>
                <c:pt idx="12">
                  <c:v>0.18518518518518517</c:v>
                </c:pt>
                <c:pt idx="13">
                  <c:v>0.20370370370370369</c:v>
                </c:pt>
                <c:pt idx="14">
                  <c:v>0.22222222222222221</c:v>
                </c:pt>
                <c:pt idx="15">
                  <c:v>0.24074074074074073</c:v>
                </c:pt>
                <c:pt idx="16">
                  <c:v>0.25925925925925924</c:v>
                </c:pt>
                <c:pt idx="17">
                  <c:v>0.27777777777777779</c:v>
                </c:pt>
                <c:pt idx="18">
                  <c:v>0.29629629629629628</c:v>
                </c:pt>
                <c:pt idx="19">
                  <c:v>0.31481481481481483</c:v>
                </c:pt>
                <c:pt idx="20">
                  <c:v>0.33333333333333331</c:v>
                </c:pt>
                <c:pt idx="21">
                  <c:v>0.35185185185185186</c:v>
                </c:pt>
                <c:pt idx="22">
                  <c:v>0.37037037037037035</c:v>
                </c:pt>
                <c:pt idx="23">
                  <c:v>0.3888888888888889</c:v>
                </c:pt>
                <c:pt idx="24">
                  <c:v>0.40740740740740738</c:v>
                </c:pt>
                <c:pt idx="25">
                  <c:v>0.42592592592592593</c:v>
                </c:pt>
                <c:pt idx="26">
                  <c:v>0.44444444444444442</c:v>
                </c:pt>
                <c:pt idx="27">
                  <c:v>0.46296296296296297</c:v>
                </c:pt>
                <c:pt idx="28">
                  <c:v>0.48148148148148145</c:v>
                </c:pt>
                <c:pt idx="29">
                  <c:v>0.5</c:v>
                </c:pt>
                <c:pt idx="30">
                  <c:v>0.51851851851851849</c:v>
                </c:pt>
                <c:pt idx="31">
                  <c:v>0.53703703703703709</c:v>
                </c:pt>
                <c:pt idx="32">
                  <c:v>0.55555555555555558</c:v>
                </c:pt>
                <c:pt idx="33">
                  <c:v>0.57407407407407407</c:v>
                </c:pt>
                <c:pt idx="34">
                  <c:v>0.59259259259259256</c:v>
                </c:pt>
                <c:pt idx="35">
                  <c:v>0.61111111111111116</c:v>
                </c:pt>
                <c:pt idx="36">
                  <c:v>0.62962962962962965</c:v>
                </c:pt>
                <c:pt idx="37">
                  <c:v>0.64814814814814814</c:v>
                </c:pt>
                <c:pt idx="38">
                  <c:v>0.66666666666666663</c:v>
                </c:pt>
                <c:pt idx="39">
                  <c:v>0.68518518518518523</c:v>
                </c:pt>
                <c:pt idx="40">
                  <c:v>0.70370370370370372</c:v>
                </c:pt>
                <c:pt idx="41">
                  <c:v>0.72222222222222221</c:v>
                </c:pt>
                <c:pt idx="42">
                  <c:v>0.7407407407407407</c:v>
                </c:pt>
                <c:pt idx="43">
                  <c:v>0.7592592592592593</c:v>
                </c:pt>
                <c:pt idx="44">
                  <c:v>0.77777777777777779</c:v>
                </c:pt>
                <c:pt idx="45">
                  <c:v>0.79629629629629628</c:v>
                </c:pt>
                <c:pt idx="46">
                  <c:v>0.81481481481481477</c:v>
                </c:pt>
                <c:pt idx="47">
                  <c:v>0.83333333333333337</c:v>
                </c:pt>
                <c:pt idx="48">
                  <c:v>0.85185185185185186</c:v>
                </c:pt>
                <c:pt idx="49">
                  <c:v>0.87037037037037035</c:v>
                </c:pt>
                <c:pt idx="50">
                  <c:v>0.88888888888888884</c:v>
                </c:pt>
                <c:pt idx="51">
                  <c:v>0.90740740740740744</c:v>
                </c:pt>
                <c:pt idx="52">
                  <c:v>0.92592592592592593</c:v>
                </c:pt>
                <c:pt idx="53">
                  <c:v>0.94444444444444442</c:v>
                </c:pt>
                <c:pt idx="54">
                  <c:v>0.96296296296296291</c:v>
                </c:pt>
                <c:pt idx="55">
                  <c:v>0.98148148148148151</c:v>
                </c:pt>
                <c:pt idx="56">
                  <c:v>1</c:v>
                </c:pt>
              </c:numCache>
            </c:numRef>
          </c:xVal>
          <c:yVal>
            <c:numRef>
              <c:f>Parameters!$E$14:$E$70</c:f>
              <c:numCache>
                <c:formatCode>General</c:formatCode>
                <c:ptCount val="57"/>
                <c:pt idx="0">
                  <c:v>38.4</c:v>
                </c:pt>
                <c:pt idx="1">
                  <c:v>38.020000000000003</c:v>
                </c:pt>
                <c:pt idx="2">
                  <c:v>37.65</c:v>
                </c:pt>
                <c:pt idx="3">
                  <c:v>37.28</c:v>
                </c:pt>
                <c:pt idx="4">
                  <c:v>36.909999999999997</c:v>
                </c:pt>
                <c:pt idx="5">
                  <c:v>36.56</c:v>
                </c:pt>
                <c:pt idx="6">
                  <c:v>36.200000000000003</c:v>
                </c:pt>
                <c:pt idx="7">
                  <c:v>35.86</c:v>
                </c:pt>
                <c:pt idx="8">
                  <c:v>35.51</c:v>
                </c:pt>
                <c:pt idx="9">
                  <c:v>35.18</c:v>
                </c:pt>
                <c:pt idx="10">
                  <c:v>34.840000000000003</c:v>
                </c:pt>
                <c:pt idx="11">
                  <c:v>34.03</c:v>
                </c:pt>
                <c:pt idx="12">
                  <c:v>33.25</c:v>
                </c:pt>
                <c:pt idx="13">
                  <c:v>32.49</c:v>
                </c:pt>
                <c:pt idx="14">
                  <c:v>31.76</c:v>
                </c:pt>
                <c:pt idx="15">
                  <c:v>31.06</c:v>
                </c:pt>
                <c:pt idx="16">
                  <c:v>30.37</c:v>
                </c:pt>
                <c:pt idx="17">
                  <c:v>29.71</c:v>
                </c:pt>
                <c:pt idx="18">
                  <c:v>29.07</c:v>
                </c:pt>
                <c:pt idx="19">
                  <c:v>28.44</c:v>
                </c:pt>
                <c:pt idx="20">
                  <c:v>27.84</c:v>
                </c:pt>
                <c:pt idx="21">
                  <c:v>27.26</c:v>
                </c:pt>
                <c:pt idx="22">
                  <c:v>26.69</c:v>
                </c:pt>
                <c:pt idx="23">
                  <c:v>26.14</c:v>
                </c:pt>
                <c:pt idx="24">
                  <c:v>25.6</c:v>
                </c:pt>
                <c:pt idx="25">
                  <c:v>25.08</c:v>
                </c:pt>
                <c:pt idx="26">
                  <c:v>24.57</c:v>
                </c:pt>
                <c:pt idx="27">
                  <c:v>24.08</c:v>
                </c:pt>
                <c:pt idx="28">
                  <c:v>23.6</c:v>
                </c:pt>
                <c:pt idx="29">
                  <c:v>23.14</c:v>
                </c:pt>
                <c:pt idx="30">
                  <c:v>22.68</c:v>
                </c:pt>
                <c:pt idx="31">
                  <c:v>22.24</c:v>
                </c:pt>
                <c:pt idx="32">
                  <c:v>21.81</c:v>
                </c:pt>
                <c:pt idx="33">
                  <c:v>21.39</c:v>
                </c:pt>
                <c:pt idx="34">
                  <c:v>20.98</c:v>
                </c:pt>
                <c:pt idx="35">
                  <c:v>20.58</c:v>
                </c:pt>
                <c:pt idx="36">
                  <c:v>20.190000000000001</c:v>
                </c:pt>
                <c:pt idx="37">
                  <c:v>19.809999999999999</c:v>
                </c:pt>
                <c:pt idx="38">
                  <c:v>19.440000000000001</c:v>
                </c:pt>
                <c:pt idx="39">
                  <c:v>19.079999999999998</c:v>
                </c:pt>
                <c:pt idx="40">
                  <c:v>18.72</c:v>
                </c:pt>
                <c:pt idx="41">
                  <c:v>18.38</c:v>
                </c:pt>
                <c:pt idx="42">
                  <c:v>18.04</c:v>
                </c:pt>
                <c:pt idx="43">
                  <c:v>17.71</c:v>
                </c:pt>
                <c:pt idx="44">
                  <c:v>17.38</c:v>
                </c:pt>
                <c:pt idx="45">
                  <c:v>17.07</c:v>
                </c:pt>
                <c:pt idx="46">
                  <c:v>16.760000000000002</c:v>
                </c:pt>
                <c:pt idx="47">
                  <c:v>16.46</c:v>
                </c:pt>
                <c:pt idx="48">
                  <c:v>16.16</c:v>
                </c:pt>
                <c:pt idx="49">
                  <c:v>15.87</c:v>
                </c:pt>
                <c:pt idx="50">
                  <c:v>15.59</c:v>
                </c:pt>
                <c:pt idx="51">
                  <c:v>15.31</c:v>
                </c:pt>
                <c:pt idx="52">
                  <c:v>15.04</c:v>
                </c:pt>
                <c:pt idx="53">
                  <c:v>14.77</c:v>
                </c:pt>
                <c:pt idx="54">
                  <c:v>14.51</c:v>
                </c:pt>
                <c:pt idx="55">
                  <c:v>14.25</c:v>
                </c:pt>
                <c:pt idx="56">
                  <c:v>14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Parameters!$Y$18</c:f>
              <c:strCache>
                <c:ptCount val="1"/>
                <c:pt idx="0">
                  <c:v>Thickness ratio associated with assigned polar data</c:v>
                </c:pt>
              </c:strCache>
            </c:strRef>
          </c:tx>
          <c:spPr>
            <a:ln>
              <a:noFill/>
            </a:ln>
          </c:spPr>
          <c:xVal>
            <c:numRef>
              <c:f>Parameters!$AB$19:$AB$38</c:f>
              <c:numCache>
                <c:formatCode>General</c:formatCode>
                <c:ptCount val="20"/>
                <c:pt idx="0">
                  <c:v>6.1111111111111109E-2</c:v>
                </c:pt>
                <c:pt idx="1">
                  <c:v>0.10925925925925925</c:v>
                </c:pt>
                <c:pt idx="2">
                  <c:v>0.15740740740740741</c:v>
                </c:pt>
                <c:pt idx="3">
                  <c:v>0.20555555555555557</c:v>
                </c:pt>
                <c:pt idx="4">
                  <c:v>0.25370370370370376</c:v>
                </c:pt>
                <c:pt idx="5">
                  <c:v>0.30185185185185193</c:v>
                </c:pt>
                <c:pt idx="6">
                  <c:v>0.35000000000000009</c:v>
                </c:pt>
                <c:pt idx="7">
                  <c:v>0.39814814814814831</c:v>
                </c:pt>
                <c:pt idx="8">
                  <c:v>0.44629629629629647</c:v>
                </c:pt>
                <c:pt idx="9">
                  <c:v>0.49444444444444463</c:v>
                </c:pt>
                <c:pt idx="10">
                  <c:v>0.54259259259259285</c:v>
                </c:pt>
                <c:pt idx="11">
                  <c:v>0.59074074074074101</c:v>
                </c:pt>
                <c:pt idx="12">
                  <c:v>0.63888888888888917</c:v>
                </c:pt>
                <c:pt idx="13">
                  <c:v>0.68703703703703722</c:v>
                </c:pt>
                <c:pt idx="14">
                  <c:v>0.73518518518518527</c:v>
                </c:pt>
                <c:pt idx="15">
                  <c:v>0.78333333333333333</c:v>
                </c:pt>
                <c:pt idx="16">
                  <c:v>0.83148148148148138</c:v>
                </c:pt>
                <c:pt idx="17">
                  <c:v>0.87962962962962932</c:v>
                </c:pt>
                <c:pt idx="18">
                  <c:v>0.92777777777777737</c:v>
                </c:pt>
                <c:pt idx="19">
                  <c:v>0.97592592592592542</c:v>
                </c:pt>
              </c:numCache>
            </c:numRef>
          </c:xVal>
          <c:yVal>
            <c:numRef>
              <c:f>Parameters!$Y$19:$Y$38</c:f>
              <c:numCache>
                <c:formatCode>General</c:formatCode>
                <c:ptCount val="20"/>
                <c:pt idx="0">
                  <c:v>100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14</c:v>
                </c:pt>
                <c:pt idx="19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3232"/>
        <c:axId val="99265152"/>
      </c:scatterChart>
      <c:valAx>
        <c:axId val="992632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r/</a:t>
                </a:r>
                <a:r>
                  <a:rPr lang="en-US"/>
                  <a:t>R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99265152"/>
        <c:crosses val="autoZero"/>
        <c:crossBetween val="midCat"/>
        <c:majorUnit val="0.1"/>
      </c:valAx>
      <c:valAx>
        <c:axId val="99265152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t/c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263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6291293515901777"/>
          <c:y val="9.8689543471957644E-2"/>
          <c:w val="0.50442978119323045"/>
          <c:h val="0.24003264255004722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225135</xdr:colOff>
      <xdr:row>28</xdr:row>
      <xdr:rowOff>121228</xdr:rowOff>
    </xdr:from>
    <xdr:to>
      <xdr:col>20</xdr:col>
      <xdr:colOff>17319</xdr:colOff>
      <xdr:row>42</xdr:row>
      <xdr:rowOff>20204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Q17" sqref="Q17"/>
    </sheetView>
  </sheetViews>
  <sheetFormatPr defaultRowHeight="15" x14ac:dyDescent="0.25"/>
  <cols>
    <col min="1" max="1" width="12.85546875" customWidth="1"/>
    <col min="2" max="2" width="25.85546875" customWidth="1"/>
    <col min="3" max="3" width="13.85546875" customWidth="1"/>
    <col min="4" max="4" width="14.85546875" bestFit="1" customWidth="1"/>
    <col min="14" max="14" width="10.85546875" customWidth="1"/>
    <col min="17" max="17" width="81.28515625" customWidth="1"/>
  </cols>
  <sheetData>
    <row r="1" spans="1:17" x14ac:dyDescent="0.25">
      <c r="E1" t="s">
        <v>19</v>
      </c>
      <c r="F1" t="s">
        <v>20</v>
      </c>
      <c r="H1" t="s">
        <v>21</v>
      </c>
      <c r="K1" t="s">
        <v>22</v>
      </c>
    </row>
    <row r="2" spans="1:17" x14ac:dyDescent="0.25">
      <c r="C2" t="s">
        <v>17</v>
      </c>
      <c r="D2" t="s">
        <v>24</v>
      </c>
      <c r="E2" t="s">
        <v>6</v>
      </c>
      <c r="F2" t="s">
        <v>7</v>
      </c>
      <c r="H2" t="s">
        <v>8</v>
      </c>
      <c r="K2" t="s">
        <v>9</v>
      </c>
      <c r="N2" t="s">
        <v>11</v>
      </c>
      <c r="O2" t="s">
        <v>12</v>
      </c>
      <c r="P2" t="s">
        <v>13</v>
      </c>
      <c r="Q2" t="s">
        <v>18</v>
      </c>
    </row>
    <row r="3" spans="1:17" x14ac:dyDescent="0.25">
      <c r="A3" t="s">
        <v>10</v>
      </c>
      <c r="D3" t="s">
        <v>25</v>
      </c>
      <c r="E3" t="s">
        <v>14</v>
      </c>
      <c r="F3" t="s">
        <v>14</v>
      </c>
      <c r="H3" t="s">
        <v>14</v>
      </c>
      <c r="K3" t="s">
        <v>3</v>
      </c>
      <c r="N3" t="s">
        <v>15</v>
      </c>
      <c r="O3" t="s">
        <v>14</v>
      </c>
      <c r="P3" t="s">
        <v>14</v>
      </c>
    </row>
    <row r="4" spans="1:17" ht="15.75" x14ac:dyDescent="0.25">
      <c r="A4">
        <v>1</v>
      </c>
      <c r="B4" t="s">
        <v>16</v>
      </c>
      <c r="C4" t="s">
        <v>27</v>
      </c>
      <c r="D4">
        <v>0.5</v>
      </c>
      <c r="E4" s="5">
        <v>3440</v>
      </c>
      <c r="F4" s="5"/>
      <c r="G4" s="5"/>
      <c r="H4" s="5">
        <v>1380</v>
      </c>
      <c r="K4">
        <v>0.3</v>
      </c>
      <c r="N4">
        <v>1230</v>
      </c>
      <c r="Q4" s="3" t="s">
        <v>85</v>
      </c>
    </row>
    <row r="5" spans="1:17" ht="15.75" x14ac:dyDescent="0.25">
      <c r="A5">
        <v>2</v>
      </c>
      <c r="B5" t="s">
        <v>99</v>
      </c>
      <c r="C5" t="s">
        <v>27</v>
      </c>
      <c r="D5">
        <f>0.234*Parameters!$B$2</f>
        <v>0.24570000000000003</v>
      </c>
      <c r="E5" s="5">
        <v>8800</v>
      </c>
      <c r="F5" s="5"/>
      <c r="G5" s="5"/>
      <c r="H5" s="5">
        <v>3380</v>
      </c>
      <c r="K5">
        <v>0.3</v>
      </c>
      <c r="N5">
        <f>1875*Parameters!$B$3</f>
        <v>2212.5</v>
      </c>
      <c r="Q5" s="3" t="s">
        <v>124</v>
      </c>
    </row>
    <row r="6" spans="1:17" ht="15.75" x14ac:dyDescent="0.25">
      <c r="A6">
        <v>3</v>
      </c>
      <c r="B6" t="s">
        <v>98</v>
      </c>
      <c r="C6" t="s">
        <v>26</v>
      </c>
      <c r="D6">
        <f>3*D5</f>
        <v>0.73710000000000009</v>
      </c>
      <c r="E6" s="5">
        <v>14620</v>
      </c>
      <c r="F6" s="5">
        <v>5930</v>
      </c>
      <c r="G6" s="5"/>
      <c r="H6" s="5">
        <v>6590</v>
      </c>
      <c r="I6" s="5"/>
      <c r="J6" s="5"/>
      <c r="K6" s="5">
        <v>0.48599999999999999</v>
      </c>
      <c r="L6" s="5"/>
      <c r="M6" s="5"/>
      <c r="N6">
        <f>1875*Parameters!$B$3</f>
        <v>2212.5</v>
      </c>
      <c r="Q6" s="3" t="s">
        <v>125</v>
      </c>
    </row>
    <row r="7" spans="1:17" ht="15.75" x14ac:dyDescent="0.25">
      <c r="A7">
        <v>4</v>
      </c>
      <c r="B7" t="s">
        <v>97</v>
      </c>
      <c r="C7" t="s">
        <v>26</v>
      </c>
      <c r="D7">
        <f>0.5*D6</f>
        <v>0.36855000000000004</v>
      </c>
      <c r="E7" s="5">
        <v>37000</v>
      </c>
      <c r="F7" s="5">
        <v>8760</v>
      </c>
      <c r="G7" s="5"/>
      <c r="H7" s="5">
        <v>3840</v>
      </c>
      <c r="K7">
        <v>0.3</v>
      </c>
      <c r="N7">
        <f>1875*Parameters!$B$3</f>
        <v>2212.5</v>
      </c>
      <c r="Q7" s="3" t="s">
        <v>126</v>
      </c>
    </row>
    <row r="8" spans="1:17" ht="15.75" x14ac:dyDescent="0.25">
      <c r="A8">
        <v>5</v>
      </c>
      <c r="B8" t="s">
        <v>86</v>
      </c>
      <c r="C8" t="s">
        <v>27</v>
      </c>
      <c r="D8" s="5">
        <v>1</v>
      </c>
      <c r="E8" s="5">
        <v>256</v>
      </c>
      <c r="F8" s="5"/>
      <c r="G8" s="5"/>
      <c r="H8" s="5">
        <v>22</v>
      </c>
      <c r="K8" s="5">
        <v>0.3</v>
      </c>
      <c r="N8" s="5">
        <v>200</v>
      </c>
      <c r="Q8" s="3" t="s">
        <v>127</v>
      </c>
    </row>
    <row r="9" spans="1:17" ht="15.75" x14ac:dyDescent="0.25">
      <c r="A9">
        <v>6</v>
      </c>
      <c r="B9" t="s">
        <v>96</v>
      </c>
      <c r="C9" t="s">
        <v>26</v>
      </c>
      <c r="D9">
        <f>8/9*D6</f>
        <v>0.6552</v>
      </c>
      <c r="E9" s="5">
        <v>33480</v>
      </c>
      <c r="F9" s="5">
        <v>8830</v>
      </c>
      <c r="G9" s="5"/>
      <c r="H9" s="5">
        <v>3780</v>
      </c>
      <c r="K9" s="5">
        <v>0.3</v>
      </c>
      <c r="N9">
        <f>1875*Parameters!$B$3</f>
        <v>2212.5</v>
      </c>
      <c r="Q9" s="3" t="s">
        <v>125</v>
      </c>
    </row>
    <row r="10" spans="1:17" ht="15.75" x14ac:dyDescent="0.25">
      <c r="A10">
        <v>7</v>
      </c>
      <c r="B10" t="s">
        <v>94</v>
      </c>
      <c r="C10" t="s">
        <v>26</v>
      </c>
      <c r="D10">
        <f>4*D5</f>
        <v>0.98280000000000012</v>
      </c>
      <c r="E10" s="5">
        <v>37000</v>
      </c>
      <c r="F10" s="5">
        <v>8760</v>
      </c>
      <c r="G10" s="5"/>
      <c r="H10" s="5">
        <v>3840</v>
      </c>
      <c r="K10">
        <v>0.3</v>
      </c>
      <c r="N10">
        <f>1875*Parameters!$B$3</f>
        <v>2212.5</v>
      </c>
      <c r="Q10" s="3" t="s">
        <v>125</v>
      </c>
    </row>
    <row r="11" spans="1:17" x14ac:dyDescent="0.25">
      <c r="E11" s="4"/>
      <c r="F11" s="4"/>
      <c r="G11" s="4"/>
      <c r="H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56"/>
  <sheetViews>
    <sheetView tabSelected="1" topLeftCell="A2" zoomScale="90" zoomScaleNormal="90" workbookViewId="0">
      <selection activeCell="H38" sqref="H38"/>
    </sheetView>
  </sheetViews>
  <sheetFormatPr defaultRowHeight="15" x14ac:dyDescent="0.25"/>
  <cols>
    <col min="1" max="1" width="5" customWidth="1"/>
    <col min="2" max="2" width="10.42578125" customWidth="1"/>
    <col min="3" max="3" width="23.85546875" customWidth="1"/>
    <col min="4" max="4" width="11.5703125" customWidth="1"/>
    <col min="5" max="5" width="11" customWidth="1"/>
    <col min="6" max="6" width="10.42578125" bestFit="1" customWidth="1"/>
    <col min="7" max="7" width="11.7109375" customWidth="1"/>
    <col min="8" max="8" width="12.7109375" bestFit="1" customWidth="1"/>
    <col min="9" max="9" width="30.42578125" customWidth="1"/>
    <col min="10" max="10" width="9" customWidth="1"/>
    <col min="11" max="11" width="6.140625" customWidth="1"/>
    <col min="12" max="12" width="7.5703125" customWidth="1"/>
    <col min="13" max="13" width="7.42578125" customWidth="1"/>
    <col min="14" max="14" width="6.42578125" customWidth="1"/>
    <col min="15" max="15" width="12.85546875" customWidth="1"/>
    <col min="16" max="16" width="8.140625" customWidth="1"/>
    <col min="17" max="18" width="10.28515625" customWidth="1"/>
    <col min="19" max="19" width="6.42578125" customWidth="1"/>
    <col min="20" max="20" width="8.85546875" customWidth="1"/>
    <col min="21" max="21" width="13.28515625" customWidth="1"/>
    <col min="22" max="30" width="9.140625" customWidth="1"/>
    <col min="31" max="31" width="8.140625" customWidth="1"/>
    <col min="32" max="42" width="10.7109375" customWidth="1"/>
    <col min="43" max="43" width="11.140625" customWidth="1"/>
    <col min="44" max="44" width="12.7109375" customWidth="1"/>
    <col min="45" max="45" width="47.42578125" bestFit="1" customWidth="1"/>
    <col min="46" max="46" width="13.140625" bestFit="1" customWidth="1"/>
    <col min="47" max="48" width="8.5703125" bestFit="1" customWidth="1"/>
    <col min="49" max="49" width="12.5703125" bestFit="1" customWidth="1"/>
    <col min="50" max="50" width="47.42578125" bestFit="1" customWidth="1"/>
    <col min="51" max="51" width="12.7109375" bestFit="1" customWidth="1"/>
    <col min="52" max="52" width="8.5703125" bestFit="1" customWidth="1"/>
    <col min="53" max="53" width="16.7109375" bestFit="1" customWidth="1"/>
    <col min="55" max="55" width="16.7109375" bestFit="1" customWidth="1"/>
    <col min="57" max="57" width="3.7109375" customWidth="1"/>
  </cols>
  <sheetData>
    <row r="1" spans="1:58" x14ac:dyDescent="0.25">
      <c r="A1" t="s">
        <v>58</v>
      </c>
      <c r="E1" t="s">
        <v>47</v>
      </c>
      <c r="F1">
        <v>2</v>
      </c>
      <c r="G1" t="s">
        <v>38</v>
      </c>
      <c r="H1">
        <v>11</v>
      </c>
      <c r="I1" t="s">
        <v>35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 t="s">
        <v>49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 s="1" t="s">
        <v>50</v>
      </c>
      <c r="AG1" s="1">
        <f>V1</f>
        <v>1</v>
      </c>
      <c r="AH1" s="1">
        <f t="shared" ref="AH1:AP1" si="0">W1</f>
        <v>2</v>
      </c>
      <c r="AI1" s="1">
        <f t="shared" si="0"/>
        <v>3</v>
      </c>
      <c r="AJ1" s="1">
        <f t="shared" si="0"/>
        <v>4</v>
      </c>
      <c r="AK1" s="1">
        <f t="shared" si="0"/>
        <v>5</v>
      </c>
      <c r="AL1" s="1">
        <f t="shared" si="0"/>
        <v>6</v>
      </c>
      <c r="AM1" s="1">
        <f t="shared" si="0"/>
        <v>7</v>
      </c>
      <c r="AN1" s="1">
        <f t="shared" si="0"/>
        <v>8</v>
      </c>
      <c r="AO1" s="1">
        <f t="shared" si="0"/>
        <v>9</v>
      </c>
      <c r="AP1" s="1">
        <f t="shared" si="0"/>
        <v>10</v>
      </c>
      <c r="AQ1" s="1"/>
      <c r="AR1" s="1"/>
      <c r="AS1" s="1"/>
      <c r="AT1" s="1"/>
      <c r="AU1" s="1"/>
      <c r="AY1" s="1"/>
      <c r="AZ1" s="1"/>
      <c r="BA1" s="1"/>
      <c r="BB1" s="1"/>
      <c r="BC1" s="1"/>
    </row>
    <row r="2" spans="1:58" x14ac:dyDescent="0.25">
      <c r="G2" t="s">
        <v>37</v>
      </c>
      <c r="H2">
        <v>10</v>
      </c>
      <c r="I2" t="s">
        <v>36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7</v>
      </c>
      <c r="R2">
        <v>7</v>
      </c>
      <c r="S2">
        <v>7</v>
      </c>
      <c r="T2">
        <v>5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t="s">
        <v>55</v>
      </c>
      <c r="AY2" s="1"/>
      <c r="AZ2" s="1"/>
      <c r="BA2" s="1" t="s">
        <v>23</v>
      </c>
      <c r="BC2" s="1" t="s">
        <v>48</v>
      </c>
    </row>
    <row r="3" spans="1:58" s="1" customFormat="1" ht="30" x14ac:dyDescent="0.25">
      <c r="A3" s="1" t="s">
        <v>4</v>
      </c>
      <c r="B3" s="1" t="s">
        <v>1</v>
      </c>
      <c r="C3" s="1" t="s">
        <v>31</v>
      </c>
      <c r="D3" s="1" t="s">
        <v>29</v>
      </c>
      <c r="E3" s="1" t="s">
        <v>0</v>
      </c>
      <c r="F3" s="1" t="s">
        <v>2</v>
      </c>
      <c r="G3" s="1" t="s">
        <v>32</v>
      </c>
      <c r="H3" s="1" t="s">
        <v>33</v>
      </c>
      <c r="I3" t="s">
        <v>56</v>
      </c>
      <c r="J3" s="1" t="s">
        <v>5</v>
      </c>
      <c r="K3" s="1" t="s">
        <v>95</v>
      </c>
      <c r="L3" s="1" t="s">
        <v>100</v>
      </c>
      <c r="M3" s="1" t="s">
        <v>97</v>
      </c>
      <c r="N3" s="1" t="s">
        <v>87</v>
      </c>
      <c r="O3" s="1" t="s">
        <v>96</v>
      </c>
      <c r="P3" s="1" t="s">
        <v>94</v>
      </c>
      <c r="Q3" s="1" t="s">
        <v>101</v>
      </c>
      <c r="R3" s="1" t="s">
        <v>102</v>
      </c>
      <c r="S3" s="1" t="s">
        <v>103</v>
      </c>
      <c r="T3" s="1" t="s">
        <v>104</v>
      </c>
      <c r="U3" s="2" t="s">
        <v>34</v>
      </c>
      <c r="V3" s="1" t="s">
        <v>39</v>
      </c>
      <c r="W3" s="1" t="s">
        <v>78</v>
      </c>
      <c r="X3" s="1" t="s">
        <v>44</v>
      </c>
      <c r="Y3" s="1" t="s">
        <v>79</v>
      </c>
      <c r="Z3" s="1" t="s">
        <v>40</v>
      </c>
      <c r="AA3" s="1" t="s">
        <v>41</v>
      </c>
      <c r="AB3" s="1" t="s">
        <v>80</v>
      </c>
      <c r="AC3" s="1" t="s">
        <v>42</v>
      </c>
      <c r="AD3" s="1" t="s">
        <v>81</v>
      </c>
      <c r="AE3" s="1" t="s">
        <v>43</v>
      </c>
      <c r="AQ3" s="1" t="str">
        <f>V3</f>
        <v>HP_TE</v>
      </c>
      <c r="AR3" s="1" t="str">
        <f t="shared" ref="AR3:AZ3" si="1">W3</f>
        <v>HP_TE_PANEL</v>
      </c>
      <c r="AS3" s="1" t="str">
        <f t="shared" si="1"/>
        <v>HP_CAP</v>
      </c>
      <c r="AT3" s="1" t="str">
        <f t="shared" si="1"/>
        <v>HP_LE_PANEL</v>
      </c>
      <c r="AU3" s="1" t="str">
        <f t="shared" si="1"/>
        <v>HP_LE</v>
      </c>
      <c r="AV3" s="1" t="str">
        <f t="shared" si="1"/>
        <v>LP_LE</v>
      </c>
      <c r="AW3" s="1" t="str">
        <f t="shared" si="1"/>
        <v>LP_LE_PANEL</v>
      </c>
      <c r="AX3" s="1" t="str">
        <f t="shared" si="1"/>
        <v>LP_CAP</v>
      </c>
      <c r="AY3" s="1" t="str">
        <f t="shared" si="1"/>
        <v>LP_TE_PANEL</v>
      </c>
      <c r="AZ3" s="1" t="str">
        <f t="shared" si="1"/>
        <v>LP_TE</v>
      </c>
      <c r="BA3" s="1" t="s">
        <v>45</v>
      </c>
      <c r="BB3" s="1" t="s">
        <v>46</v>
      </c>
      <c r="BC3" s="1" t="s">
        <v>45</v>
      </c>
      <c r="BD3" s="1" t="s">
        <v>46</v>
      </c>
    </row>
    <row r="4" spans="1:58" x14ac:dyDescent="0.25">
      <c r="A4">
        <v>1</v>
      </c>
      <c r="B4" s="6">
        <v>0</v>
      </c>
      <c r="C4" t="s">
        <v>28</v>
      </c>
      <c r="D4" t="s">
        <v>30</v>
      </c>
      <c r="E4">
        <v>14.81</v>
      </c>
      <c r="F4" s="1">
        <v>0.58399999999999996</v>
      </c>
      <c r="G4" s="1">
        <v>0.5</v>
      </c>
      <c r="H4" s="1">
        <v>0.5</v>
      </c>
      <c r="I4" t="s">
        <v>54</v>
      </c>
      <c r="J4">
        <v>1</v>
      </c>
      <c r="K4">
        <v>1</v>
      </c>
      <c r="L4">
        <v>1</v>
      </c>
      <c r="M4">
        <v>2</v>
      </c>
      <c r="N4" s="5">
        <v>8</v>
      </c>
      <c r="O4" s="5">
        <v>1</v>
      </c>
      <c r="P4" s="5">
        <v>1</v>
      </c>
      <c r="Q4" s="5">
        <v>4</v>
      </c>
      <c r="R4" s="5">
        <v>4</v>
      </c>
      <c r="S4" s="5">
        <v>4</v>
      </c>
      <c r="T4" s="5">
        <v>8</v>
      </c>
      <c r="U4">
        <v>-1</v>
      </c>
      <c r="V4">
        <v>-0.95</v>
      </c>
      <c r="W4">
        <f>(F4*G4+0.2)/F4*-1</f>
        <v>-0.84246575342465757</v>
      </c>
      <c r="X4">
        <f>(F4*G4-0.2)/F4*-1</f>
        <v>-0.15753424657534243</v>
      </c>
      <c r="Y4">
        <v>-0.05</v>
      </c>
      <c r="Z4">
        <v>0</v>
      </c>
      <c r="AA4">
        <f>-1*Y4</f>
        <v>0.05</v>
      </c>
      <c r="AB4">
        <v>0.15</v>
      </c>
      <c r="AC4" s="1">
        <v>0.5</v>
      </c>
      <c r="AD4">
        <f>-1*V4</f>
        <v>0.95</v>
      </c>
      <c r="AE4" s="1">
        <v>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5" t="s">
        <v>116</v>
      </c>
      <c r="AR4" s="15" t="s">
        <v>116</v>
      </c>
      <c r="AS4" s="15" t="s">
        <v>116</v>
      </c>
      <c r="AT4" s="15" t="s">
        <v>116</v>
      </c>
      <c r="AU4" s="15" t="s">
        <v>116</v>
      </c>
      <c r="AV4" s="15" t="s">
        <v>116</v>
      </c>
      <c r="AW4" s="15" t="s">
        <v>116</v>
      </c>
      <c r="AX4" s="15" t="s">
        <v>116</v>
      </c>
      <c r="AY4" s="15" t="s">
        <v>116</v>
      </c>
      <c r="AZ4" s="15" t="s">
        <v>116</v>
      </c>
      <c r="BA4" s="1"/>
      <c r="BB4" s="1"/>
      <c r="BC4" s="1"/>
      <c r="BD4" s="1"/>
      <c r="BE4" s="1"/>
      <c r="BF4" s="6"/>
    </row>
    <row r="5" spans="1:58" x14ac:dyDescent="0.25">
      <c r="A5">
        <v>2</v>
      </c>
      <c r="B5" s="6">
        <v>0.1</v>
      </c>
      <c r="C5" t="s">
        <v>28</v>
      </c>
      <c r="D5" t="s">
        <v>30</v>
      </c>
      <c r="E5">
        <v>14.81</v>
      </c>
      <c r="F5" s="1">
        <v>0.58399999999999996</v>
      </c>
      <c r="G5" s="1">
        <v>0.5</v>
      </c>
      <c r="H5" s="1">
        <v>0.5</v>
      </c>
      <c r="N5" s="5"/>
      <c r="O5" s="5"/>
      <c r="P5" s="5"/>
      <c r="R5" s="5"/>
      <c r="S5" s="5"/>
      <c r="T5" s="5"/>
      <c r="U5">
        <v>-1</v>
      </c>
      <c r="AD5" s="1"/>
      <c r="AE5" s="1">
        <v>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5" t="s">
        <v>116</v>
      </c>
      <c r="AR5" s="15" t="s">
        <v>116</v>
      </c>
      <c r="AS5" s="15" t="s">
        <v>116</v>
      </c>
      <c r="AT5" s="15" t="s">
        <v>116</v>
      </c>
      <c r="AU5" s="15" t="s">
        <v>116</v>
      </c>
      <c r="AV5" s="15" t="s">
        <v>116</v>
      </c>
      <c r="AW5" s="15" t="s">
        <v>116</v>
      </c>
      <c r="AX5" s="15" t="s">
        <v>116</v>
      </c>
      <c r="AY5" s="15" t="s">
        <v>116</v>
      </c>
      <c r="AZ5" s="15" t="s">
        <v>116</v>
      </c>
      <c r="BA5" s="1"/>
      <c r="BB5" s="1"/>
      <c r="BC5" s="1"/>
      <c r="BD5" s="1"/>
      <c r="BE5" s="1"/>
      <c r="BF5" s="6"/>
    </row>
    <row r="6" spans="1:58" x14ac:dyDescent="0.25">
      <c r="A6">
        <v>3</v>
      </c>
      <c r="B6" s="6">
        <v>0.2</v>
      </c>
      <c r="C6" t="s">
        <v>28</v>
      </c>
      <c r="D6" t="s">
        <v>30</v>
      </c>
      <c r="E6">
        <v>14.81</v>
      </c>
      <c r="F6" s="1">
        <v>0.58399999999999996</v>
      </c>
      <c r="G6" s="1">
        <v>0.5</v>
      </c>
      <c r="H6" s="1">
        <v>0.5</v>
      </c>
      <c r="N6" s="5"/>
      <c r="O6" s="5"/>
      <c r="P6" s="5"/>
      <c r="R6" s="5"/>
      <c r="S6" s="5"/>
      <c r="T6" s="5"/>
      <c r="U6">
        <v>-1</v>
      </c>
      <c r="AD6" s="1"/>
      <c r="AE6" s="1">
        <v>1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5" t="s">
        <v>116</v>
      </c>
      <c r="AR6" s="15" t="s">
        <v>116</v>
      </c>
      <c r="AS6" s="15" t="s">
        <v>116</v>
      </c>
      <c r="AT6" s="15" t="s">
        <v>116</v>
      </c>
      <c r="AU6" s="15" t="s">
        <v>116</v>
      </c>
      <c r="AV6" s="15" t="s">
        <v>116</v>
      </c>
      <c r="AW6" s="15" t="s">
        <v>116</v>
      </c>
      <c r="AX6" s="15" t="s">
        <v>116</v>
      </c>
      <c r="AY6" s="15" t="s">
        <v>116</v>
      </c>
      <c r="AZ6" s="15" t="s">
        <v>116</v>
      </c>
      <c r="BA6" s="1"/>
      <c r="BB6" s="1"/>
      <c r="BC6" s="1"/>
      <c r="BD6" s="1"/>
      <c r="BE6" s="1"/>
      <c r="BF6" s="6"/>
    </row>
    <row r="7" spans="1:58" x14ac:dyDescent="0.25">
      <c r="A7">
        <v>4</v>
      </c>
      <c r="B7" s="6">
        <v>0.3</v>
      </c>
      <c r="C7" t="s">
        <v>28</v>
      </c>
      <c r="D7" t="s">
        <v>30</v>
      </c>
      <c r="E7">
        <v>14.81</v>
      </c>
      <c r="F7" s="1">
        <v>0.57399999999999995</v>
      </c>
      <c r="G7" s="1">
        <v>0.5</v>
      </c>
      <c r="H7" s="1">
        <v>0.5</v>
      </c>
      <c r="N7" s="5"/>
      <c r="O7" s="5"/>
      <c r="P7" s="5"/>
      <c r="R7" s="5"/>
      <c r="S7" s="5"/>
      <c r="T7" s="5"/>
      <c r="U7">
        <v>-1</v>
      </c>
      <c r="W7">
        <f>(F7*G7+0.26)/F7*-1</f>
        <v>-0.95296167247386754</v>
      </c>
      <c r="X7">
        <f>(F7*G7-0.26)/F7*-1</f>
        <v>-4.7038327526132351E-2</v>
      </c>
      <c r="AB7">
        <f>-1*X7</f>
        <v>4.7038327526132351E-2</v>
      </c>
      <c r="AC7">
        <f>-1*W7</f>
        <v>0.95296167247386754</v>
      </c>
      <c r="AD7" s="1"/>
      <c r="AE7" s="1">
        <v>1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5" t="s">
        <v>116</v>
      </c>
      <c r="AR7" s="15" t="s">
        <v>116</v>
      </c>
      <c r="AS7" s="1" t="s">
        <v>116</v>
      </c>
      <c r="AT7" s="15" t="s">
        <v>116</v>
      </c>
      <c r="AU7" s="15" t="s">
        <v>116</v>
      </c>
      <c r="AV7" s="15" t="s">
        <v>116</v>
      </c>
      <c r="AW7" s="15" t="s">
        <v>116</v>
      </c>
      <c r="AX7" s="1" t="s">
        <v>116</v>
      </c>
      <c r="AY7" s="15" t="s">
        <v>116</v>
      </c>
      <c r="AZ7" s="15" t="s">
        <v>116</v>
      </c>
      <c r="BA7" s="1" t="s">
        <v>120</v>
      </c>
      <c r="BB7" s="1" t="s">
        <v>82</v>
      </c>
      <c r="BC7" s="1" t="s">
        <v>120</v>
      </c>
      <c r="BD7" s="1" t="s">
        <v>83</v>
      </c>
      <c r="BE7" s="1"/>
      <c r="BF7" s="6"/>
    </row>
    <row r="8" spans="1:58" x14ac:dyDescent="0.25">
      <c r="A8">
        <v>5</v>
      </c>
      <c r="B8" s="6">
        <v>0.5</v>
      </c>
      <c r="C8" t="s">
        <v>67</v>
      </c>
      <c r="D8" t="s">
        <v>30</v>
      </c>
      <c r="F8" s="1"/>
      <c r="G8" s="1"/>
      <c r="H8" s="1"/>
      <c r="I8" t="s">
        <v>110</v>
      </c>
      <c r="N8" s="5"/>
      <c r="O8" s="5"/>
      <c r="P8" s="5"/>
      <c r="U8">
        <v>-1</v>
      </c>
      <c r="V8">
        <v>-0.97799999999999998</v>
      </c>
      <c r="Y8">
        <v>-1.7999999999999999E-2</v>
      </c>
      <c r="AA8">
        <f>-1*Y8</f>
        <v>1.7999999999999999E-2</v>
      </c>
      <c r="AD8" s="1">
        <f>-1*V8</f>
        <v>0.97799999999999998</v>
      </c>
      <c r="AE8" s="1">
        <v>1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 t="s">
        <v>113</v>
      </c>
      <c r="AR8" s="1" t="s">
        <v>114</v>
      </c>
      <c r="AS8" s="1" t="s">
        <v>115</v>
      </c>
      <c r="AT8" s="1" t="s">
        <v>114</v>
      </c>
      <c r="AU8" s="1" t="s">
        <v>113</v>
      </c>
      <c r="AV8" s="1" t="s">
        <v>113</v>
      </c>
      <c r="AW8" s="1" t="s">
        <v>114</v>
      </c>
      <c r="AX8" s="1" t="s">
        <v>115</v>
      </c>
      <c r="AY8" s="1" t="s">
        <v>114</v>
      </c>
      <c r="AZ8" s="1" t="s">
        <v>113</v>
      </c>
      <c r="BA8" s="1" t="s">
        <v>120</v>
      </c>
      <c r="BB8" s="1" t="s">
        <v>82</v>
      </c>
      <c r="BC8" s="1" t="s">
        <v>120</v>
      </c>
      <c r="BD8" s="1" t="s">
        <v>83</v>
      </c>
      <c r="BE8" s="1"/>
      <c r="BF8" s="6"/>
    </row>
    <row r="9" spans="1:58" x14ac:dyDescent="0.25">
      <c r="A9">
        <v>6</v>
      </c>
      <c r="B9" s="6">
        <v>0.55000000000000004</v>
      </c>
      <c r="C9" t="s">
        <v>67</v>
      </c>
      <c r="D9" t="s">
        <v>30</v>
      </c>
      <c r="I9" t="s">
        <v>111</v>
      </c>
      <c r="U9">
        <v>-1</v>
      </c>
      <c r="AE9" s="1">
        <v>1</v>
      </c>
      <c r="AQ9" s="1" t="s">
        <v>113</v>
      </c>
      <c r="AR9" s="1" t="s">
        <v>114</v>
      </c>
      <c r="AS9" s="1" t="s">
        <v>117</v>
      </c>
      <c r="AT9" s="1" t="s">
        <v>114</v>
      </c>
      <c r="AU9" s="1" t="s">
        <v>113</v>
      </c>
      <c r="AV9" s="1" t="s">
        <v>113</v>
      </c>
      <c r="AW9" s="1" t="s">
        <v>114</v>
      </c>
      <c r="AX9" s="1" t="s">
        <v>117</v>
      </c>
      <c r="AY9" s="1" t="s">
        <v>114</v>
      </c>
      <c r="AZ9" s="1" t="s">
        <v>113</v>
      </c>
      <c r="BA9" s="1" t="s">
        <v>120</v>
      </c>
      <c r="BB9" s="1" t="s">
        <v>82</v>
      </c>
      <c r="BC9" s="1" t="s">
        <v>120</v>
      </c>
      <c r="BD9" s="1" t="s">
        <v>83</v>
      </c>
    </row>
    <row r="10" spans="1:58" x14ac:dyDescent="0.25">
      <c r="A10">
        <v>7</v>
      </c>
      <c r="B10" s="6">
        <v>0.9</v>
      </c>
      <c r="C10" t="s">
        <v>67</v>
      </c>
      <c r="D10" t="s">
        <v>30</v>
      </c>
      <c r="F10" s="1"/>
      <c r="G10" s="1"/>
      <c r="H10" s="1"/>
      <c r="N10" s="5"/>
      <c r="O10" s="5"/>
      <c r="P10" s="5"/>
      <c r="U10">
        <v>-1</v>
      </c>
      <c r="AD10" s="1"/>
      <c r="AE10" s="1">
        <v>1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113</v>
      </c>
      <c r="AR10" s="1" t="s">
        <v>114</v>
      </c>
      <c r="AS10" s="1" t="s">
        <v>117</v>
      </c>
      <c r="AT10" s="1" t="s">
        <v>114</v>
      </c>
      <c r="AU10" s="1" t="s">
        <v>113</v>
      </c>
      <c r="AV10" s="1" t="s">
        <v>113</v>
      </c>
      <c r="AW10" s="1" t="s">
        <v>114</v>
      </c>
      <c r="AX10" s="1" t="s">
        <v>117</v>
      </c>
      <c r="AY10" s="1" t="s">
        <v>114</v>
      </c>
      <c r="AZ10" s="1" t="s">
        <v>113</v>
      </c>
      <c r="BA10" s="1" t="s">
        <v>120</v>
      </c>
      <c r="BB10" s="1" t="s">
        <v>82</v>
      </c>
      <c r="BC10" s="1" t="s">
        <v>120</v>
      </c>
      <c r="BD10" s="1" t="s">
        <v>83</v>
      </c>
      <c r="BE10" s="1"/>
      <c r="BF10" s="6"/>
    </row>
    <row r="11" spans="1:58" x14ac:dyDescent="0.25">
      <c r="A11">
        <v>8</v>
      </c>
      <c r="B11" s="6">
        <v>1.2</v>
      </c>
      <c r="C11" t="s">
        <v>67</v>
      </c>
      <c r="D11" t="s">
        <v>30</v>
      </c>
      <c r="F11" s="1"/>
      <c r="G11" s="1"/>
      <c r="H11" s="1"/>
      <c r="I11" t="s">
        <v>109</v>
      </c>
      <c r="N11" s="5"/>
      <c r="O11" s="5"/>
      <c r="P11" s="5"/>
      <c r="R11" s="5">
        <v>4</v>
      </c>
      <c r="S11" s="5"/>
      <c r="T11" s="5"/>
      <c r="U11">
        <v>-1</v>
      </c>
      <c r="AD11" s="1"/>
      <c r="AE11" s="1">
        <v>1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113</v>
      </c>
      <c r="AR11" s="1" t="s">
        <v>114</v>
      </c>
      <c r="AS11" s="1" t="s">
        <v>117</v>
      </c>
      <c r="AT11" s="1" t="s">
        <v>114</v>
      </c>
      <c r="AU11" s="1" t="s">
        <v>113</v>
      </c>
      <c r="AV11" s="1" t="s">
        <v>113</v>
      </c>
      <c r="AW11" s="1" t="s">
        <v>114</v>
      </c>
      <c r="AX11" s="1" t="s">
        <v>117</v>
      </c>
      <c r="AY11" s="1" t="s">
        <v>114</v>
      </c>
      <c r="AZ11" s="1" t="s">
        <v>113</v>
      </c>
      <c r="BA11" s="1" t="s">
        <v>120</v>
      </c>
      <c r="BB11" s="1" t="s">
        <v>82</v>
      </c>
      <c r="BC11" s="1" t="s">
        <v>120</v>
      </c>
      <c r="BD11" s="1" t="s">
        <v>83</v>
      </c>
      <c r="BE11" s="1"/>
      <c r="BF11" s="6"/>
    </row>
    <row r="12" spans="1:58" x14ac:dyDescent="0.25">
      <c r="A12">
        <v>9</v>
      </c>
      <c r="B12" s="6">
        <v>1.5</v>
      </c>
      <c r="C12" t="s">
        <v>63</v>
      </c>
      <c r="D12" t="s">
        <v>53</v>
      </c>
      <c r="E12">
        <v>13.03</v>
      </c>
      <c r="F12" s="1">
        <v>1.294</v>
      </c>
      <c r="G12" s="1">
        <v>0.32</v>
      </c>
      <c r="H12" s="1">
        <f>0.25-(0.32-0.25)+(0.32-0.25)</f>
        <v>0.25</v>
      </c>
      <c r="I12" t="s">
        <v>61</v>
      </c>
      <c r="O12" s="5"/>
      <c r="P12" s="5"/>
      <c r="R12" s="5"/>
      <c r="S12" s="5"/>
      <c r="T12" s="5"/>
      <c r="U12">
        <v>-1</v>
      </c>
      <c r="V12" s="1">
        <v>-0.94</v>
      </c>
      <c r="W12">
        <f>(F12*G12+0.26)/F12*-1</f>
        <v>-0.52092735703245752</v>
      </c>
      <c r="X12">
        <f>(F12*G12-0.26)/F12*-1</f>
        <v>-0.1190726429675425</v>
      </c>
      <c r="Y12" s="1">
        <v>-2.5000000000000001E-2</v>
      </c>
      <c r="Z12" s="1"/>
      <c r="AA12">
        <f>-1*Y12</f>
        <v>2.5000000000000001E-2</v>
      </c>
      <c r="AB12">
        <f>-1*X12</f>
        <v>0.1190726429675425</v>
      </c>
      <c r="AC12">
        <f>-1*W12</f>
        <v>0.52092735703245752</v>
      </c>
      <c r="AD12" s="1">
        <f>-1*V12</f>
        <v>0.94</v>
      </c>
      <c r="AE12" s="1">
        <v>1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 t="s">
        <v>113</v>
      </c>
      <c r="AR12" s="1" t="s">
        <v>114</v>
      </c>
      <c r="AS12" s="1" t="s">
        <v>117</v>
      </c>
      <c r="AT12" s="1" t="s">
        <v>114</v>
      </c>
      <c r="AU12" s="1" t="s">
        <v>113</v>
      </c>
      <c r="AV12" s="1" t="s">
        <v>113</v>
      </c>
      <c r="AW12" s="1" t="s">
        <v>114</v>
      </c>
      <c r="AX12" s="1" t="s">
        <v>117</v>
      </c>
      <c r="AY12" s="1" t="s">
        <v>114</v>
      </c>
      <c r="AZ12" s="1" t="s">
        <v>113</v>
      </c>
      <c r="BA12" s="1" t="s">
        <v>120</v>
      </c>
      <c r="BB12" s="1" t="s">
        <v>82</v>
      </c>
      <c r="BC12" s="1" t="s">
        <v>120</v>
      </c>
      <c r="BD12" s="1" t="s">
        <v>83</v>
      </c>
      <c r="BE12" s="1"/>
      <c r="BF12" s="6"/>
    </row>
    <row r="13" spans="1:58" x14ac:dyDescent="0.25">
      <c r="A13">
        <v>10</v>
      </c>
      <c r="B13" s="6">
        <v>1.6</v>
      </c>
      <c r="C13" t="s">
        <v>67</v>
      </c>
      <c r="D13" t="s">
        <v>53</v>
      </c>
      <c r="F13" s="1"/>
      <c r="G13" s="1"/>
      <c r="H13" s="1"/>
      <c r="I13" t="s">
        <v>109</v>
      </c>
      <c r="O13" s="5"/>
      <c r="P13" s="5"/>
      <c r="R13" s="5">
        <v>3</v>
      </c>
      <c r="S13" s="5"/>
      <c r="T13" s="5"/>
      <c r="U13">
        <v>-1</v>
      </c>
      <c r="V13" s="1"/>
      <c r="Y13" s="1"/>
      <c r="Z13" s="1"/>
      <c r="AD13" s="1"/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113</v>
      </c>
      <c r="AR13" s="1" t="s">
        <v>114</v>
      </c>
      <c r="AS13" s="1" t="s">
        <v>117</v>
      </c>
      <c r="AT13" s="1" t="s">
        <v>114</v>
      </c>
      <c r="AU13" s="1" t="s">
        <v>113</v>
      </c>
      <c r="AV13" s="1" t="s">
        <v>113</v>
      </c>
      <c r="AW13" s="1" t="s">
        <v>114</v>
      </c>
      <c r="AX13" s="1" t="s">
        <v>117</v>
      </c>
      <c r="AY13" s="1" t="s">
        <v>114</v>
      </c>
      <c r="AZ13" s="1" t="s">
        <v>113</v>
      </c>
      <c r="BA13" s="1" t="s">
        <v>120</v>
      </c>
      <c r="BB13" s="1" t="s">
        <v>82</v>
      </c>
      <c r="BC13" s="1" t="s">
        <v>120</v>
      </c>
      <c r="BD13" s="1" t="s">
        <v>83</v>
      </c>
      <c r="BE13" s="1"/>
      <c r="BF13" s="6"/>
    </row>
    <row r="14" spans="1:58" x14ac:dyDescent="0.25">
      <c r="A14">
        <v>11</v>
      </c>
      <c r="B14" s="6">
        <v>2</v>
      </c>
      <c r="C14" t="s">
        <v>67</v>
      </c>
      <c r="D14" t="s">
        <v>53</v>
      </c>
      <c r="F14" s="1"/>
      <c r="G14" s="1"/>
      <c r="H14" s="1"/>
      <c r="I14" t="s">
        <v>109</v>
      </c>
      <c r="O14" s="5"/>
      <c r="P14" s="5"/>
      <c r="R14" s="5">
        <v>2</v>
      </c>
      <c r="S14" s="5"/>
      <c r="T14" s="5"/>
      <c r="U14">
        <v>-1</v>
      </c>
      <c r="V14" s="1"/>
      <c r="W14" s="1"/>
      <c r="X14" s="1"/>
      <c r="Y14" s="1"/>
      <c r="Z14" s="1"/>
      <c r="AD14" s="1"/>
      <c r="AE14" s="1">
        <v>1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113</v>
      </c>
      <c r="AR14" s="1" t="s">
        <v>114</v>
      </c>
      <c r="AS14" s="1" t="s">
        <v>117</v>
      </c>
      <c r="AT14" s="1" t="s">
        <v>114</v>
      </c>
      <c r="AU14" s="1" t="s">
        <v>113</v>
      </c>
      <c r="AV14" s="1" t="s">
        <v>113</v>
      </c>
      <c r="AW14" s="1" t="s">
        <v>114</v>
      </c>
      <c r="AX14" s="1" t="s">
        <v>117</v>
      </c>
      <c r="AY14" s="1" t="s">
        <v>114</v>
      </c>
      <c r="AZ14" s="1" t="s">
        <v>113</v>
      </c>
      <c r="BA14" s="1" t="s">
        <v>120</v>
      </c>
      <c r="BB14" s="1" t="s">
        <v>82</v>
      </c>
      <c r="BC14" s="1" t="s">
        <v>120</v>
      </c>
      <c r="BD14" s="1" t="s">
        <v>83</v>
      </c>
      <c r="BE14" s="1"/>
      <c r="BF14" s="6"/>
    </row>
    <row r="15" spans="1:58" x14ac:dyDescent="0.25">
      <c r="A15">
        <v>12</v>
      </c>
      <c r="B15" s="6">
        <v>2.4</v>
      </c>
      <c r="C15" t="s">
        <v>67</v>
      </c>
      <c r="D15" t="s">
        <v>53</v>
      </c>
      <c r="F15" s="1"/>
      <c r="G15" s="1"/>
      <c r="H15" s="1"/>
      <c r="I15" t="s">
        <v>109</v>
      </c>
      <c r="O15" s="5"/>
      <c r="P15" s="5"/>
      <c r="R15" s="5">
        <v>1</v>
      </c>
      <c r="S15" s="5"/>
      <c r="T15" s="5"/>
      <c r="U15">
        <v>-1</v>
      </c>
      <c r="V15" s="1"/>
      <c r="W15" s="1"/>
      <c r="X15" s="1"/>
      <c r="Y15" s="1"/>
      <c r="Z15" s="1"/>
      <c r="AD15" s="1"/>
      <c r="AE15" s="1">
        <v>1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113</v>
      </c>
      <c r="AR15" s="1" t="s">
        <v>114</v>
      </c>
      <c r="AS15" s="1" t="s">
        <v>117</v>
      </c>
      <c r="AT15" s="1" t="s">
        <v>114</v>
      </c>
      <c r="AU15" s="1" t="s">
        <v>113</v>
      </c>
      <c r="AV15" s="1" t="s">
        <v>113</v>
      </c>
      <c r="AW15" s="1" t="s">
        <v>114</v>
      </c>
      <c r="AX15" s="1" t="s">
        <v>117</v>
      </c>
      <c r="AY15" s="1" t="s">
        <v>114</v>
      </c>
      <c r="AZ15" s="1" t="s">
        <v>113</v>
      </c>
      <c r="BA15" s="1" t="s">
        <v>120</v>
      </c>
      <c r="BB15" s="1" t="s">
        <v>82</v>
      </c>
      <c r="BC15" s="1" t="s">
        <v>120</v>
      </c>
      <c r="BD15" s="1" t="s">
        <v>83</v>
      </c>
      <c r="BE15" s="1"/>
      <c r="BF15" s="6"/>
    </row>
    <row r="16" spans="1:58" x14ac:dyDescent="0.25">
      <c r="A16">
        <v>13</v>
      </c>
      <c r="B16" s="6">
        <v>2.6</v>
      </c>
      <c r="C16" t="s">
        <v>67</v>
      </c>
      <c r="D16" t="s">
        <v>53</v>
      </c>
      <c r="F16" s="1"/>
      <c r="G16" s="1"/>
      <c r="H16" s="1"/>
      <c r="I16" t="s">
        <v>106</v>
      </c>
      <c r="O16" s="5"/>
      <c r="P16" s="5"/>
      <c r="R16" s="5"/>
      <c r="S16" s="5"/>
      <c r="T16" s="5"/>
      <c r="U16">
        <v>-1</v>
      </c>
      <c r="V16" s="1"/>
      <c r="W16" s="1"/>
      <c r="X16" s="1"/>
      <c r="Y16" s="1"/>
      <c r="Z16" s="1"/>
      <c r="AD16" s="1"/>
      <c r="AE16" s="1">
        <v>1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 t="s">
        <v>113</v>
      </c>
      <c r="AR16" s="1" t="s">
        <v>114</v>
      </c>
      <c r="AS16" s="1" t="s">
        <v>117</v>
      </c>
      <c r="AT16" s="1" t="s">
        <v>114</v>
      </c>
      <c r="AU16" s="1" t="s">
        <v>113</v>
      </c>
      <c r="AV16" s="1" t="s">
        <v>113</v>
      </c>
      <c r="AW16" s="1" t="s">
        <v>114</v>
      </c>
      <c r="AX16" s="1" t="s">
        <v>117</v>
      </c>
      <c r="AY16" s="1" t="s">
        <v>114</v>
      </c>
      <c r="AZ16" s="1" t="s">
        <v>113</v>
      </c>
      <c r="BA16" s="1" t="s">
        <v>120</v>
      </c>
      <c r="BB16" s="1" t="s">
        <v>82</v>
      </c>
      <c r="BC16" s="1" t="s">
        <v>120</v>
      </c>
      <c r="BD16" s="1" t="s">
        <v>83</v>
      </c>
      <c r="BE16" s="1"/>
      <c r="BF16" s="6"/>
    </row>
    <row r="17" spans="1:58" x14ac:dyDescent="0.25">
      <c r="A17">
        <v>14</v>
      </c>
      <c r="B17" s="6">
        <v>2.8</v>
      </c>
      <c r="C17" t="s">
        <v>67</v>
      </c>
      <c r="D17" t="s">
        <v>53</v>
      </c>
      <c r="F17" s="1"/>
      <c r="G17" s="1"/>
      <c r="H17" s="1"/>
      <c r="I17" t="s">
        <v>108</v>
      </c>
      <c r="O17" s="5"/>
      <c r="P17" s="5"/>
      <c r="Q17">
        <v>4</v>
      </c>
      <c r="R17" s="5">
        <v>0</v>
      </c>
      <c r="S17" s="5"/>
      <c r="T17" s="5"/>
      <c r="U17">
        <v>-1</v>
      </c>
      <c r="V17" s="1"/>
      <c r="W17" s="1"/>
      <c r="X17" s="1"/>
      <c r="Y17" s="1"/>
      <c r="Z17" s="1"/>
      <c r="AD17" s="1"/>
      <c r="AE17" s="1">
        <v>1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113</v>
      </c>
      <c r="AR17" s="1" t="s">
        <v>114</v>
      </c>
      <c r="AS17" s="1" t="s">
        <v>117</v>
      </c>
      <c r="AT17" s="1" t="s">
        <v>114</v>
      </c>
      <c r="AU17" s="1" t="s">
        <v>113</v>
      </c>
      <c r="AV17" s="1" t="s">
        <v>113</v>
      </c>
      <c r="AW17" s="1" t="s">
        <v>114</v>
      </c>
      <c r="AX17" s="1" t="s">
        <v>117</v>
      </c>
      <c r="AY17" s="1" t="s">
        <v>114</v>
      </c>
      <c r="AZ17" s="1" t="s">
        <v>113</v>
      </c>
      <c r="BA17" s="1" t="s">
        <v>120</v>
      </c>
      <c r="BB17" s="1" t="s">
        <v>82</v>
      </c>
      <c r="BC17" s="1" t="s">
        <v>120</v>
      </c>
      <c r="BD17" s="1" t="s">
        <v>83</v>
      </c>
      <c r="BE17" s="1"/>
      <c r="BF17" s="6"/>
    </row>
    <row r="18" spans="1:58" x14ac:dyDescent="0.25">
      <c r="A18">
        <v>15</v>
      </c>
      <c r="B18" s="6">
        <v>3</v>
      </c>
      <c r="C18" t="s">
        <v>67</v>
      </c>
      <c r="D18" t="s">
        <v>53</v>
      </c>
      <c r="F18" s="1"/>
      <c r="G18" s="1"/>
      <c r="H18" s="1"/>
      <c r="O18" s="5"/>
      <c r="P18" s="5"/>
      <c r="R18" s="5"/>
      <c r="S18" s="5">
        <v>4</v>
      </c>
      <c r="T18" s="5"/>
      <c r="U18">
        <v>-1</v>
      </c>
      <c r="V18" s="1"/>
      <c r="W18" s="1"/>
      <c r="X18" s="1"/>
      <c r="Y18" s="1"/>
      <c r="Z18" s="1"/>
      <c r="AD18" s="1"/>
      <c r="AE18" s="1">
        <v>1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113</v>
      </c>
      <c r="AR18" s="1" t="s">
        <v>114</v>
      </c>
      <c r="AS18" s="1" t="s">
        <v>117</v>
      </c>
      <c r="AT18" s="1" t="s">
        <v>114</v>
      </c>
      <c r="AU18" s="1" t="s">
        <v>113</v>
      </c>
      <c r="AV18" s="1" t="s">
        <v>113</v>
      </c>
      <c r="AW18" s="1" t="s">
        <v>114</v>
      </c>
      <c r="AX18" s="1" t="s">
        <v>117</v>
      </c>
      <c r="AY18" s="1" t="s">
        <v>114</v>
      </c>
      <c r="AZ18" s="1" t="s">
        <v>113</v>
      </c>
      <c r="BA18" s="1" t="s">
        <v>120</v>
      </c>
      <c r="BB18" s="1" t="s">
        <v>82</v>
      </c>
      <c r="BC18" s="1" t="s">
        <v>120</v>
      </c>
      <c r="BD18" s="1" t="s">
        <v>83</v>
      </c>
      <c r="BE18" s="1"/>
      <c r="BF18" s="6"/>
    </row>
    <row r="19" spans="1:58" x14ac:dyDescent="0.25">
      <c r="A19">
        <v>16</v>
      </c>
      <c r="B19" s="6">
        <v>3.2</v>
      </c>
      <c r="C19" t="s">
        <v>67</v>
      </c>
      <c r="D19" t="s">
        <v>53</v>
      </c>
      <c r="F19" s="1"/>
      <c r="G19" s="1"/>
      <c r="H19" s="1"/>
      <c r="I19" t="s">
        <v>108</v>
      </c>
      <c r="O19" s="5"/>
      <c r="P19" s="5"/>
      <c r="Q19">
        <v>3</v>
      </c>
      <c r="R19" s="5"/>
      <c r="S19" s="5"/>
      <c r="T19" s="5"/>
      <c r="U19">
        <v>-1</v>
      </c>
      <c r="V19" s="1"/>
      <c r="W19" s="1"/>
      <c r="X19" s="1"/>
      <c r="Y19" s="1"/>
      <c r="Z19" s="1"/>
      <c r="AD19" s="1"/>
      <c r="AE19" s="1">
        <v>1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 t="s">
        <v>113</v>
      </c>
      <c r="AR19" s="1" t="s">
        <v>114</v>
      </c>
      <c r="AS19" s="1" t="s">
        <v>117</v>
      </c>
      <c r="AT19" s="1" t="s">
        <v>114</v>
      </c>
      <c r="AU19" s="1" t="s">
        <v>113</v>
      </c>
      <c r="AV19" s="1" t="s">
        <v>113</v>
      </c>
      <c r="AW19" s="1" t="s">
        <v>114</v>
      </c>
      <c r="AX19" s="1" t="s">
        <v>117</v>
      </c>
      <c r="AY19" s="1" t="s">
        <v>114</v>
      </c>
      <c r="AZ19" s="1" t="s">
        <v>113</v>
      </c>
      <c r="BA19" s="1" t="s">
        <v>120</v>
      </c>
      <c r="BB19" s="1" t="s">
        <v>82</v>
      </c>
      <c r="BC19" s="1" t="s">
        <v>120</v>
      </c>
      <c r="BD19" s="1" t="s">
        <v>83</v>
      </c>
      <c r="BE19" s="1"/>
      <c r="BF19" s="6"/>
    </row>
    <row r="20" spans="1:58" x14ac:dyDescent="0.25">
      <c r="A20">
        <v>17</v>
      </c>
      <c r="B20" s="6">
        <v>3.6</v>
      </c>
      <c r="C20" t="s">
        <v>67</v>
      </c>
      <c r="D20" t="s">
        <v>53</v>
      </c>
      <c r="F20" s="1"/>
      <c r="G20" s="1"/>
      <c r="H20" s="1"/>
      <c r="I20" t="s">
        <v>108</v>
      </c>
      <c r="O20" s="5"/>
      <c r="P20" s="5"/>
      <c r="Q20">
        <v>2</v>
      </c>
      <c r="R20" s="5"/>
      <c r="S20" s="5"/>
      <c r="T20" s="5"/>
      <c r="U20">
        <v>-1</v>
      </c>
      <c r="V20" s="1"/>
      <c r="W20" s="1"/>
      <c r="X20" s="1"/>
      <c r="Y20" s="1"/>
      <c r="Z20" s="1"/>
      <c r="AD20" s="1"/>
      <c r="AE20" s="1">
        <v>1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113</v>
      </c>
      <c r="AR20" s="1" t="s">
        <v>114</v>
      </c>
      <c r="AS20" s="1" t="s">
        <v>117</v>
      </c>
      <c r="AT20" s="1" t="s">
        <v>114</v>
      </c>
      <c r="AU20" s="1" t="s">
        <v>113</v>
      </c>
      <c r="AV20" s="1" t="s">
        <v>113</v>
      </c>
      <c r="AW20" s="1" t="s">
        <v>114</v>
      </c>
      <c r="AX20" s="1" t="s">
        <v>117</v>
      </c>
      <c r="AY20" s="1" t="s">
        <v>114</v>
      </c>
      <c r="AZ20" s="1" t="s">
        <v>113</v>
      </c>
      <c r="BA20" s="1" t="s">
        <v>120</v>
      </c>
      <c r="BB20" s="1" t="s">
        <v>82</v>
      </c>
      <c r="BC20" s="1" t="s">
        <v>120</v>
      </c>
      <c r="BD20" s="1" t="s">
        <v>83</v>
      </c>
      <c r="BE20" s="1"/>
      <c r="BF20" s="6"/>
    </row>
    <row r="21" spans="1:58" x14ac:dyDescent="0.25">
      <c r="A21">
        <v>18</v>
      </c>
      <c r="B21" s="6">
        <v>3.7</v>
      </c>
      <c r="C21" t="s">
        <v>67</v>
      </c>
      <c r="D21" t="s">
        <v>53</v>
      </c>
      <c r="F21" s="1"/>
      <c r="G21" s="1"/>
      <c r="H21" s="1"/>
      <c r="I21" t="s">
        <v>105</v>
      </c>
      <c r="O21" s="5"/>
      <c r="P21" s="5"/>
      <c r="R21" s="5"/>
      <c r="S21" s="5"/>
      <c r="T21" s="5"/>
      <c r="U21">
        <v>-1</v>
      </c>
      <c r="V21" s="1"/>
      <c r="W21" s="1"/>
      <c r="X21" s="1"/>
      <c r="Y21" s="1"/>
      <c r="Z21" s="1"/>
      <c r="AD21" s="1"/>
      <c r="AE21" s="1">
        <v>1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113</v>
      </c>
      <c r="AR21" s="1" t="s">
        <v>114</v>
      </c>
      <c r="AS21" s="1" t="s">
        <v>117</v>
      </c>
      <c r="AT21" s="1" t="s">
        <v>114</v>
      </c>
      <c r="AU21" s="1" t="s">
        <v>113</v>
      </c>
      <c r="AV21" s="1" t="s">
        <v>113</v>
      </c>
      <c r="AW21" s="1" t="s">
        <v>114</v>
      </c>
      <c r="AX21" s="1" t="s">
        <v>117</v>
      </c>
      <c r="AY21" s="1" t="s">
        <v>114</v>
      </c>
      <c r="AZ21" s="1" t="s">
        <v>113</v>
      </c>
      <c r="BA21" s="1" t="s">
        <v>120</v>
      </c>
      <c r="BB21" s="1" t="s">
        <v>82</v>
      </c>
      <c r="BC21" s="1" t="s">
        <v>120</v>
      </c>
      <c r="BD21" s="1" t="s">
        <v>83</v>
      </c>
      <c r="BE21" s="1"/>
      <c r="BF21" s="6"/>
    </row>
    <row r="22" spans="1:58" x14ac:dyDescent="0.25">
      <c r="A22">
        <v>19</v>
      </c>
      <c r="B22" s="6">
        <v>4</v>
      </c>
      <c r="C22" t="s">
        <v>67</v>
      </c>
      <c r="D22" t="s">
        <v>53</v>
      </c>
      <c r="F22" s="1"/>
      <c r="G22" s="1"/>
      <c r="H22" s="1"/>
      <c r="I22" t="s">
        <v>108</v>
      </c>
      <c r="O22" s="5"/>
      <c r="P22" s="5"/>
      <c r="Q22">
        <v>1</v>
      </c>
      <c r="R22" s="5"/>
      <c r="S22" s="5">
        <v>3</v>
      </c>
      <c r="T22" s="5"/>
      <c r="U22">
        <v>-1</v>
      </c>
      <c r="V22" s="1"/>
      <c r="W22" s="1"/>
      <c r="X22" s="1"/>
      <c r="Y22" s="1"/>
      <c r="Z22" s="1"/>
      <c r="AD22" s="1"/>
      <c r="AE22" s="1">
        <v>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113</v>
      </c>
      <c r="AR22" s="1" t="s">
        <v>114</v>
      </c>
      <c r="AS22" s="1" t="s">
        <v>117</v>
      </c>
      <c r="AT22" s="1" t="s">
        <v>114</v>
      </c>
      <c r="AU22" s="1" t="s">
        <v>113</v>
      </c>
      <c r="AV22" s="1" t="s">
        <v>113</v>
      </c>
      <c r="AW22" s="1" t="s">
        <v>114</v>
      </c>
      <c r="AX22" s="1" t="s">
        <v>117</v>
      </c>
      <c r="AY22" s="1" t="s">
        <v>114</v>
      </c>
      <c r="AZ22" s="1" t="s">
        <v>113</v>
      </c>
      <c r="BA22" s="1" t="s">
        <v>120</v>
      </c>
      <c r="BB22" s="1" t="s">
        <v>82</v>
      </c>
      <c r="BC22" s="1" t="s">
        <v>120</v>
      </c>
      <c r="BD22" s="1" t="s">
        <v>83</v>
      </c>
      <c r="BE22" s="1"/>
      <c r="BF22" s="6"/>
    </row>
    <row r="23" spans="1:58" x14ac:dyDescent="0.25">
      <c r="A23">
        <v>20</v>
      </c>
      <c r="B23" s="6">
        <v>5</v>
      </c>
      <c r="C23" t="s">
        <v>67</v>
      </c>
      <c r="D23" t="s">
        <v>53</v>
      </c>
      <c r="F23" s="1"/>
      <c r="G23" s="1"/>
      <c r="H23" s="1"/>
      <c r="O23" s="5"/>
      <c r="P23" s="5"/>
      <c r="Q23">
        <v>0</v>
      </c>
      <c r="R23" s="5"/>
      <c r="S23" s="5">
        <v>2</v>
      </c>
      <c r="T23" s="5"/>
      <c r="U23">
        <v>-1</v>
      </c>
      <c r="V23" s="1"/>
      <c r="W23" s="1"/>
      <c r="X23" s="1"/>
      <c r="Y23" s="1"/>
      <c r="Z23" s="1"/>
      <c r="AD23" s="1"/>
      <c r="AE23" s="1">
        <v>1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113</v>
      </c>
      <c r="AR23" s="1" t="s">
        <v>114</v>
      </c>
      <c r="AS23" s="1" t="s">
        <v>117</v>
      </c>
      <c r="AT23" s="1" t="s">
        <v>114</v>
      </c>
      <c r="AU23" s="1" t="s">
        <v>113</v>
      </c>
      <c r="AV23" s="1" t="s">
        <v>113</v>
      </c>
      <c r="AW23" s="1" t="s">
        <v>114</v>
      </c>
      <c r="AX23" s="1" t="s">
        <v>117</v>
      </c>
      <c r="AY23" s="1" t="s">
        <v>114</v>
      </c>
      <c r="AZ23" s="1" t="s">
        <v>113</v>
      </c>
      <c r="BA23" s="1" t="s">
        <v>120</v>
      </c>
      <c r="BB23" s="1" t="s">
        <v>82</v>
      </c>
      <c r="BC23" s="1" t="s">
        <v>120</v>
      </c>
      <c r="BD23" s="1" t="s">
        <v>83</v>
      </c>
      <c r="BE23" s="1"/>
      <c r="BF23" s="6"/>
    </row>
    <row r="24" spans="1:58" x14ac:dyDescent="0.25">
      <c r="A24">
        <v>21</v>
      </c>
      <c r="B24" s="6">
        <v>5.7</v>
      </c>
      <c r="C24" t="s">
        <v>67</v>
      </c>
      <c r="D24" t="s">
        <v>53</v>
      </c>
      <c r="F24" s="1"/>
      <c r="G24" s="1"/>
      <c r="H24" s="1"/>
      <c r="I24" t="s">
        <v>122</v>
      </c>
      <c r="O24" s="5"/>
      <c r="P24" s="5"/>
      <c r="R24" s="5"/>
      <c r="S24" s="5"/>
      <c r="T24" s="5"/>
      <c r="U24">
        <v>-1</v>
      </c>
      <c r="V24" s="1"/>
      <c r="W24" s="1"/>
      <c r="X24" s="1"/>
      <c r="Y24" s="1"/>
      <c r="Z24" s="1"/>
      <c r="AD24" s="1"/>
      <c r="AE24" s="1">
        <v>1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113</v>
      </c>
      <c r="AR24" s="1" t="s">
        <v>114</v>
      </c>
      <c r="AS24" s="1" t="s">
        <v>117</v>
      </c>
      <c r="AT24" s="1" t="s">
        <v>114</v>
      </c>
      <c r="AU24" s="1" t="s">
        <v>113</v>
      </c>
      <c r="AV24" s="1" t="s">
        <v>113</v>
      </c>
      <c r="AW24" s="1" t="s">
        <v>114</v>
      </c>
      <c r="AX24" s="1" t="s">
        <v>117</v>
      </c>
      <c r="AY24" s="1" t="s">
        <v>114</v>
      </c>
      <c r="AZ24" s="1" t="s">
        <v>113</v>
      </c>
      <c r="BA24" s="1" t="s">
        <v>120</v>
      </c>
      <c r="BB24" s="1" t="s">
        <v>82</v>
      </c>
      <c r="BC24" s="1" t="s">
        <v>120</v>
      </c>
      <c r="BD24" s="1" t="s">
        <v>83</v>
      </c>
      <c r="BE24" s="1"/>
      <c r="BF24" s="6"/>
    </row>
    <row r="25" spans="1:58" x14ac:dyDescent="0.25">
      <c r="A25">
        <v>22</v>
      </c>
      <c r="B25" s="6">
        <v>5.75</v>
      </c>
      <c r="C25" t="s">
        <v>66</v>
      </c>
      <c r="D25" t="s">
        <v>53</v>
      </c>
      <c r="E25">
        <v>6.15</v>
      </c>
      <c r="F25" s="1">
        <v>0.99</v>
      </c>
      <c r="G25" s="7">
        <v>0.32</v>
      </c>
      <c r="H25" s="1">
        <f>($H$37-$H$12)/($B$37-$B$12)*(B25-$B$12)+$H$12+(0.32-0.25)</f>
        <v>0.40869565217391307</v>
      </c>
      <c r="I25" t="s">
        <v>60</v>
      </c>
      <c r="O25" s="5"/>
      <c r="P25" s="5"/>
      <c r="R25" s="5"/>
      <c r="S25" s="5">
        <v>1</v>
      </c>
      <c r="T25" s="5"/>
      <c r="U25">
        <v>-1</v>
      </c>
      <c r="V25" s="1"/>
      <c r="W25" s="1"/>
      <c r="X25" s="1"/>
      <c r="Y25" s="1"/>
      <c r="Z25" s="1"/>
      <c r="AD25" s="1"/>
      <c r="AE25" s="1">
        <v>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113</v>
      </c>
      <c r="AR25" s="1" t="s">
        <v>114</v>
      </c>
      <c r="AS25" s="1" t="s">
        <v>117</v>
      </c>
      <c r="AT25" s="1" t="s">
        <v>114</v>
      </c>
      <c r="AU25" s="1" t="s">
        <v>113</v>
      </c>
      <c r="AV25" s="1" t="s">
        <v>113</v>
      </c>
      <c r="AW25" s="1" t="s">
        <v>114</v>
      </c>
      <c r="AX25" s="1" t="s">
        <v>117</v>
      </c>
      <c r="AY25" s="1" t="s">
        <v>114</v>
      </c>
      <c r="AZ25" s="1" t="s">
        <v>113</v>
      </c>
      <c r="BA25" s="1" t="s">
        <v>120</v>
      </c>
      <c r="BB25" s="1" t="s">
        <v>82</v>
      </c>
      <c r="BC25" s="1" t="s">
        <v>120</v>
      </c>
      <c r="BD25" s="1" t="s">
        <v>83</v>
      </c>
      <c r="BE25" s="1"/>
      <c r="BF25" s="6"/>
    </row>
    <row r="26" spans="1:58" x14ac:dyDescent="0.25">
      <c r="A26">
        <v>23</v>
      </c>
      <c r="B26" s="6">
        <v>6</v>
      </c>
      <c r="C26" t="s">
        <v>67</v>
      </c>
      <c r="D26" t="s">
        <v>53</v>
      </c>
      <c r="F26" s="1"/>
      <c r="G26" s="1"/>
      <c r="H26" s="1"/>
      <c r="O26" s="5"/>
      <c r="P26" s="5"/>
      <c r="R26" s="5"/>
      <c r="S26" s="5">
        <v>0</v>
      </c>
      <c r="T26" s="5"/>
      <c r="U26">
        <v>-1</v>
      </c>
      <c r="V26" s="1"/>
      <c r="W26" s="1"/>
      <c r="X26" s="1"/>
      <c r="Y26" s="1"/>
      <c r="Z26" s="1"/>
      <c r="AD26" s="1"/>
      <c r="AE26" s="1">
        <v>1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113</v>
      </c>
      <c r="AR26" s="1" t="s">
        <v>114</v>
      </c>
      <c r="AS26" s="1" t="s">
        <v>117</v>
      </c>
      <c r="AT26" s="1" t="s">
        <v>114</v>
      </c>
      <c r="AU26" s="1" t="s">
        <v>113</v>
      </c>
      <c r="AV26" s="1" t="s">
        <v>113</v>
      </c>
      <c r="AW26" s="1" t="s">
        <v>114</v>
      </c>
      <c r="AX26" s="1" t="s">
        <v>117</v>
      </c>
      <c r="AY26" s="1" t="s">
        <v>114</v>
      </c>
      <c r="AZ26" s="1" t="s">
        <v>113</v>
      </c>
      <c r="BA26" s="1" t="s">
        <v>120</v>
      </c>
      <c r="BB26" s="1" t="s">
        <v>82</v>
      </c>
      <c r="BC26" s="1" t="s">
        <v>120</v>
      </c>
      <c r="BD26" s="1" t="s">
        <v>83</v>
      </c>
      <c r="BE26" s="1"/>
      <c r="BF26" s="6"/>
    </row>
    <row r="27" spans="1:58" x14ac:dyDescent="0.25">
      <c r="A27">
        <v>24</v>
      </c>
      <c r="B27" s="6">
        <v>7</v>
      </c>
      <c r="C27" t="s">
        <v>67</v>
      </c>
      <c r="D27" t="s">
        <v>53</v>
      </c>
      <c r="F27" s="1"/>
      <c r="G27" s="1"/>
      <c r="H27" s="1"/>
      <c r="O27" s="5"/>
      <c r="P27" s="5"/>
      <c r="R27" s="5"/>
      <c r="S27" s="5"/>
      <c r="T27" s="5"/>
      <c r="U27">
        <v>-1</v>
      </c>
      <c r="V27" s="1"/>
      <c r="W27" s="1"/>
      <c r="X27" s="1"/>
      <c r="Y27" s="1"/>
      <c r="Z27" s="1"/>
      <c r="AD27" s="1"/>
      <c r="AE27" s="1">
        <v>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113</v>
      </c>
      <c r="AR27" s="1" t="s">
        <v>114</v>
      </c>
      <c r="AS27" s="1" t="s">
        <v>117</v>
      </c>
      <c r="AT27" s="1" t="s">
        <v>114</v>
      </c>
      <c r="AU27" s="1" t="s">
        <v>113</v>
      </c>
      <c r="AV27" s="1" t="s">
        <v>113</v>
      </c>
      <c r="AW27" s="1" t="s">
        <v>114</v>
      </c>
      <c r="AX27" s="1" t="s">
        <v>117</v>
      </c>
      <c r="AY27" s="1" t="s">
        <v>114</v>
      </c>
      <c r="AZ27" s="1" t="s">
        <v>113</v>
      </c>
      <c r="BA27" s="1" t="s">
        <v>120</v>
      </c>
      <c r="BB27" s="1" t="s">
        <v>82</v>
      </c>
      <c r="BC27" s="1" t="s">
        <v>120</v>
      </c>
      <c r="BD27" s="1" t="s">
        <v>83</v>
      </c>
      <c r="BE27" s="1"/>
      <c r="BF27" s="6"/>
    </row>
    <row r="28" spans="1:58" x14ac:dyDescent="0.25">
      <c r="A28">
        <v>25</v>
      </c>
      <c r="B28" s="6">
        <v>8</v>
      </c>
      <c r="C28" t="s">
        <v>67</v>
      </c>
      <c r="D28" t="s">
        <v>53</v>
      </c>
      <c r="F28" s="1"/>
      <c r="G28" s="1"/>
      <c r="H28" s="1"/>
      <c r="O28" s="5"/>
      <c r="P28" s="5"/>
      <c r="R28" s="5"/>
      <c r="S28" s="5"/>
      <c r="T28" s="5"/>
      <c r="U28">
        <v>-1</v>
      </c>
      <c r="V28" s="1"/>
      <c r="W28" s="1"/>
      <c r="X28" s="1"/>
      <c r="Y28" s="1"/>
      <c r="Z28" s="1"/>
      <c r="AD28" s="1"/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113</v>
      </c>
      <c r="AR28" s="1" t="s">
        <v>114</v>
      </c>
      <c r="AS28" s="1" t="s">
        <v>117</v>
      </c>
      <c r="AT28" s="1" t="s">
        <v>114</v>
      </c>
      <c r="AU28" s="1" t="s">
        <v>113</v>
      </c>
      <c r="AV28" s="1" t="s">
        <v>113</v>
      </c>
      <c r="AW28" s="1" t="s">
        <v>114</v>
      </c>
      <c r="AX28" s="1" t="s">
        <v>117</v>
      </c>
      <c r="AY28" s="1" t="s">
        <v>114</v>
      </c>
      <c r="AZ28" s="1" t="s">
        <v>113</v>
      </c>
      <c r="BA28" s="1" t="s">
        <v>120</v>
      </c>
      <c r="BB28" s="1" t="s">
        <v>82</v>
      </c>
      <c r="BC28" s="1" t="s">
        <v>120</v>
      </c>
      <c r="BD28" s="1" t="s">
        <v>83</v>
      </c>
      <c r="BE28" s="1"/>
      <c r="BF28" s="6"/>
    </row>
    <row r="29" spans="1:58" x14ac:dyDescent="0.25">
      <c r="A29">
        <v>26</v>
      </c>
      <c r="B29" s="6">
        <v>8.1999999999999993</v>
      </c>
      <c r="C29" t="s">
        <v>67</v>
      </c>
      <c r="D29" t="s">
        <v>53</v>
      </c>
      <c r="F29" s="1"/>
      <c r="G29" s="1"/>
      <c r="H29" s="1"/>
      <c r="I29" t="s">
        <v>107</v>
      </c>
      <c r="O29" s="5"/>
      <c r="P29" s="5"/>
      <c r="R29" s="5"/>
      <c r="S29" s="5"/>
      <c r="T29" s="5"/>
      <c r="U29">
        <v>-1</v>
      </c>
      <c r="V29" s="1"/>
      <c r="W29" s="1"/>
      <c r="X29" s="1"/>
      <c r="Y29" s="1"/>
      <c r="Z29" s="1"/>
      <c r="AD29" s="1"/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113</v>
      </c>
      <c r="AR29" s="1" t="s">
        <v>114</v>
      </c>
      <c r="AS29" s="1" t="s">
        <v>117</v>
      </c>
      <c r="AT29" s="1" t="s">
        <v>114</v>
      </c>
      <c r="AU29" s="1" t="s">
        <v>113</v>
      </c>
      <c r="AV29" s="1" t="s">
        <v>113</v>
      </c>
      <c r="AW29" s="1" t="s">
        <v>114</v>
      </c>
      <c r="AX29" s="1" t="s">
        <v>117</v>
      </c>
      <c r="AY29" s="1" t="s">
        <v>114</v>
      </c>
      <c r="AZ29" s="1" t="s">
        <v>113</v>
      </c>
      <c r="BA29" s="1" t="s">
        <v>120</v>
      </c>
      <c r="BB29" s="1" t="s">
        <v>82</v>
      </c>
      <c r="BC29" s="1" t="s">
        <v>120</v>
      </c>
      <c r="BD29" s="1" t="s">
        <v>83</v>
      </c>
      <c r="BE29" s="1"/>
      <c r="BF29" s="6"/>
    </row>
    <row r="30" spans="1:58" x14ac:dyDescent="0.25">
      <c r="A30">
        <v>27</v>
      </c>
      <c r="B30" s="6">
        <v>9.5</v>
      </c>
      <c r="C30" t="s">
        <v>65</v>
      </c>
      <c r="D30" t="s">
        <v>53</v>
      </c>
      <c r="E30">
        <v>1.89</v>
      </c>
      <c r="F30" s="1">
        <v>0.72099999999999997</v>
      </c>
      <c r="G30" s="7">
        <v>0.32</v>
      </c>
      <c r="H30" s="1">
        <f>($H$37-$H$12)/($B$37-$B$12)*(B30-$B$12)+$H$12+(0.32-0.25)</f>
        <v>0.48695652173913045</v>
      </c>
      <c r="I30" t="s">
        <v>59</v>
      </c>
      <c r="O30" s="5"/>
      <c r="P30" s="5"/>
      <c r="R30" s="5"/>
      <c r="S30" s="5"/>
      <c r="T30" s="5"/>
      <c r="U30">
        <v>-1</v>
      </c>
      <c r="AD30" s="1"/>
      <c r="AE30" s="1">
        <v>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113</v>
      </c>
      <c r="AR30" s="1" t="s">
        <v>114</v>
      </c>
      <c r="AS30" s="1" t="s">
        <v>117</v>
      </c>
      <c r="AT30" s="1" t="s">
        <v>114</v>
      </c>
      <c r="AU30" s="1" t="s">
        <v>113</v>
      </c>
      <c r="AV30" s="1" t="s">
        <v>113</v>
      </c>
      <c r="AW30" s="1" t="s">
        <v>114</v>
      </c>
      <c r="AX30" s="1" t="s">
        <v>117</v>
      </c>
      <c r="AY30" s="1" t="s">
        <v>114</v>
      </c>
      <c r="AZ30" s="1" t="s">
        <v>113</v>
      </c>
      <c r="BA30" s="1" t="s">
        <v>120</v>
      </c>
      <c r="BB30" s="1" t="s">
        <v>82</v>
      </c>
      <c r="BC30" s="1" t="s">
        <v>120</v>
      </c>
      <c r="BD30" s="1" t="s">
        <v>83</v>
      </c>
      <c r="BE30" s="1"/>
      <c r="BF30" s="6"/>
    </row>
    <row r="31" spans="1:58" x14ac:dyDescent="0.25">
      <c r="A31">
        <v>28</v>
      </c>
      <c r="B31" s="6">
        <v>10</v>
      </c>
      <c r="C31" t="s">
        <v>67</v>
      </c>
      <c r="D31" t="s">
        <v>53</v>
      </c>
      <c r="F31" s="1"/>
      <c r="H31" s="1"/>
      <c r="O31" s="5"/>
      <c r="P31" s="5"/>
      <c r="R31" s="5"/>
      <c r="S31" s="5"/>
      <c r="T31" s="5"/>
      <c r="U31">
        <v>-1</v>
      </c>
      <c r="AD31" s="1"/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113</v>
      </c>
      <c r="AR31" s="1" t="s">
        <v>114</v>
      </c>
      <c r="AS31" s="1" t="s">
        <v>117</v>
      </c>
      <c r="AT31" s="1" t="s">
        <v>114</v>
      </c>
      <c r="AU31" s="1" t="s">
        <v>113</v>
      </c>
      <c r="AV31" s="1" t="s">
        <v>113</v>
      </c>
      <c r="AW31" s="1" t="s">
        <v>114</v>
      </c>
      <c r="AX31" s="1" t="s">
        <v>117</v>
      </c>
      <c r="AY31" s="1" t="s">
        <v>114</v>
      </c>
      <c r="AZ31" s="1" t="s">
        <v>113</v>
      </c>
      <c r="BA31" s="1" t="s">
        <v>120</v>
      </c>
      <c r="BB31" s="1" t="s">
        <v>82</v>
      </c>
      <c r="BC31" s="1" t="s">
        <v>120</v>
      </c>
      <c r="BD31" s="1" t="s">
        <v>83</v>
      </c>
      <c r="BE31" s="1"/>
      <c r="BF31" s="6"/>
    </row>
    <row r="32" spans="1:58" x14ac:dyDescent="0.25">
      <c r="A32">
        <v>29</v>
      </c>
      <c r="B32" s="6">
        <v>11</v>
      </c>
      <c r="C32" t="s">
        <v>67</v>
      </c>
      <c r="D32" t="s">
        <v>53</v>
      </c>
      <c r="F32" s="1"/>
      <c r="H32" s="1"/>
      <c r="O32" s="5"/>
      <c r="P32" s="5"/>
      <c r="R32" s="5"/>
      <c r="S32" s="5"/>
      <c r="T32" s="5"/>
      <c r="U32">
        <v>-1</v>
      </c>
      <c r="AD32" s="1"/>
      <c r="AE32" s="1">
        <v>1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113</v>
      </c>
      <c r="AR32" s="1" t="s">
        <v>114</v>
      </c>
      <c r="AS32" s="1" t="s">
        <v>117</v>
      </c>
      <c r="AT32" s="1" t="s">
        <v>114</v>
      </c>
      <c r="AU32" s="1" t="s">
        <v>113</v>
      </c>
      <c r="AV32" s="1" t="s">
        <v>113</v>
      </c>
      <c r="AW32" s="1" t="s">
        <v>114</v>
      </c>
      <c r="AX32" s="1" t="s">
        <v>117</v>
      </c>
      <c r="AY32" s="1" t="s">
        <v>114</v>
      </c>
      <c r="AZ32" s="1" t="s">
        <v>113</v>
      </c>
      <c r="BA32" s="1" t="s">
        <v>120</v>
      </c>
      <c r="BB32" s="1" t="s">
        <v>82</v>
      </c>
      <c r="BC32" s="1" t="s">
        <v>120</v>
      </c>
      <c r="BD32" s="1" t="s">
        <v>83</v>
      </c>
      <c r="BE32" s="1"/>
      <c r="BF32" s="6"/>
    </row>
    <row r="33" spans="1:58" x14ac:dyDescent="0.25">
      <c r="A33">
        <v>30</v>
      </c>
      <c r="B33" s="6">
        <v>11.4</v>
      </c>
      <c r="C33" t="s">
        <v>67</v>
      </c>
      <c r="D33" t="s">
        <v>53</v>
      </c>
      <c r="F33" s="1"/>
      <c r="H33" s="1"/>
      <c r="I33" t="s">
        <v>122</v>
      </c>
      <c r="O33" s="5"/>
      <c r="P33" s="5"/>
      <c r="R33" s="5"/>
      <c r="S33" s="5"/>
      <c r="T33" s="5"/>
      <c r="U33">
        <v>-1</v>
      </c>
      <c r="AD33" s="1"/>
      <c r="AE33" s="1">
        <v>1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113</v>
      </c>
      <c r="AR33" s="1" t="s">
        <v>114</v>
      </c>
      <c r="AS33" s="1" t="s">
        <v>117</v>
      </c>
      <c r="AT33" s="1" t="s">
        <v>114</v>
      </c>
      <c r="AU33" s="1" t="s">
        <v>113</v>
      </c>
      <c r="AV33" s="1" t="s">
        <v>113</v>
      </c>
      <c r="AW33" s="1" t="s">
        <v>114</v>
      </c>
      <c r="AX33" s="1" t="s">
        <v>117</v>
      </c>
      <c r="AY33" s="1" t="s">
        <v>114</v>
      </c>
      <c r="AZ33" s="1" t="s">
        <v>113</v>
      </c>
      <c r="BA33" s="1" t="s">
        <v>120</v>
      </c>
      <c r="BB33" s="1" t="s">
        <v>82</v>
      </c>
      <c r="BC33" s="1" t="s">
        <v>120</v>
      </c>
      <c r="BD33" s="1" t="s">
        <v>83</v>
      </c>
      <c r="BE33" s="1"/>
      <c r="BF33" s="6"/>
    </row>
    <row r="34" spans="1:58" x14ac:dyDescent="0.25">
      <c r="A34">
        <v>31</v>
      </c>
      <c r="B34" s="6">
        <v>12</v>
      </c>
      <c r="C34" t="s">
        <v>67</v>
      </c>
      <c r="D34" t="s">
        <v>53</v>
      </c>
      <c r="F34" s="1"/>
      <c r="H34" s="1"/>
      <c r="O34" s="5"/>
      <c r="P34" s="5"/>
      <c r="R34" s="5"/>
      <c r="S34" s="5"/>
      <c r="T34" s="5"/>
      <c r="U34">
        <v>-1</v>
      </c>
      <c r="AD34" s="1"/>
      <c r="AE34" s="1">
        <v>1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 t="s">
        <v>113</v>
      </c>
      <c r="AR34" s="1" t="s">
        <v>114</v>
      </c>
      <c r="AS34" s="1" t="s">
        <v>117</v>
      </c>
      <c r="AT34" s="1" t="s">
        <v>114</v>
      </c>
      <c r="AU34" s="1" t="s">
        <v>113</v>
      </c>
      <c r="AV34" s="1" t="s">
        <v>113</v>
      </c>
      <c r="AW34" s="1" t="s">
        <v>114</v>
      </c>
      <c r="AX34" s="1" t="s">
        <v>117</v>
      </c>
      <c r="AY34" s="1" t="s">
        <v>114</v>
      </c>
      <c r="AZ34" s="1" t="s">
        <v>113</v>
      </c>
      <c r="BA34" s="1" t="s">
        <v>120</v>
      </c>
      <c r="BB34" s="1" t="s">
        <v>82</v>
      </c>
      <c r="BC34" s="1" t="s">
        <v>120</v>
      </c>
      <c r="BD34" s="1" t="s">
        <v>83</v>
      </c>
      <c r="BE34" s="1"/>
      <c r="BF34" s="6"/>
    </row>
    <row r="35" spans="1:58" x14ac:dyDescent="0.25">
      <c r="A35">
        <v>32</v>
      </c>
      <c r="B35" s="6">
        <v>12.5</v>
      </c>
      <c r="C35" t="s">
        <v>67</v>
      </c>
      <c r="D35" t="s">
        <v>53</v>
      </c>
      <c r="F35" s="1"/>
      <c r="H35" s="1"/>
      <c r="I35" t="s">
        <v>112</v>
      </c>
      <c r="O35" s="5"/>
      <c r="P35" s="5"/>
      <c r="R35" s="5"/>
      <c r="S35" s="5"/>
      <c r="T35" s="5"/>
      <c r="U35">
        <v>-1</v>
      </c>
      <c r="W35">
        <v>-0.47039101664327254</v>
      </c>
      <c r="X35">
        <v>-0.1696089833567275</v>
      </c>
      <c r="AB35">
        <f>-1*X35</f>
        <v>0.1696089833567275</v>
      </c>
      <c r="AC35">
        <f>-1*W35</f>
        <v>0.47039101664327254</v>
      </c>
      <c r="AD35" s="1"/>
      <c r="AE35" s="1">
        <v>1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 t="s">
        <v>113</v>
      </c>
      <c r="AR35" s="1" t="s">
        <v>114</v>
      </c>
      <c r="AS35" s="1" t="s">
        <v>118</v>
      </c>
      <c r="AT35" s="1" t="s">
        <v>114</v>
      </c>
      <c r="AU35" s="1" t="s">
        <v>113</v>
      </c>
      <c r="AV35" s="1" t="s">
        <v>113</v>
      </c>
      <c r="AW35" s="1" t="s">
        <v>114</v>
      </c>
      <c r="AX35" s="1" t="s">
        <v>118</v>
      </c>
      <c r="AY35" s="1" t="s">
        <v>114</v>
      </c>
      <c r="AZ35" s="1" t="s">
        <v>113</v>
      </c>
      <c r="BA35" s="1" t="s">
        <v>120</v>
      </c>
      <c r="BB35" s="1" t="s">
        <v>82</v>
      </c>
      <c r="BC35" s="1" t="s">
        <v>120</v>
      </c>
      <c r="BD35" s="1" t="s">
        <v>83</v>
      </c>
      <c r="BE35" s="1"/>
      <c r="BF35" s="6"/>
    </row>
    <row r="36" spans="1:58" x14ac:dyDescent="0.25">
      <c r="A36">
        <v>33</v>
      </c>
      <c r="B36" s="6">
        <v>12.6</v>
      </c>
      <c r="C36" t="s">
        <v>67</v>
      </c>
      <c r="D36" t="s">
        <v>53</v>
      </c>
      <c r="F36" s="1"/>
      <c r="H36" s="1"/>
      <c r="I36" t="s">
        <v>84</v>
      </c>
      <c r="O36" s="5"/>
      <c r="P36" s="5"/>
      <c r="R36" s="5"/>
      <c r="S36" s="5"/>
      <c r="T36" s="5"/>
      <c r="U36">
        <v>-1</v>
      </c>
      <c r="V36">
        <v>-0.92</v>
      </c>
      <c r="Y36">
        <v>-6.7000000000000004E-2</v>
      </c>
      <c r="AA36">
        <f>-1*Y36</f>
        <v>6.7000000000000004E-2</v>
      </c>
      <c r="AD36" s="1">
        <f>-1*V36</f>
        <v>0.92</v>
      </c>
      <c r="AE36" s="1">
        <v>1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 t="s">
        <v>113</v>
      </c>
      <c r="AR36" s="1" t="s">
        <v>113</v>
      </c>
      <c r="AS36" s="1" t="s">
        <v>119</v>
      </c>
      <c r="AT36" s="1" t="s">
        <v>113</v>
      </c>
      <c r="AU36" s="1" t="s">
        <v>113</v>
      </c>
      <c r="AV36" s="1" t="s">
        <v>113</v>
      </c>
      <c r="AW36" s="1" t="s">
        <v>113</v>
      </c>
      <c r="AX36" s="1" t="s">
        <v>119</v>
      </c>
      <c r="AY36" s="1" t="s">
        <v>113</v>
      </c>
      <c r="AZ36" s="1" t="s">
        <v>113</v>
      </c>
      <c r="BA36" s="1"/>
      <c r="BB36" s="1"/>
      <c r="BC36" s="1"/>
      <c r="BD36" s="1"/>
      <c r="BE36" s="1"/>
      <c r="BF36" s="6"/>
    </row>
    <row r="37" spans="1:58" x14ac:dyDescent="0.25">
      <c r="A37">
        <v>34</v>
      </c>
      <c r="B37" s="6">
        <v>13</v>
      </c>
      <c r="C37" t="s">
        <v>64</v>
      </c>
      <c r="D37" t="s">
        <v>53</v>
      </c>
      <c r="E37">
        <v>0</v>
      </c>
      <c r="F37" s="1">
        <v>0.47</v>
      </c>
      <c r="G37">
        <v>0.32</v>
      </c>
      <c r="H37" s="1">
        <f>0.25-(0.08-0.25)+(0.32-0.25)</f>
        <v>0.49</v>
      </c>
      <c r="I37" t="s">
        <v>62</v>
      </c>
      <c r="J37">
        <v>1</v>
      </c>
      <c r="K37">
        <v>1</v>
      </c>
      <c r="L37">
        <v>1</v>
      </c>
      <c r="M37">
        <v>2</v>
      </c>
      <c r="N37">
        <v>8</v>
      </c>
      <c r="O37" s="5">
        <v>1</v>
      </c>
      <c r="P37" s="5">
        <v>1</v>
      </c>
      <c r="Q37">
        <v>0</v>
      </c>
      <c r="R37" s="5">
        <v>0</v>
      </c>
      <c r="S37" s="5">
        <v>0</v>
      </c>
      <c r="T37" s="5">
        <v>8</v>
      </c>
      <c r="U37">
        <v>-1</v>
      </c>
      <c r="V37">
        <v>-0.95</v>
      </c>
      <c r="W37">
        <v>-0.5</v>
      </c>
      <c r="X37">
        <v>-0.15</v>
      </c>
      <c r="Y37">
        <v>-0.05</v>
      </c>
      <c r="Z37">
        <v>0</v>
      </c>
      <c r="AA37">
        <f>-1*Y37</f>
        <v>0.05</v>
      </c>
      <c r="AB37">
        <v>0.15</v>
      </c>
      <c r="AC37" s="1">
        <v>0.5</v>
      </c>
      <c r="AD37">
        <f>-1*V37</f>
        <v>0.95</v>
      </c>
      <c r="AE37" s="1">
        <v>1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6"/>
    </row>
    <row r="38" spans="1:58" x14ac:dyDescent="0.25"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Y38" s="1"/>
      <c r="AZ38" s="1"/>
      <c r="BA38" s="1"/>
      <c r="BB38" s="1"/>
      <c r="BC38" s="1"/>
      <c r="BD38" s="1"/>
      <c r="BE38" s="1"/>
    </row>
    <row r="39" spans="1:58" x14ac:dyDescent="0.25"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D39" s="1"/>
      <c r="BE39" s="1"/>
    </row>
    <row r="40" spans="1:58" x14ac:dyDescent="0.25"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Y40" s="1"/>
      <c r="AZ40" s="1"/>
      <c r="BA40" s="1"/>
      <c r="BB40" s="1"/>
      <c r="BC40" s="1"/>
      <c r="BD40" s="1"/>
      <c r="BE40" s="1"/>
    </row>
    <row r="41" spans="1:58" x14ac:dyDescent="0.25"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Y41" s="1"/>
      <c r="AZ41" s="1"/>
      <c r="BA41" s="1"/>
      <c r="BB41" s="1"/>
      <c r="BC41" s="1"/>
      <c r="BD41" s="1"/>
      <c r="BE41" s="1"/>
    </row>
    <row r="42" spans="1:58" x14ac:dyDescent="0.25">
      <c r="O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Y42" s="1"/>
      <c r="AZ42" s="1"/>
      <c r="BA42" s="1"/>
      <c r="BB42" s="1"/>
      <c r="BC42" s="1"/>
      <c r="BD42" s="1"/>
      <c r="BE42" s="1"/>
    </row>
    <row r="43" spans="1:58" x14ac:dyDescent="0.25">
      <c r="O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Y43" s="1"/>
      <c r="AZ43" s="1"/>
      <c r="BA43" s="1"/>
      <c r="BB43" s="1"/>
      <c r="BC43" s="1"/>
      <c r="BD43" s="1"/>
      <c r="BE43" s="1"/>
    </row>
    <row r="44" spans="1:58" x14ac:dyDescent="0.25">
      <c r="O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Y44" s="1"/>
      <c r="AZ44" s="1"/>
      <c r="BA44" s="1"/>
      <c r="BB44" s="1"/>
      <c r="BC44" s="1"/>
      <c r="BD44" s="1"/>
      <c r="BE44" s="1"/>
    </row>
    <row r="45" spans="1:58" x14ac:dyDescent="0.25">
      <c r="O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Y45" s="1"/>
      <c r="AZ45" s="1"/>
      <c r="BA45" s="1"/>
      <c r="BC45" s="1"/>
    </row>
    <row r="46" spans="1:58" x14ac:dyDescent="0.25">
      <c r="O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Y46" s="1"/>
      <c r="AZ46" s="1"/>
      <c r="BA46" s="1"/>
      <c r="BC46" s="1"/>
    </row>
    <row r="47" spans="1:58" x14ac:dyDescent="0.25">
      <c r="O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Y47" s="1"/>
      <c r="AZ47" s="1"/>
      <c r="BA47" s="1"/>
      <c r="BC47" s="1"/>
    </row>
    <row r="48" spans="1:58" x14ac:dyDescent="0.25">
      <c r="O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Y48" s="1"/>
      <c r="AZ48" s="1"/>
      <c r="BA48" s="1"/>
      <c r="BC48" s="1"/>
    </row>
    <row r="49" spans="15:55" x14ac:dyDescent="0.25">
      <c r="O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Y49" s="1"/>
      <c r="AZ49" s="1"/>
      <c r="BA49" s="1"/>
      <c r="BC49" s="1"/>
    </row>
    <row r="50" spans="15:55" x14ac:dyDescent="0.25">
      <c r="O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Y50" s="1"/>
      <c r="AZ50" s="1"/>
      <c r="BA50" s="1"/>
      <c r="BC50" s="1"/>
    </row>
    <row r="51" spans="15:55" x14ac:dyDescent="0.25">
      <c r="O51" s="1"/>
    </row>
    <row r="52" spans="15:55" x14ac:dyDescent="0.25">
      <c r="O52" s="1"/>
    </row>
    <row r="56" spans="15:55" x14ac:dyDescent="0.25">
      <c r="AQ56" s="1"/>
      <c r="AR56" s="1"/>
      <c r="AS56" s="1"/>
      <c r="AT56" s="1"/>
      <c r="AU56" s="1"/>
      <c r="AV56" s="1"/>
      <c r="AW56" s="1"/>
      <c r="AX56" s="1"/>
    </row>
  </sheetData>
  <sortState ref="B2:G52">
    <sortCondition ref="B2:B52"/>
  </sortState>
  <pageMargins left="0.7" right="0.7" top="0.75" bottom="0.75" header="0.3" footer="0.3"/>
  <pageSetup scale="1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zoomScale="80" zoomScaleNormal="80" workbookViewId="0">
      <selection activeCell="C9" sqref="C9"/>
    </sheetView>
  </sheetViews>
  <sheetFormatPr defaultRowHeight="15" x14ac:dyDescent="0.25"/>
  <cols>
    <col min="1" max="1" width="24.140625" customWidth="1"/>
    <col min="7" max="7" width="12.28515625" bestFit="1" customWidth="1"/>
    <col min="8" max="8" width="9.85546875" customWidth="1"/>
    <col min="10" max="10" width="12.85546875" customWidth="1"/>
  </cols>
  <sheetData>
    <row r="1" spans="1:14" x14ac:dyDescent="0.25">
      <c r="A1" t="s">
        <v>51</v>
      </c>
      <c r="B1">
        <v>120</v>
      </c>
      <c r="C1" t="s">
        <v>52</v>
      </c>
    </row>
    <row r="2" spans="1:14" x14ac:dyDescent="0.25">
      <c r="A2" t="s">
        <v>121</v>
      </c>
      <c r="B2">
        <v>1.05</v>
      </c>
    </row>
    <row r="3" spans="1:14" x14ac:dyDescent="0.25">
      <c r="A3" t="s">
        <v>123</v>
      </c>
      <c r="B3">
        <v>1.18</v>
      </c>
    </row>
    <row r="5" spans="1:14" x14ac:dyDescent="0.25">
      <c r="A5" t="s">
        <v>57</v>
      </c>
    </row>
    <row r="7" spans="1:14" x14ac:dyDescent="0.25">
      <c r="A7" t="s">
        <v>69</v>
      </c>
    </row>
    <row r="8" spans="1:14" ht="60" x14ac:dyDescent="0.25">
      <c r="B8" s="1"/>
      <c r="C8" s="1" t="s">
        <v>132</v>
      </c>
      <c r="D8" s="1" t="s">
        <v>88</v>
      </c>
      <c r="E8" s="1" t="s">
        <v>131</v>
      </c>
      <c r="F8" s="1" t="s">
        <v>68</v>
      </c>
      <c r="G8" s="1" t="s">
        <v>72</v>
      </c>
      <c r="H8" s="1" t="s">
        <v>71</v>
      </c>
      <c r="I8" s="1" t="s">
        <v>70</v>
      </c>
      <c r="J8" s="1" t="s">
        <v>73</v>
      </c>
      <c r="K8" s="1" t="s">
        <v>75</v>
      </c>
      <c r="N8" s="1" t="s">
        <v>128</v>
      </c>
    </row>
    <row r="9" spans="1:14" x14ac:dyDescent="0.25">
      <c r="B9">
        <v>62</v>
      </c>
      <c r="C9" s="6">
        <v>0.5</v>
      </c>
      <c r="D9">
        <v>0</v>
      </c>
      <c r="E9">
        <v>100</v>
      </c>
      <c r="F9">
        <v>584</v>
      </c>
      <c r="J9" s="6">
        <f>C9-$C$9</f>
        <v>0</v>
      </c>
      <c r="L9">
        <f>F9/2</f>
        <v>292</v>
      </c>
      <c r="M9">
        <f>F9/-2</f>
        <v>-292</v>
      </c>
      <c r="N9">
        <f>C9/13.5</f>
        <v>3.7037037037037035E-2</v>
      </c>
    </row>
    <row r="10" spans="1:14" x14ac:dyDescent="0.25">
      <c r="B10">
        <v>61</v>
      </c>
      <c r="C10" s="6">
        <v>0.6</v>
      </c>
      <c r="D10">
        <v>0</v>
      </c>
      <c r="E10">
        <v>100</v>
      </c>
      <c r="F10">
        <v>584</v>
      </c>
      <c r="J10" s="6">
        <f t="shared" ref="J10:J70" si="0">C10-$C$9</f>
        <v>9.9999999999999978E-2</v>
      </c>
      <c r="N10">
        <f t="shared" ref="N10:N70" si="1">C10/13.5</f>
        <v>4.4444444444444446E-2</v>
      </c>
    </row>
    <row r="11" spans="1:14" x14ac:dyDescent="0.25">
      <c r="B11">
        <v>60</v>
      </c>
      <c r="C11" s="6">
        <v>0.7</v>
      </c>
      <c r="D11">
        <v>0</v>
      </c>
      <c r="E11">
        <v>100</v>
      </c>
      <c r="F11">
        <v>574</v>
      </c>
      <c r="J11" s="6">
        <f t="shared" si="0"/>
        <v>0.19999999999999996</v>
      </c>
      <c r="N11">
        <f t="shared" si="1"/>
        <v>5.185185185185185E-2</v>
      </c>
    </row>
    <row r="12" spans="1:14" x14ac:dyDescent="0.25">
      <c r="B12">
        <v>59</v>
      </c>
      <c r="C12" s="6">
        <v>0.8</v>
      </c>
      <c r="D12">
        <v>0</v>
      </c>
      <c r="E12">
        <v>100</v>
      </c>
      <c r="F12">
        <v>564</v>
      </c>
      <c r="J12" s="6">
        <f t="shared" si="0"/>
        <v>0.30000000000000004</v>
      </c>
      <c r="N12">
        <f t="shared" si="1"/>
        <v>5.9259259259259262E-2</v>
      </c>
    </row>
    <row r="13" spans="1:14" x14ac:dyDescent="0.25">
      <c r="B13">
        <v>58</v>
      </c>
      <c r="C13" s="6">
        <v>0.9</v>
      </c>
      <c r="D13">
        <v>0</v>
      </c>
      <c r="E13">
        <v>100</v>
      </c>
      <c r="F13">
        <v>554</v>
      </c>
      <c r="G13">
        <v>49.57</v>
      </c>
      <c r="H13">
        <v>14.81</v>
      </c>
      <c r="J13" s="6">
        <f t="shared" si="0"/>
        <v>0.4</v>
      </c>
      <c r="N13">
        <f t="shared" si="1"/>
        <v>6.6666666666666666E-2</v>
      </c>
    </row>
    <row r="14" spans="1:14" x14ac:dyDescent="0.25">
      <c r="B14">
        <v>57</v>
      </c>
      <c r="C14" s="6">
        <v>1</v>
      </c>
      <c r="D14">
        <v>1.3660000000000001</v>
      </c>
      <c r="E14">
        <v>38.4</v>
      </c>
      <c r="F14">
        <v>544</v>
      </c>
      <c r="G14">
        <v>46.68</v>
      </c>
      <c r="H14">
        <v>14.65</v>
      </c>
      <c r="J14" s="6">
        <f t="shared" si="0"/>
        <v>0.5</v>
      </c>
      <c r="N14">
        <f t="shared" si="1"/>
        <v>7.407407407407407E-2</v>
      </c>
    </row>
    <row r="15" spans="1:14" x14ac:dyDescent="0.25">
      <c r="B15">
        <v>56</v>
      </c>
      <c r="C15" s="6">
        <v>1.1000000000000001</v>
      </c>
      <c r="D15">
        <v>1.359</v>
      </c>
      <c r="E15">
        <v>38.020000000000003</v>
      </c>
      <c r="F15">
        <v>533</v>
      </c>
      <c r="G15">
        <v>44.01</v>
      </c>
      <c r="H15">
        <v>14.49</v>
      </c>
      <c r="J15" s="6">
        <f t="shared" si="0"/>
        <v>0.60000000000000009</v>
      </c>
      <c r="N15">
        <f t="shared" si="1"/>
        <v>8.1481481481481488E-2</v>
      </c>
    </row>
    <row r="16" spans="1:14" x14ac:dyDescent="0.25">
      <c r="B16">
        <v>55</v>
      </c>
      <c r="C16" s="6">
        <v>1.2</v>
      </c>
      <c r="D16">
        <v>1.3520000000000001</v>
      </c>
      <c r="E16">
        <v>37.65</v>
      </c>
      <c r="F16">
        <v>521</v>
      </c>
      <c r="G16">
        <v>41.53</v>
      </c>
      <c r="H16">
        <v>14.32</v>
      </c>
      <c r="J16" s="6">
        <f t="shared" si="0"/>
        <v>0.7</v>
      </c>
      <c r="N16">
        <f t="shared" si="1"/>
        <v>8.8888888888888892E-2</v>
      </c>
    </row>
    <row r="17" spans="1:28" x14ac:dyDescent="0.25">
      <c r="B17">
        <v>54</v>
      </c>
      <c r="C17" s="6">
        <v>1.3</v>
      </c>
      <c r="D17">
        <v>1.3440000000000001</v>
      </c>
      <c r="E17">
        <v>37.28</v>
      </c>
      <c r="F17">
        <v>510</v>
      </c>
      <c r="G17">
        <v>39.24</v>
      </c>
      <c r="H17">
        <v>14.16</v>
      </c>
      <c r="J17" s="6">
        <f t="shared" si="0"/>
        <v>0.8</v>
      </c>
      <c r="N17">
        <f t="shared" si="1"/>
        <v>9.6296296296296297E-2</v>
      </c>
      <c r="X17" t="s">
        <v>92</v>
      </c>
      <c r="Y17">
        <v>0.5</v>
      </c>
    </row>
    <row r="18" spans="1:28" x14ac:dyDescent="0.25">
      <c r="B18">
        <v>53</v>
      </c>
      <c r="C18" s="6">
        <v>1.4</v>
      </c>
      <c r="D18">
        <v>1.337</v>
      </c>
      <c r="E18">
        <v>36.909999999999997</v>
      </c>
      <c r="F18">
        <v>500</v>
      </c>
      <c r="G18">
        <v>37.119999999999997</v>
      </c>
      <c r="H18">
        <v>14</v>
      </c>
      <c r="J18" s="6">
        <f t="shared" si="0"/>
        <v>0.89999999999999991</v>
      </c>
      <c r="N18">
        <f t="shared" si="1"/>
        <v>0.1037037037037037</v>
      </c>
      <c r="R18" t="s">
        <v>129</v>
      </c>
      <c r="V18" t="s">
        <v>91</v>
      </c>
      <c r="W18" t="s">
        <v>90</v>
      </c>
      <c r="X18" t="s">
        <v>89</v>
      </c>
      <c r="Y18" t="s">
        <v>130</v>
      </c>
      <c r="AB18" t="s">
        <v>128</v>
      </c>
    </row>
    <row r="19" spans="1:28" x14ac:dyDescent="0.25">
      <c r="B19">
        <v>52</v>
      </c>
      <c r="C19" s="6">
        <v>1.5</v>
      </c>
      <c r="D19">
        <v>1.33</v>
      </c>
      <c r="E19">
        <v>36.56</v>
      </c>
      <c r="F19">
        <v>491</v>
      </c>
      <c r="G19">
        <v>35.159999999999997</v>
      </c>
      <c r="H19">
        <v>13.84</v>
      </c>
      <c r="J19" s="6">
        <f t="shared" si="0"/>
        <v>1</v>
      </c>
      <c r="N19">
        <f t="shared" si="1"/>
        <v>0.1111111111111111</v>
      </c>
      <c r="R19">
        <f>13/20</f>
        <v>0.65</v>
      </c>
      <c r="U19">
        <v>1</v>
      </c>
      <c r="V19" s="6">
        <v>0.65</v>
      </c>
      <c r="W19" s="6">
        <f>V19</f>
        <v>0.65</v>
      </c>
      <c r="X19" s="8">
        <f>Y17+W19/2</f>
        <v>0.82499999999999996</v>
      </c>
      <c r="Y19">
        <v>100</v>
      </c>
      <c r="Z19" s="6">
        <v>1</v>
      </c>
      <c r="AB19">
        <f>X19/13.5</f>
        <v>6.1111111111111109E-2</v>
      </c>
    </row>
    <row r="20" spans="1:28" x14ac:dyDescent="0.25">
      <c r="B20">
        <v>51</v>
      </c>
      <c r="C20" s="6">
        <v>1.6</v>
      </c>
      <c r="D20">
        <v>1.323</v>
      </c>
      <c r="E20">
        <v>36.200000000000003</v>
      </c>
      <c r="F20">
        <v>482</v>
      </c>
      <c r="G20">
        <v>33.340000000000003</v>
      </c>
      <c r="H20">
        <v>13.68</v>
      </c>
      <c r="J20" s="6">
        <f t="shared" si="0"/>
        <v>1.1000000000000001</v>
      </c>
      <c r="N20">
        <f t="shared" si="1"/>
        <v>0.11851851851851852</v>
      </c>
      <c r="U20">
        <f>U19+1</f>
        <v>2</v>
      </c>
      <c r="V20" s="6">
        <f>V19+$R$19</f>
        <v>1.3</v>
      </c>
      <c r="W20" s="6">
        <f>(V20-V19)</f>
        <v>0.65</v>
      </c>
      <c r="X20" s="8">
        <f>X19+W19/2+W20/2</f>
        <v>1.4749999999999999</v>
      </c>
      <c r="Y20">
        <v>35</v>
      </c>
      <c r="Z20">
        <v>2</v>
      </c>
      <c r="AB20">
        <f t="shared" ref="AB20:AB38" si="2">X20/13.5</f>
        <v>0.10925925925925925</v>
      </c>
    </row>
    <row r="21" spans="1:28" x14ac:dyDescent="0.25">
      <c r="B21">
        <v>50</v>
      </c>
      <c r="C21" s="6">
        <v>1.7</v>
      </c>
      <c r="D21">
        <v>1.3160000000000001</v>
      </c>
      <c r="E21">
        <v>35.86</v>
      </c>
      <c r="F21">
        <v>474</v>
      </c>
      <c r="G21">
        <v>31.66</v>
      </c>
      <c r="H21">
        <v>13.51</v>
      </c>
      <c r="J21" s="6">
        <f t="shared" si="0"/>
        <v>1.2</v>
      </c>
      <c r="N21">
        <f t="shared" si="1"/>
        <v>0.12592592592592591</v>
      </c>
      <c r="U21">
        <f t="shared" ref="U21:U38" si="3">U20+1</f>
        <v>3</v>
      </c>
      <c r="V21" s="6">
        <f t="shared" ref="V21:V38" si="4">V20+$R$19</f>
        <v>1.9500000000000002</v>
      </c>
      <c r="W21" s="6">
        <f t="shared" ref="W21:W38" si="5">(V21-V20)</f>
        <v>0.65000000000000013</v>
      </c>
      <c r="X21" s="8">
        <f t="shared" ref="X21:X38" si="6">X20+W20/2+W21/2</f>
        <v>2.125</v>
      </c>
      <c r="Y21">
        <v>35</v>
      </c>
      <c r="Z21">
        <v>2</v>
      </c>
      <c r="AB21">
        <f t="shared" si="2"/>
        <v>0.15740740740740741</v>
      </c>
    </row>
    <row r="22" spans="1:28" x14ac:dyDescent="0.25">
      <c r="B22">
        <v>49</v>
      </c>
      <c r="C22" s="6">
        <v>1.8</v>
      </c>
      <c r="D22">
        <v>1.3089999999999999</v>
      </c>
      <c r="E22">
        <v>35.51</v>
      </c>
      <c r="F22">
        <v>466</v>
      </c>
      <c r="G22">
        <v>30.1</v>
      </c>
      <c r="H22">
        <v>13.35</v>
      </c>
      <c r="J22" s="6">
        <f t="shared" si="0"/>
        <v>1.3</v>
      </c>
      <c r="N22">
        <f t="shared" si="1"/>
        <v>0.13333333333333333</v>
      </c>
      <c r="U22">
        <f t="shared" si="3"/>
        <v>4</v>
      </c>
      <c r="V22" s="6">
        <f t="shared" si="4"/>
        <v>2.6</v>
      </c>
      <c r="W22" s="6">
        <f t="shared" si="5"/>
        <v>0.64999999999999991</v>
      </c>
      <c r="X22" s="8">
        <f t="shared" si="6"/>
        <v>2.7750000000000004</v>
      </c>
      <c r="Y22">
        <v>35</v>
      </c>
      <c r="Z22">
        <v>2</v>
      </c>
      <c r="AB22">
        <f t="shared" si="2"/>
        <v>0.20555555555555557</v>
      </c>
    </row>
    <row r="23" spans="1:28" x14ac:dyDescent="0.25">
      <c r="B23">
        <v>48</v>
      </c>
      <c r="C23" s="6">
        <v>1.9</v>
      </c>
      <c r="D23">
        <v>1.3009999999999999</v>
      </c>
      <c r="E23">
        <v>35.18</v>
      </c>
      <c r="F23">
        <v>458</v>
      </c>
      <c r="G23">
        <v>28.65</v>
      </c>
      <c r="H23">
        <v>13.19</v>
      </c>
      <c r="J23" s="6">
        <f t="shared" si="0"/>
        <v>1.4</v>
      </c>
      <c r="L23" s="12" t="s">
        <v>76</v>
      </c>
      <c r="M23" s="12" t="s">
        <v>77</v>
      </c>
      <c r="N23">
        <f t="shared" si="1"/>
        <v>0.14074074074074072</v>
      </c>
      <c r="U23">
        <f t="shared" si="3"/>
        <v>5</v>
      </c>
      <c r="V23" s="6">
        <f t="shared" si="4"/>
        <v>3.25</v>
      </c>
      <c r="W23" s="6">
        <f t="shared" si="5"/>
        <v>0.64999999999999991</v>
      </c>
      <c r="X23" s="8">
        <f t="shared" si="6"/>
        <v>3.4250000000000007</v>
      </c>
      <c r="Y23">
        <v>35</v>
      </c>
      <c r="Z23">
        <v>2</v>
      </c>
      <c r="AA23">
        <v>35</v>
      </c>
      <c r="AB23">
        <f t="shared" si="2"/>
        <v>0.25370370370370376</v>
      </c>
    </row>
    <row r="24" spans="1:28" x14ac:dyDescent="0.25">
      <c r="A24" t="s">
        <v>74</v>
      </c>
      <c r="B24" s="9">
        <v>47</v>
      </c>
      <c r="C24" s="10">
        <v>2</v>
      </c>
      <c r="D24" s="9">
        <v>1.294</v>
      </c>
      <c r="E24" s="9">
        <v>34.840000000000003</v>
      </c>
      <c r="F24" s="9">
        <v>451</v>
      </c>
      <c r="G24" s="9">
        <v>27.29</v>
      </c>
      <c r="H24" s="9">
        <v>13.03</v>
      </c>
      <c r="I24" s="9">
        <v>34.700000000000003</v>
      </c>
      <c r="J24" s="10">
        <f>C24-$C$9</f>
        <v>1.5</v>
      </c>
      <c r="K24" s="11">
        <v>0.32</v>
      </c>
      <c r="L24" s="9">
        <f>K24*D24</f>
        <v>0.41408</v>
      </c>
      <c r="M24">
        <f>L24-D24</f>
        <v>-0.87992000000000004</v>
      </c>
      <c r="N24">
        <f t="shared" si="1"/>
        <v>0.14814814814814814</v>
      </c>
      <c r="U24">
        <f t="shared" si="3"/>
        <v>6</v>
      </c>
      <c r="V24" s="6">
        <f t="shared" si="4"/>
        <v>3.9</v>
      </c>
      <c r="W24" s="6">
        <f t="shared" si="5"/>
        <v>0.64999999999999991</v>
      </c>
      <c r="X24" s="8">
        <f t="shared" si="6"/>
        <v>4.0750000000000011</v>
      </c>
      <c r="Y24">
        <v>24</v>
      </c>
      <c r="Z24">
        <v>3</v>
      </c>
      <c r="AA24">
        <v>24</v>
      </c>
      <c r="AB24">
        <f t="shared" si="2"/>
        <v>0.30185185185185193</v>
      </c>
    </row>
    <row r="25" spans="1:28" x14ac:dyDescent="0.25">
      <c r="B25">
        <v>46</v>
      </c>
      <c r="C25" s="6">
        <v>2.25</v>
      </c>
      <c r="D25">
        <v>1.276</v>
      </c>
      <c r="E25">
        <v>34.03</v>
      </c>
      <c r="F25">
        <v>434</v>
      </c>
      <c r="G25">
        <v>24.3</v>
      </c>
      <c r="H25">
        <v>12.63</v>
      </c>
      <c r="I25">
        <v>33.200000000000003</v>
      </c>
      <c r="J25" s="6">
        <f t="shared" si="0"/>
        <v>1.75</v>
      </c>
      <c r="K25" s="8">
        <f>L25/D25</f>
        <v>0.32002180727817908</v>
      </c>
      <c r="L25">
        <f t="shared" ref="L25:L69" si="7">(L$70-L$24)/($J$70-$J$24)*($J25-$J$24)+L$24</f>
        <v>0.40834782608695652</v>
      </c>
      <c r="M25">
        <f t="shared" ref="M25:M70" si="8">L25-D25</f>
        <v>-0.8676521739130435</v>
      </c>
      <c r="N25">
        <f t="shared" si="1"/>
        <v>0.16666666666666666</v>
      </c>
      <c r="U25">
        <f t="shared" si="3"/>
        <v>7</v>
      </c>
      <c r="V25" s="6">
        <f t="shared" si="4"/>
        <v>4.55</v>
      </c>
      <c r="W25" s="6">
        <f t="shared" si="5"/>
        <v>0.64999999999999991</v>
      </c>
      <c r="X25" s="8">
        <f t="shared" si="6"/>
        <v>4.7250000000000014</v>
      </c>
      <c r="Y25">
        <v>24</v>
      </c>
      <c r="Z25">
        <v>3</v>
      </c>
      <c r="AA25">
        <v>18</v>
      </c>
      <c r="AB25">
        <f t="shared" si="2"/>
        <v>0.35000000000000009</v>
      </c>
    </row>
    <row r="26" spans="1:28" x14ac:dyDescent="0.25">
      <c r="B26">
        <v>45</v>
      </c>
      <c r="C26" s="6">
        <v>2.5</v>
      </c>
      <c r="D26">
        <v>1.258</v>
      </c>
      <c r="E26">
        <v>33.25</v>
      </c>
      <c r="F26">
        <v>418</v>
      </c>
      <c r="G26">
        <v>21.78</v>
      </c>
      <c r="H26">
        <v>12.22</v>
      </c>
      <c r="I26">
        <v>31.8</v>
      </c>
      <c r="J26" s="6">
        <f t="shared" si="0"/>
        <v>2</v>
      </c>
      <c r="K26" s="8">
        <f t="shared" ref="K26:K69" si="9">L26/D26</f>
        <v>0.32004423861201353</v>
      </c>
      <c r="L26">
        <f t="shared" si="7"/>
        <v>0.40261565217391304</v>
      </c>
      <c r="M26">
        <f t="shared" si="8"/>
        <v>-0.85538434782608697</v>
      </c>
      <c r="N26">
        <f t="shared" si="1"/>
        <v>0.18518518518518517</v>
      </c>
      <c r="U26">
        <f t="shared" si="3"/>
        <v>8</v>
      </c>
      <c r="V26" s="6">
        <f t="shared" si="4"/>
        <v>5.2</v>
      </c>
      <c r="W26" s="6">
        <f t="shared" si="5"/>
        <v>0.65000000000000036</v>
      </c>
      <c r="X26" s="8">
        <f t="shared" si="6"/>
        <v>5.3750000000000018</v>
      </c>
      <c r="Y26">
        <v>24</v>
      </c>
      <c r="Z26">
        <v>3</v>
      </c>
      <c r="AA26">
        <v>14</v>
      </c>
      <c r="AB26">
        <f t="shared" si="2"/>
        <v>0.39814814814814831</v>
      </c>
    </row>
    <row r="27" spans="1:28" x14ac:dyDescent="0.25">
      <c r="B27">
        <v>44</v>
      </c>
      <c r="C27" s="6">
        <v>2.75</v>
      </c>
      <c r="D27">
        <v>1.2410000000000001</v>
      </c>
      <c r="E27">
        <v>32.49</v>
      </c>
      <c r="F27">
        <v>403</v>
      </c>
      <c r="G27">
        <v>19.62</v>
      </c>
      <c r="H27">
        <v>11.82</v>
      </c>
      <c r="I27">
        <v>30.4</v>
      </c>
      <c r="J27" s="6">
        <f t="shared" si="0"/>
        <v>2.25</v>
      </c>
      <c r="K27" s="8">
        <f t="shared" si="9"/>
        <v>0.31980941036331145</v>
      </c>
      <c r="L27">
        <f t="shared" si="7"/>
        <v>0.39688347826086956</v>
      </c>
      <c r="M27">
        <f t="shared" si="8"/>
        <v>-0.84411652173913054</v>
      </c>
      <c r="N27">
        <f t="shared" si="1"/>
        <v>0.20370370370370369</v>
      </c>
      <c r="U27">
        <f t="shared" si="3"/>
        <v>9</v>
      </c>
      <c r="V27" s="6">
        <f t="shared" si="4"/>
        <v>5.8500000000000005</v>
      </c>
      <c r="W27" s="6">
        <f t="shared" si="5"/>
        <v>0.65000000000000036</v>
      </c>
      <c r="X27" s="8">
        <f t="shared" si="6"/>
        <v>6.0250000000000021</v>
      </c>
      <c r="Y27">
        <v>24</v>
      </c>
      <c r="Z27">
        <v>3</v>
      </c>
      <c r="AB27">
        <f t="shared" si="2"/>
        <v>0.44629629629629647</v>
      </c>
    </row>
    <row r="28" spans="1:28" x14ac:dyDescent="0.25">
      <c r="B28">
        <v>43</v>
      </c>
      <c r="C28" s="6">
        <v>3</v>
      </c>
      <c r="D28">
        <v>1.2230000000000001</v>
      </c>
      <c r="E28">
        <v>31.76</v>
      </c>
      <c r="F28">
        <v>388</v>
      </c>
      <c r="G28">
        <v>17.760000000000002</v>
      </c>
      <c r="H28">
        <v>11.41</v>
      </c>
      <c r="I28">
        <v>29.1</v>
      </c>
      <c r="J28" s="6">
        <f t="shared" si="0"/>
        <v>2.5</v>
      </c>
      <c r="K28" s="8">
        <f t="shared" si="9"/>
        <v>0.31982935760247427</v>
      </c>
      <c r="L28">
        <f t="shared" si="7"/>
        <v>0.39115130434782608</v>
      </c>
      <c r="M28">
        <f t="shared" si="8"/>
        <v>-0.83184869565217401</v>
      </c>
      <c r="N28">
        <f t="shared" si="1"/>
        <v>0.22222222222222221</v>
      </c>
      <c r="U28">
        <f t="shared" si="3"/>
        <v>10</v>
      </c>
      <c r="V28" s="6">
        <f t="shared" si="4"/>
        <v>6.5000000000000009</v>
      </c>
      <c r="W28" s="6">
        <f t="shared" si="5"/>
        <v>0.65000000000000036</v>
      </c>
      <c r="X28" s="8">
        <f t="shared" si="6"/>
        <v>6.6750000000000025</v>
      </c>
      <c r="Y28">
        <v>24</v>
      </c>
      <c r="Z28">
        <v>3</v>
      </c>
      <c r="AB28">
        <f t="shared" si="2"/>
        <v>0.49444444444444463</v>
      </c>
    </row>
    <row r="29" spans="1:28" x14ac:dyDescent="0.25">
      <c r="B29">
        <v>42</v>
      </c>
      <c r="C29" s="6">
        <v>3.25</v>
      </c>
      <c r="D29">
        <v>1.2050000000000001</v>
      </c>
      <c r="E29">
        <v>31.06</v>
      </c>
      <c r="F29">
        <v>374</v>
      </c>
      <c r="G29">
        <v>16.14</v>
      </c>
      <c r="H29">
        <v>11.01</v>
      </c>
      <c r="I29">
        <v>27.8</v>
      </c>
      <c r="J29" s="6">
        <f t="shared" si="0"/>
        <v>2.75</v>
      </c>
      <c r="K29" s="8">
        <f t="shared" si="9"/>
        <v>0.31984990077575315</v>
      </c>
      <c r="L29">
        <f t="shared" si="7"/>
        <v>0.3854191304347826</v>
      </c>
      <c r="M29">
        <f t="shared" si="8"/>
        <v>-0.81958086956521747</v>
      </c>
      <c r="N29">
        <f t="shared" si="1"/>
        <v>0.24074074074074073</v>
      </c>
      <c r="U29">
        <f t="shared" si="3"/>
        <v>11</v>
      </c>
      <c r="V29" s="6">
        <f t="shared" si="4"/>
        <v>7.1500000000000012</v>
      </c>
      <c r="W29" s="6">
        <f t="shared" si="5"/>
        <v>0.65000000000000036</v>
      </c>
      <c r="X29" s="8">
        <f t="shared" si="6"/>
        <v>7.3250000000000028</v>
      </c>
      <c r="Y29">
        <v>24</v>
      </c>
      <c r="Z29">
        <v>3</v>
      </c>
      <c r="AB29">
        <f t="shared" si="2"/>
        <v>0.54259259259259285</v>
      </c>
    </row>
    <row r="30" spans="1:28" x14ac:dyDescent="0.25">
      <c r="B30">
        <v>41</v>
      </c>
      <c r="C30" s="6">
        <v>3.5</v>
      </c>
      <c r="D30">
        <v>1.1870000000000001</v>
      </c>
      <c r="E30">
        <v>30.37</v>
      </c>
      <c r="F30">
        <v>360</v>
      </c>
      <c r="G30">
        <v>14.73</v>
      </c>
      <c r="H30">
        <v>10.6</v>
      </c>
      <c r="I30">
        <v>26.6</v>
      </c>
      <c r="J30" s="6">
        <f t="shared" si="0"/>
        <v>3</v>
      </c>
      <c r="K30" s="8">
        <f t="shared" si="9"/>
        <v>0.31987106699388296</v>
      </c>
      <c r="L30">
        <f t="shared" si="7"/>
        <v>0.37968695652173912</v>
      </c>
      <c r="M30">
        <f t="shared" si="8"/>
        <v>-0.80731304347826094</v>
      </c>
      <c r="N30">
        <f t="shared" si="1"/>
        <v>0.25925925925925924</v>
      </c>
      <c r="U30">
        <f t="shared" si="3"/>
        <v>12</v>
      </c>
      <c r="V30" s="6">
        <f t="shared" si="4"/>
        <v>7.8000000000000016</v>
      </c>
      <c r="W30" s="6">
        <f t="shared" si="5"/>
        <v>0.65000000000000036</v>
      </c>
      <c r="X30" s="8">
        <f t="shared" si="6"/>
        <v>7.9750000000000032</v>
      </c>
      <c r="Y30">
        <v>24</v>
      </c>
      <c r="Z30">
        <v>3</v>
      </c>
      <c r="AB30">
        <f t="shared" si="2"/>
        <v>0.59074074074074101</v>
      </c>
    </row>
    <row r="31" spans="1:28" x14ac:dyDescent="0.25">
      <c r="B31">
        <v>40</v>
      </c>
      <c r="C31" s="6">
        <v>3.75</v>
      </c>
      <c r="D31">
        <v>1.169</v>
      </c>
      <c r="E31">
        <v>29.71</v>
      </c>
      <c r="F31">
        <v>347</v>
      </c>
      <c r="G31">
        <v>13.48</v>
      </c>
      <c r="H31">
        <v>10.199999999999999</v>
      </c>
      <c r="I31">
        <v>25.4</v>
      </c>
      <c r="J31" s="6">
        <f t="shared" si="0"/>
        <v>3.25</v>
      </c>
      <c r="K31" s="8">
        <f t="shared" si="9"/>
        <v>0.31989288503737862</v>
      </c>
      <c r="L31">
        <f t="shared" si="7"/>
        <v>0.37395478260869564</v>
      </c>
      <c r="M31">
        <f t="shared" si="8"/>
        <v>-0.7950452173913044</v>
      </c>
      <c r="N31">
        <f t="shared" si="1"/>
        <v>0.27777777777777779</v>
      </c>
      <c r="U31">
        <f t="shared" si="3"/>
        <v>13</v>
      </c>
      <c r="V31" s="6">
        <f t="shared" si="4"/>
        <v>8.4500000000000011</v>
      </c>
      <c r="W31" s="6">
        <f t="shared" si="5"/>
        <v>0.64999999999999947</v>
      </c>
      <c r="X31" s="8">
        <f t="shared" si="6"/>
        <v>8.6250000000000036</v>
      </c>
      <c r="Y31">
        <v>18</v>
      </c>
      <c r="Z31">
        <v>4</v>
      </c>
      <c r="AB31">
        <f t="shared" si="2"/>
        <v>0.63888888888888917</v>
      </c>
    </row>
    <row r="32" spans="1:28" x14ac:dyDescent="0.25">
      <c r="B32">
        <v>39</v>
      </c>
      <c r="C32" s="6">
        <v>4</v>
      </c>
      <c r="D32">
        <v>1.151</v>
      </c>
      <c r="E32">
        <v>29.07</v>
      </c>
      <c r="F32">
        <v>335</v>
      </c>
      <c r="G32">
        <v>12.38</v>
      </c>
      <c r="H32">
        <v>9.7899999999999991</v>
      </c>
      <c r="I32">
        <v>24.2</v>
      </c>
      <c r="J32" s="6">
        <f t="shared" si="0"/>
        <v>3.5</v>
      </c>
      <c r="K32" s="8">
        <f t="shared" si="9"/>
        <v>0.31991538548710002</v>
      </c>
      <c r="L32">
        <f t="shared" si="7"/>
        <v>0.36822260869565215</v>
      </c>
      <c r="M32">
        <f t="shared" si="8"/>
        <v>-0.78277739130434787</v>
      </c>
      <c r="N32">
        <f t="shared" si="1"/>
        <v>0.29629629629629628</v>
      </c>
      <c r="U32">
        <f t="shared" si="3"/>
        <v>14</v>
      </c>
      <c r="V32" s="6">
        <f t="shared" si="4"/>
        <v>9.1000000000000014</v>
      </c>
      <c r="W32" s="6">
        <f t="shared" si="5"/>
        <v>0.65000000000000036</v>
      </c>
      <c r="X32" s="8">
        <f t="shared" si="6"/>
        <v>9.2750000000000021</v>
      </c>
      <c r="Y32">
        <v>18</v>
      </c>
      <c r="Z32">
        <v>4</v>
      </c>
      <c r="AB32">
        <f t="shared" si="2"/>
        <v>0.68703703703703722</v>
      </c>
    </row>
    <row r="33" spans="2:28" x14ac:dyDescent="0.25">
      <c r="B33">
        <v>38</v>
      </c>
      <c r="C33" s="6">
        <v>4.25</v>
      </c>
      <c r="D33">
        <v>1.133</v>
      </c>
      <c r="E33">
        <v>28.44</v>
      </c>
      <c r="F33">
        <v>322</v>
      </c>
      <c r="G33">
        <v>11.39</v>
      </c>
      <c r="H33">
        <v>9.39</v>
      </c>
      <c r="I33">
        <v>23.2</v>
      </c>
      <c r="J33" s="6">
        <f t="shared" si="0"/>
        <v>3.75</v>
      </c>
      <c r="K33" s="8">
        <f t="shared" si="9"/>
        <v>0.31993860086726272</v>
      </c>
      <c r="L33">
        <f t="shared" si="7"/>
        <v>0.36249043478260867</v>
      </c>
      <c r="M33">
        <f t="shared" si="8"/>
        <v>-0.77050956521739133</v>
      </c>
      <c r="N33">
        <f t="shared" si="1"/>
        <v>0.31481481481481483</v>
      </c>
      <c r="U33">
        <f t="shared" si="3"/>
        <v>15</v>
      </c>
      <c r="V33" s="6">
        <f t="shared" si="4"/>
        <v>9.7500000000000018</v>
      </c>
      <c r="W33" s="6">
        <f t="shared" si="5"/>
        <v>0.65000000000000036</v>
      </c>
      <c r="X33" s="8">
        <f t="shared" si="6"/>
        <v>9.9250000000000007</v>
      </c>
      <c r="Y33">
        <v>18</v>
      </c>
      <c r="Z33">
        <v>4</v>
      </c>
      <c r="AB33">
        <f t="shared" si="2"/>
        <v>0.73518518518518527</v>
      </c>
    </row>
    <row r="34" spans="2:28" x14ac:dyDescent="0.25">
      <c r="B34">
        <v>37</v>
      </c>
      <c r="C34" s="6">
        <v>4.5</v>
      </c>
      <c r="D34">
        <v>1.115</v>
      </c>
      <c r="E34">
        <v>27.84</v>
      </c>
      <c r="F34">
        <v>310</v>
      </c>
      <c r="G34">
        <v>10.51</v>
      </c>
      <c r="H34">
        <v>8.98</v>
      </c>
      <c r="I34">
        <v>22.1</v>
      </c>
      <c r="J34" s="6">
        <f t="shared" si="0"/>
        <v>4</v>
      </c>
      <c r="K34" s="8">
        <f t="shared" si="9"/>
        <v>0.31996256580230065</v>
      </c>
      <c r="L34">
        <f t="shared" si="7"/>
        <v>0.35675826086956519</v>
      </c>
      <c r="M34">
        <f t="shared" si="8"/>
        <v>-0.7582417391304348</v>
      </c>
      <c r="N34">
        <f t="shared" si="1"/>
        <v>0.33333333333333331</v>
      </c>
      <c r="U34">
        <f t="shared" si="3"/>
        <v>16</v>
      </c>
      <c r="V34" s="6">
        <f t="shared" si="4"/>
        <v>10.400000000000002</v>
      </c>
      <c r="W34" s="6">
        <f t="shared" si="5"/>
        <v>0.65000000000000036</v>
      </c>
      <c r="X34" s="8">
        <f t="shared" si="6"/>
        <v>10.574999999999999</v>
      </c>
      <c r="Y34">
        <v>18</v>
      </c>
      <c r="Z34">
        <v>4</v>
      </c>
      <c r="AB34">
        <f t="shared" si="2"/>
        <v>0.78333333333333333</v>
      </c>
    </row>
    <row r="35" spans="2:28" x14ac:dyDescent="0.25">
      <c r="B35">
        <v>36</v>
      </c>
      <c r="C35" s="6">
        <v>4.75</v>
      </c>
      <c r="D35">
        <v>1.097</v>
      </c>
      <c r="E35">
        <v>27.26</v>
      </c>
      <c r="F35">
        <v>299</v>
      </c>
      <c r="G35">
        <v>9.7100000000000009</v>
      </c>
      <c r="H35">
        <v>8.58</v>
      </c>
      <c r="I35">
        <v>21.1</v>
      </c>
      <c r="J35" s="6">
        <f t="shared" si="0"/>
        <v>4.25</v>
      </c>
      <c r="K35" s="8">
        <f t="shared" si="9"/>
        <v>0.319987317189172</v>
      </c>
      <c r="L35">
        <f t="shared" si="7"/>
        <v>0.35102608695652171</v>
      </c>
      <c r="M35">
        <f t="shared" si="8"/>
        <v>-0.74597391304347827</v>
      </c>
      <c r="N35">
        <f t="shared" si="1"/>
        <v>0.35185185185185186</v>
      </c>
      <c r="U35">
        <f t="shared" si="3"/>
        <v>17</v>
      </c>
      <c r="V35" s="6">
        <f t="shared" si="4"/>
        <v>11.050000000000002</v>
      </c>
      <c r="W35" s="6">
        <f t="shared" si="5"/>
        <v>0.65000000000000036</v>
      </c>
      <c r="X35" s="8">
        <f t="shared" si="6"/>
        <v>11.224999999999998</v>
      </c>
      <c r="Y35">
        <v>18</v>
      </c>
      <c r="Z35">
        <v>4</v>
      </c>
      <c r="AB35">
        <f t="shared" si="2"/>
        <v>0.83148148148148138</v>
      </c>
    </row>
    <row r="36" spans="2:28" x14ac:dyDescent="0.25">
      <c r="B36">
        <v>35</v>
      </c>
      <c r="C36" s="6">
        <v>5</v>
      </c>
      <c r="D36">
        <v>1.079</v>
      </c>
      <c r="E36">
        <v>26.69</v>
      </c>
      <c r="F36">
        <v>288</v>
      </c>
      <c r="G36">
        <v>8.98</v>
      </c>
      <c r="H36">
        <v>8.18</v>
      </c>
      <c r="I36">
        <v>20.2</v>
      </c>
      <c r="J36" s="6">
        <f t="shared" si="0"/>
        <v>4.5</v>
      </c>
      <c r="K36" s="8">
        <f t="shared" si="9"/>
        <v>0.32001289438691216</v>
      </c>
      <c r="L36">
        <f t="shared" si="7"/>
        <v>0.34529391304347823</v>
      </c>
      <c r="M36">
        <f t="shared" si="8"/>
        <v>-0.73370608695652173</v>
      </c>
      <c r="N36">
        <f t="shared" si="1"/>
        <v>0.37037037037037035</v>
      </c>
      <c r="U36">
        <f t="shared" si="3"/>
        <v>18</v>
      </c>
      <c r="V36" s="6">
        <f t="shared" si="4"/>
        <v>11.700000000000003</v>
      </c>
      <c r="W36" s="6">
        <f t="shared" si="5"/>
        <v>0.65000000000000036</v>
      </c>
      <c r="X36" s="8">
        <f t="shared" si="6"/>
        <v>11.874999999999996</v>
      </c>
      <c r="Y36">
        <v>18</v>
      </c>
      <c r="Z36">
        <v>4</v>
      </c>
      <c r="AB36">
        <f t="shared" si="2"/>
        <v>0.87962962962962932</v>
      </c>
    </row>
    <row r="37" spans="2:28" x14ac:dyDescent="0.25">
      <c r="B37">
        <v>34</v>
      </c>
      <c r="C37" s="6">
        <v>5.25</v>
      </c>
      <c r="D37">
        <v>1.0609999999999999</v>
      </c>
      <c r="E37">
        <v>26.14</v>
      </c>
      <c r="F37">
        <v>277</v>
      </c>
      <c r="G37">
        <v>8.32</v>
      </c>
      <c r="H37">
        <v>7.77</v>
      </c>
      <c r="I37">
        <v>19.2</v>
      </c>
      <c r="J37" s="6">
        <f t="shared" si="0"/>
        <v>4.75</v>
      </c>
      <c r="K37" s="8">
        <f t="shared" si="9"/>
        <v>0.32003933942548046</v>
      </c>
      <c r="L37">
        <f t="shared" si="7"/>
        <v>0.33956173913043475</v>
      </c>
      <c r="M37">
        <f t="shared" si="8"/>
        <v>-0.7214382608695652</v>
      </c>
      <c r="N37">
        <f t="shared" si="1"/>
        <v>0.3888888888888889</v>
      </c>
      <c r="U37">
        <f t="shared" si="3"/>
        <v>19</v>
      </c>
      <c r="V37" s="6">
        <f t="shared" si="4"/>
        <v>12.350000000000003</v>
      </c>
      <c r="W37" s="6">
        <f t="shared" si="5"/>
        <v>0.65000000000000036</v>
      </c>
      <c r="X37" s="8">
        <f t="shared" si="6"/>
        <v>12.524999999999995</v>
      </c>
      <c r="Y37">
        <v>14</v>
      </c>
      <c r="Z37">
        <v>5</v>
      </c>
      <c r="AB37">
        <f t="shared" si="2"/>
        <v>0.92777777777777737</v>
      </c>
    </row>
    <row r="38" spans="2:28" x14ac:dyDescent="0.25">
      <c r="B38">
        <v>33</v>
      </c>
      <c r="C38" s="6">
        <v>5.5</v>
      </c>
      <c r="D38">
        <v>1.0429999999999999</v>
      </c>
      <c r="E38">
        <v>25.6</v>
      </c>
      <c r="F38">
        <v>267</v>
      </c>
      <c r="G38">
        <v>7.72</v>
      </c>
      <c r="H38">
        <v>7.37</v>
      </c>
      <c r="I38">
        <v>18.399999999999999</v>
      </c>
      <c r="J38" s="6">
        <f t="shared" si="0"/>
        <v>5</v>
      </c>
      <c r="K38" s="8">
        <f t="shared" si="9"/>
        <v>0.32006669723623332</v>
      </c>
      <c r="L38">
        <f t="shared" si="7"/>
        <v>0.33382956521739132</v>
      </c>
      <c r="M38">
        <f t="shared" si="8"/>
        <v>-0.70917043478260866</v>
      </c>
      <c r="N38">
        <f t="shared" si="1"/>
        <v>0.40740740740740738</v>
      </c>
      <c r="U38">
        <f t="shared" si="3"/>
        <v>20</v>
      </c>
      <c r="V38" s="6">
        <f t="shared" si="4"/>
        <v>13.000000000000004</v>
      </c>
      <c r="W38" s="6">
        <f t="shared" si="5"/>
        <v>0.65000000000000036</v>
      </c>
      <c r="X38" s="8">
        <f t="shared" si="6"/>
        <v>13.174999999999994</v>
      </c>
      <c r="Y38">
        <v>14</v>
      </c>
      <c r="Z38">
        <v>5</v>
      </c>
      <c r="AB38">
        <f t="shared" si="2"/>
        <v>0.97592592592592542</v>
      </c>
    </row>
    <row r="39" spans="2:28" x14ac:dyDescent="0.25">
      <c r="B39">
        <v>32</v>
      </c>
      <c r="C39" s="6">
        <v>5.75</v>
      </c>
      <c r="D39">
        <v>1.026</v>
      </c>
      <c r="E39">
        <v>25.08</v>
      </c>
      <c r="F39">
        <v>257</v>
      </c>
      <c r="G39">
        <v>7.16</v>
      </c>
      <c r="H39">
        <v>6.96</v>
      </c>
      <c r="I39">
        <v>17.5</v>
      </c>
      <c r="J39" s="6">
        <f t="shared" si="0"/>
        <v>5.25</v>
      </c>
      <c r="K39" s="8">
        <f t="shared" si="9"/>
        <v>0.31978303246037798</v>
      </c>
      <c r="L39">
        <f t="shared" si="7"/>
        <v>0.32809739130434784</v>
      </c>
      <c r="M39">
        <f t="shared" si="8"/>
        <v>-0.69790260869565213</v>
      </c>
      <c r="N39">
        <f t="shared" si="1"/>
        <v>0.42592592592592593</v>
      </c>
      <c r="V39" s="6" t="s">
        <v>93</v>
      </c>
      <c r="W39" s="6">
        <f>SUM(W19:W38)</f>
        <v>13.000000000000004</v>
      </c>
      <c r="X39" s="6"/>
    </row>
    <row r="40" spans="2:28" x14ac:dyDescent="0.25">
      <c r="B40">
        <v>31</v>
      </c>
      <c r="C40" s="6">
        <v>6</v>
      </c>
      <c r="D40">
        <v>1.008</v>
      </c>
      <c r="E40">
        <v>24.57</v>
      </c>
      <c r="F40">
        <v>248</v>
      </c>
      <c r="G40">
        <v>6.65</v>
      </c>
      <c r="H40">
        <v>6.56</v>
      </c>
      <c r="I40">
        <v>16.7</v>
      </c>
      <c r="J40" s="6">
        <f t="shared" si="0"/>
        <v>5.5</v>
      </c>
      <c r="K40" s="8">
        <f t="shared" si="9"/>
        <v>0.31980676328502416</v>
      </c>
      <c r="L40">
        <f t="shared" si="7"/>
        <v>0.32236521739130436</v>
      </c>
      <c r="M40">
        <f t="shared" si="8"/>
        <v>-0.6856347826086957</v>
      </c>
      <c r="N40">
        <f t="shared" si="1"/>
        <v>0.44444444444444442</v>
      </c>
      <c r="V40" s="6"/>
      <c r="W40" s="6"/>
      <c r="X40" s="6"/>
    </row>
    <row r="41" spans="2:28" x14ac:dyDescent="0.25">
      <c r="B41" s="9">
        <v>30</v>
      </c>
      <c r="C41" s="10">
        <v>6.25</v>
      </c>
      <c r="D41" s="9">
        <v>0.99</v>
      </c>
      <c r="E41" s="9">
        <v>24.08</v>
      </c>
      <c r="F41" s="9">
        <v>238</v>
      </c>
      <c r="G41" s="9">
        <v>6.18</v>
      </c>
      <c r="H41" s="9">
        <v>6.15</v>
      </c>
      <c r="I41" s="9">
        <v>15.9</v>
      </c>
      <c r="J41" s="10">
        <f t="shared" si="0"/>
        <v>5.75</v>
      </c>
      <c r="K41" s="11">
        <f t="shared" si="9"/>
        <v>0.31983135704874838</v>
      </c>
      <c r="L41" s="9">
        <f t="shared" si="7"/>
        <v>0.31663304347826088</v>
      </c>
      <c r="M41">
        <f t="shared" si="8"/>
        <v>-0.67336695652173906</v>
      </c>
      <c r="N41">
        <f t="shared" si="1"/>
        <v>0.46296296296296297</v>
      </c>
      <c r="V41" s="6">
        <v>0.82499999999999996</v>
      </c>
      <c r="W41" s="6"/>
      <c r="X41" s="6"/>
    </row>
    <row r="42" spans="2:28" x14ac:dyDescent="0.25">
      <c r="B42">
        <v>29</v>
      </c>
      <c r="C42" s="6">
        <v>6.5</v>
      </c>
      <c r="D42">
        <v>0.97199999999999998</v>
      </c>
      <c r="E42">
        <v>23.6</v>
      </c>
      <c r="F42">
        <v>229</v>
      </c>
      <c r="G42">
        <v>5.75</v>
      </c>
      <c r="H42">
        <v>5.75</v>
      </c>
      <c r="I42">
        <v>15.2</v>
      </c>
      <c r="J42" s="6">
        <f t="shared" si="0"/>
        <v>6</v>
      </c>
      <c r="K42" s="8">
        <f t="shared" si="9"/>
        <v>0.31985686169261052</v>
      </c>
      <c r="L42">
        <f t="shared" si="7"/>
        <v>0.3109008695652174</v>
      </c>
      <c r="M42">
        <f t="shared" si="8"/>
        <v>-0.66109913043478263</v>
      </c>
      <c r="N42">
        <f t="shared" si="1"/>
        <v>0.48148148148148145</v>
      </c>
      <c r="V42" s="6">
        <v>1.4750000000000001</v>
      </c>
      <c r="W42" s="6"/>
      <c r="X42" s="6"/>
    </row>
    <row r="43" spans="2:28" x14ac:dyDescent="0.25">
      <c r="B43">
        <v>28</v>
      </c>
      <c r="C43" s="6">
        <v>6.75</v>
      </c>
      <c r="D43">
        <v>0.95399999999999996</v>
      </c>
      <c r="E43">
        <v>23.14</v>
      </c>
      <c r="F43">
        <v>221</v>
      </c>
      <c r="G43">
        <v>5.34</v>
      </c>
      <c r="H43">
        <v>5.34</v>
      </c>
      <c r="I43">
        <v>14.4</v>
      </c>
      <c r="J43" s="6">
        <f t="shared" si="0"/>
        <v>6.25</v>
      </c>
      <c r="K43" s="8">
        <f t="shared" si="9"/>
        <v>0.31988332877586367</v>
      </c>
      <c r="L43">
        <f t="shared" si="7"/>
        <v>0.30516869565217392</v>
      </c>
      <c r="M43">
        <f t="shared" si="8"/>
        <v>-0.64883130434782599</v>
      </c>
      <c r="N43">
        <f t="shared" si="1"/>
        <v>0.5</v>
      </c>
      <c r="V43" s="6">
        <v>2.125</v>
      </c>
      <c r="W43" s="6"/>
      <c r="X43" s="6"/>
    </row>
    <row r="44" spans="2:28" x14ac:dyDescent="0.25">
      <c r="B44">
        <v>27</v>
      </c>
      <c r="C44" s="6">
        <v>7</v>
      </c>
      <c r="D44">
        <v>0.93600000000000005</v>
      </c>
      <c r="E44">
        <v>22.68</v>
      </c>
      <c r="F44">
        <v>212</v>
      </c>
      <c r="G44">
        <v>4.97</v>
      </c>
      <c r="H44">
        <v>4.97</v>
      </c>
      <c r="I44">
        <v>13.7</v>
      </c>
      <c r="J44" s="6">
        <f t="shared" si="0"/>
        <v>6.5</v>
      </c>
      <c r="K44" s="8">
        <f t="shared" si="9"/>
        <v>0.31991081382385728</v>
      </c>
      <c r="L44">
        <f t="shared" si="7"/>
        <v>0.29943652173913043</v>
      </c>
      <c r="M44">
        <f t="shared" si="8"/>
        <v>-0.63656347826086956</v>
      </c>
      <c r="N44">
        <f t="shared" si="1"/>
        <v>0.51851851851851849</v>
      </c>
      <c r="V44" s="6">
        <v>2.7749999999999999</v>
      </c>
      <c r="W44" s="6"/>
      <c r="X44" s="6"/>
    </row>
    <row r="45" spans="2:28" x14ac:dyDescent="0.25">
      <c r="B45">
        <v>26</v>
      </c>
      <c r="C45" s="6">
        <v>7.25</v>
      </c>
      <c r="D45">
        <v>0.91800000000000004</v>
      </c>
      <c r="E45">
        <v>22.24</v>
      </c>
      <c r="F45">
        <v>204</v>
      </c>
      <c r="G45">
        <v>4.62</v>
      </c>
      <c r="H45">
        <v>4.62</v>
      </c>
      <c r="I45">
        <v>13.1</v>
      </c>
      <c r="J45" s="6">
        <f t="shared" si="0"/>
        <v>6.75</v>
      </c>
      <c r="K45" s="8">
        <f t="shared" si="9"/>
        <v>0.31993937671687028</v>
      </c>
      <c r="L45">
        <f t="shared" si="7"/>
        <v>0.29370434782608695</v>
      </c>
      <c r="M45">
        <f t="shared" si="8"/>
        <v>-0.62429565217391314</v>
      </c>
      <c r="N45">
        <f t="shared" si="1"/>
        <v>0.53703703703703709</v>
      </c>
      <c r="V45" s="6">
        <v>3.4249999999999998</v>
      </c>
      <c r="W45" s="6"/>
      <c r="X45" s="6"/>
    </row>
    <row r="46" spans="2:28" x14ac:dyDescent="0.25">
      <c r="B46">
        <v>25</v>
      </c>
      <c r="C46" s="6">
        <v>7.5</v>
      </c>
      <c r="D46">
        <v>0.9</v>
      </c>
      <c r="E46">
        <v>21.81</v>
      </c>
      <c r="F46">
        <v>196</v>
      </c>
      <c r="G46">
        <v>4.29</v>
      </c>
      <c r="H46">
        <v>4.29</v>
      </c>
      <c r="I46">
        <v>12.4</v>
      </c>
      <c r="J46" s="6">
        <f t="shared" si="0"/>
        <v>7</v>
      </c>
      <c r="K46" s="8">
        <f t="shared" si="9"/>
        <v>0.31996908212560388</v>
      </c>
      <c r="L46">
        <f t="shared" si="7"/>
        <v>0.28797217391304347</v>
      </c>
      <c r="M46">
        <f t="shared" si="8"/>
        <v>-0.61202782608695649</v>
      </c>
      <c r="N46">
        <f t="shared" si="1"/>
        <v>0.55555555555555558</v>
      </c>
      <c r="V46" s="6">
        <v>4.0750000000000002</v>
      </c>
      <c r="W46" s="6"/>
      <c r="X46" s="6"/>
    </row>
    <row r="47" spans="2:28" x14ac:dyDescent="0.25">
      <c r="B47">
        <v>24</v>
      </c>
      <c r="C47" s="6">
        <v>7.75</v>
      </c>
      <c r="D47">
        <v>0.88200000000000001</v>
      </c>
      <c r="E47">
        <v>21.39</v>
      </c>
      <c r="F47">
        <v>189</v>
      </c>
      <c r="G47">
        <v>3.98</v>
      </c>
      <c r="H47">
        <v>3.98</v>
      </c>
      <c r="I47">
        <v>11.8</v>
      </c>
      <c r="J47" s="6">
        <f t="shared" si="0"/>
        <v>7.25</v>
      </c>
      <c r="K47" s="8">
        <f t="shared" si="9"/>
        <v>0.32</v>
      </c>
      <c r="L47">
        <f t="shared" si="7"/>
        <v>0.28223999999999999</v>
      </c>
      <c r="M47">
        <f t="shared" si="8"/>
        <v>-0.59976000000000007</v>
      </c>
      <c r="N47">
        <f t="shared" si="1"/>
        <v>0.57407407407407407</v>
      </c>
      <c r="V47" s="6">
        <v>4.7249999999999996</v>
      </c>
      <c r="W47" s="6"/>
      <c r="X47" s="6"/>
    </row>
    <row r="48" spans="2:28" x14ac:dyDescent="0.25">
      <c r="B48">
        <v>23</v>
      </c>
      <c r="C48" s="6">
        <v>8</v>
      </c>
      <c r="D48">
        <v>0.86399999999999999</v>
      </c>
      <c r="E48">
        <v>20.98</v>
      </c>
      <c r="F48">
        <v>181</v>
      </c>
      <c r="G48">
        <v>3.69</v>
      </c>
      <c r="H48">
        <v>3.69</v>
      </c>
      <c r="I48">
        <v>11.2</v>
      </c>
      <c r="J48" s="6">
        <f t="shared" si="0"/>
        <v>7.5</v>
      </c>
      <c r="K48" s="8">
        <f t="shared" si="9"/>
        <v>0.32003220611916261</v>
      </c>
      <c r="L48">
        <f t="shared" si="7"/>
        <v>0.27650782608695651</v>
      </c>
      <c r="M48">
        <f t="shared" si="8"/>
        <v>-0.58749217391304343</v>
      </c>
      <c r="N48">
        <f t="shared" si="1"/>
        <v>0.59259259259259256</v>
      </c>
      <c r="V48" s="6">
        <v>5.375</v>
      </c>
      <c r="W48" s="6"/>
      <c r="X48" s="6"/>
    </row>
    <row r="49" spans="2:24" x14ac:dyDescent="0.25">
      <c r="B49">
        <v>22</v>
      </c>
      <c r="C49" s="6">
        <v>8.25</v>
      </c>
      <c r="D49">
        <v>0.84599999999999997</v>
      </c>
      <c r="E49">
        <v>20.58</v>
      </c>
      <c r="F49">
        <v>174</v>
      </c>
      <c r="G49">
        <v>3.42</v>
      </c>
      <c r="H49">
        <v>3.42</v>
      </c>
      <c r="I49">
        <v>10.6</v>
      </c>
      <c r="J49" s="6">
        <f t="shared" si="0"/>
        <v>7.75</v>
      </c>
      <c r="K49" s="8">
        <f t="shared" si="9"/>
        <v>0.32006578271148112</v>
      </c>
      <c r="L49">
        <f t="shared" si="7"/>
        <v>0.27077565217391303</v>
      </c>
      <c r="M49">
        <f t="shared" si="8"/>
        <v>-0.575224347826087</v>
      </c>
      <c r="N49">
        <f t="shared" si="1"/>
        <v>0.61111111111111116</v>
      </c>
      <c r="V49" s="6">
        <v>6.0250000000000004</v>
      </c>
      <c r="W49" s="6"/>
      <c r="X49" s="6"/>
    </row>
    <row r="50" spans="2:24" x14ac:dyDescent="0.25">
      <c r="B50">
        <v>21</v>
      </c>
      <c r="C50" s="6">
        <v>8.5</v>
      </c>
      <c r="D50">
        <v>0.82799999999999996</v>
      </c>
      <c r="E50">
        <v>20.190000000000001</v>
      </c>
      <c r="F50">
        <v>167</v>
      </c>
      <c r="G50">
        <v>3.16</v>
      </c>
      <c r="H50">
        <v>3.16</v>
      </c>
      <c r="I50">
        <v>10.1</v>
      </c>
      <c r="J50" s="6">
        <f t="shared" si="0"/>
        <v>8</v>
      </c>
      <c r="K50" s="8">
        <f t="shared" si="9"/>
        <v>0.32010081915563959</v>
      </c>
      <c r="L50">
        <f t="shared" si="7"/>
        <v>0.26504347826086955</v>
      </c>
      <c r="M50">
        <f t="shared" si="8"/>
        <v>-0.56295652173913036</v>
      </c>
      <c r="N50">
        <f t="shared" si="1"/>
        <v>0.62962962962962965</v>
      </c>
      <c r="V50" s="6">
        <v>6.6749999999999998</v>
      </c>
      <c r="W50" s="6"/>
      <c r="X50" s="6"/>
    </row>
    <row r="51" spans="2:24" x14ac:dyDescent="0.25">
      <c r="B51">
        <v>20</v>
      </c>
      <c r="C51" s="6">
        <v>8.75</v>
      </c>
      <c r="D51">
        <v>0.81</v>
      </c>
      <c r="E51">
        <v>19.809999999999999</v>
      </c>
      <c r="F51">
        <v>161</v>
      </c>
      <c r="G51">
        <v>2.92</v>
      </c>
      <c r="H51">
        <v>2.92</v>
      </c>
      <c r="I51">
        <v>9.6</v>
      </c>
      <c r="J51" s="6">
        <f t="shared" si="0"/>
        <v>8.25</v>
      </c>
      <c r="K51" s="8">
        <f t="shared" si="9"/>
        <v>0.32013741277509394</v>
      </c>
      <c r="L51">
        <f t="shared" si="7"/>
        <v>0.25931130434782612</v>
      </c>
      <c r="M51">
        <f t="shared" si="8"/>
        <v>-0.55068869565217393</v>
      </c>
      <c r="N51">
        <f t="shared" si="1"/>
        <v>0.64814814814814814</v>
      </c>
      <c r="V51" s="6">
        <v>7.3250000000000002</v>
      </c>
      <c r="W51" s="6"/>
      <c r="X51" s="6"/>
    </row>
    <row r="52" spans="2:24" x14ac:dyDescent="0.25">
      <c r="B52">
        <v>19</v>
      </c>
      <c r="C52" s="6">
        <v>9</v>
      </c>
      <c r="D52">
        <v>0.79300000000000004</v>
      </c>
      <c r="E52">
        <v>19.440000000000001</v>
      </c>
      <c r="F52">
        <v>154</v>
      </c>
      <c r="G52">
        <v>2.69</v>
      </c>
      <c r="H52">
        <v>2.69</v>
      </c>
      <c r="I52">
        <v>9.1</v>
      </c>
      <c r="J52" s="6">
        <f t="shared" si="0"/>
        <v>8.5</v>
      </c>
      <c r="K52" s="8">
        <f t="shared" si="9"/>
        <v>0.31977191732002852</v>
      </c>
      <c r="L52">
        <f t="shared" si="7"/>
        <v>0.25357913043478264</v>
      </c>
      <c r="M52">
        <f t="shared" si="8"/>
        <v>-0.5394208695652174</v>
      </c>
      <c r="N52">
        <f t="shared" si="1"/>
        <v>0.66666666666666663</v>
      </c>
      <c r="V52" s="6">
        <v>7.9749999999999996</v>
      </c>
      <c r="W52" s="6"/>
      <c r="X52" s="6"/>
    </row>
    <row r="53" spans="2:24" x14ac:dyDescent="0.25">
      <c r="B53">
        <v>18</v>
      </c>
      <c r="C53" s="6">
        <v>9.25</v>
      </c>
      <c r="D53">
        <v>0.77500000000000002</v>
      </c>
      <c r="E53">
        <v>19.079999999999998</v>
      </c>
      <c r="F53">
        <v>148</v>
      </c>
      <c r="G53">
        <v>2.4700000000000002</v>
      </c>
      <c r="H53">
        <v>2.4700000000000002</v>
      </c>
      <c r="I53">
        <v>8.6</v>
      </c>
      <c r="J53" s="6">
        <f t="shared" si="0"/>
        <v>8.75</v>
      </c>
      <c r="K53" s="8">
        <f t="shared" si="9"/>
        <v>0.31980252454417951</v>
      </c>
      <c r="L53">
        <f t="shared" si="7"/>
        <v>0.24784695652173913</v>
      </c>
      <c r="M53">
        <f t="shared" si="8"/>
        <v>-0.52715304347826086</v>
      </c>
      <c r="N53">
        <f t="shared" si="1"/>
        <v>0.68518518518518523</v>
      </c>
      <c r="V53" s="6">
        <v>8.625</v>
      </c>
      <c r="W53" s="6"/>
      <c r="X53" s="6"/>
    </row>
    <row r="54" spans="2:24" x14ac:dyDescent="0.25">
      <c r="B54">
        <v>17</v>
      </c>
      <c r="C54" s="6">
        <v>9.5</v>
      </c>
      <c r="D54">
        <v>0.75700000000000001</v>
      </c>
      <c r="E54">
        <v>18.72</v>
      </c>
      <c r="F54">
        <v>142</v>
      </c>
      <c r="G54">
        <v>2.27</v>
      </c>
      <c r="H54">
        <v>2.27</v>
      </c>
      <c r="I54">
        <v>8.1</v>
      </c>
      <c r="J54" s="6">
        <f t="shared" si="0"/>
        <v>9</v>
      </c>
      <c r="K54" s="8">
        <f t="shared" si="9"/>
        <v>0.31983458732984893</v>
      </c>
      <c r="L54">
        <f t="shared" si="7"/>
        <v>0.24211478260869565</v>
      </c>
      <c r="M54">
        <f t="shared" si="8"/>
        <v>-0.51488521739130433</v>
      </c>
      <c r="N54">
        <f t="shared" si="1"/>
        <v>0.70370370370370372</v>
      </c>
      <c r="V54" s="6">
        <v>9.2750000000000004</v>
      </c>
      <c r="W54" s="6"/>
      <c r="X54" s="6"/>
    </row>
    <row r="55" spans="2:24" x14ac:dyDescent="0.25">
      <c r="B55">
        <v>16</v>
      </c>
      <c r="C55" s="6">
        <v>9.75</v>
      </c>
      <c r="D55">
        <v>0.73899999999999999</v>
      </c>
      <c r="E55">
        <v>18.38</v>
      </c>
      <c r="F55">
        <v>136</v>
      </c>
      <c r="G55">
        <v>2.0699999999999998</v>
      </c>
      <c r="H55">
        <v>2.0699999999999998</v>
      </c>
      <c r="I55">
        <v>7.7</v>
      </c>
      <c r="J55" s="6">
        <f t="shared" si="0"/>
        <v>9.25</v>
      </c>
      <c r="K55" s="8">
        <f t="shared" si="9"/>
        <v>0.31986821203741839</v>
      </c>
      <c r="L55">
        <f t="shared" si="7"/>
        <v>0.23638260869565217</v>
      </c>
      <c r="M55">
        <f t="shared" si="8"/>
        <v>-0.50261739130434779</v>
      </c>
      <c r="N55">
        <f t="shared" si="1"/>
        <v>0.72222222222222221</v>
      </c>
      <c r="V55" s="6">
        <v>9.9250000000000007</v>
      </c>
      <c r="W55" s="6"/>
      <c r="X55" s="6"/>
    </row>
    <row r="56" spans="2:24" x14ac:dyDescent="0.25">
      <c r="B56" s="9">
        <v>15</v>
      </c>
      <c r="C56" s="10">
        <v>10</v>
      </c>
      <c r="D56" s="9">
        <v>0.72099999999999997</v>
      </c>
      <c r="E56" s="9">
        <v>18.04</v>
      </c>
      <c r="F56" s="9">
        <v>130</v>
      </c>
      <c r="G56" s="9">
        <v>1.89</v>
      </c>
      <c r="H56" s="9">
        <v>1.89</v>
      </c>
      <c r="I56" s="9">
        <v>7.2</v>
      </c>
      <c r="J56" s="10">
        <f t="shared" si="0"/>
        <v>9.5</v>
      </c>
      <c r="K56" s="11">
        <f t="shared" si="9"/>
        <v>0.31990351564855574</v>
      </c>
      <c r="L56" s="9">
        <f t="shared" si="7"/>
        <v>0.23065043478260869</v>
      </c>
      <c r="M56">
        <f t="shared" si="8"/>
        <v>-0.49034956521739126</v>
      </c>
      <c r="N56">
        <f t="shared" si="1"/>
        <v>0.7407407407407407</v>
      </c>
      <c r="V56">
        <v>10.574999999999999</v>
      </c>
    </row>
    <row r="57" spans="2:24" x14ac:dyDescent="0.25">
      <c r="B57">
        <v>14</v>
      </c>
      <c r="C57" s="6">
        <v>10.25</v>
      </c>
      <c r="D57">
        <v>0.70299999999999996</v>
      </c>
      <c r="E57">
        <v>17.71</v>
      </c>
      <c r="F57">
        <v>124</v>
      </c>
      <c r="G57">
        <v>1.71</v>
      </c>
      <c r="H57">
        <v>1.71</v>
      </c>
      <c r="I57">
        <v>6.8</v>
      </c>
      <c r="J57" s="6">
        <f t="shared" si="0"/>
        <v>9.75</v>
      </c>
      <c r="K57" s="8">
        <f t="shared" si="9"/>
        <v>0.31994062712598181</v>
      </c>
      <c r="L57">
        <f t="shared" si="7"/>
        <v>0.22491826086956521</v>
      </c>
      <c r="M57">
        <f t="shared" si="8"/>
        <v>-0.47808173913043472</v>
      </c>
      <c r="N57">
        <f t="shared" si="1"/>
        <v>0.7592592592592593</v>
      </c>
      <c r="V57">
        <v>11.225</v>
      </c>
    </row>
    <row r="58" spans="2:24" x14ac:dyDescent="0.25">
      <c r="B58">
        <v>13</v>
      </c>
      <c r="C58" s="6">
        <v>10.5</v>
      </c>
      <c r="D58">
        <v>0.68500000000000005</v>
      </c>
      <c r="E58">
        <v>17.38</v>
      </c>
      <c r="F58">
        <v>119</v>
      </c>
      <c r="G58">
        <v>1.54</v>
      </c>
      <c r="H58">
        <v>1.54</v>
      </c>
      <c r="I58">
        <v>6.4</v>
      </c>
      <c r="J58" s="6">
        <f t="shared" si="0"/>
        <v>10</v>
      </c>
      <c r="K58" s="8">
        <f t="shared" si="9"/>
        <v>0.31997968898762291</v>
      </c>
      <c r="L58">
        <f t="shared" si="7"/>
        <v>0.21918608695652173</v>
      </c>
      <c r="M58">
        <f t="shared" si="8"/>
        <v>-0.4658139130434783</v>
      </c>
      <c r="N58">
        <f t="shared" si="1"/>
        <v>0.77777777777777779</v>
      </c>
      <c r="V58">
        <v>11.875</v>
      </c>
    </row>
    <row r="59" spans="2:24" x14ac:dyDescent="0.25">
      <c r="B59">
        <v>12</v>
      </c>
      <c r="C59" s="6">
        <v>10.75</v>
      </c>
      <c r="D59">
        <v>0.66700000000000004</v>
      </c>
      <c r="E59">
        <v>17.07</v>
      </c>
      <c r="F59">
        <v>114</v>
      </c>
      <c r="G59">
        <v>1.38</v>
      </c>
      <c r="H59">
        <v>1.38</v>
      </c>
      <c r="I59">
        <v>6</v>
      </c>
      <c r="J59" s="6">
        <f t="shared" si="0"/>
        <v>10.25</v>
      </c>
      <c r="K59" s="8">
        <f t="shared" si="9"/>
        <v>0.32002085913564954</v>
      </c>
      <c r="L59">
        <f t="shared" si="7"/>
        <v>0.21345391304347824</v>
      </c>
      <c r="M59">
        <f t="shared" si="8"/>
        <v>-0.45354608695652177</v>
      </c>
      <c r="N59">
        <f t="shared" si="1"/>
        <v>0.79629629629629628</v>
      </c>
      <c r="V59">
        <v>12.525</v>
      </c>
    </row>
    <row r="60" spans="2:24" x14ac:dyDescent="0.25">
      <c r="B60">
        <v>11</v>
      </c>
      <c r="C60" s="6">
        <v>11</v>
      </c>
      <c r="D60">
        <v>0.64900000000000002</v>
      </c>
      <c r="E60">
        <v>16.760000000000002</v>
      </c>
      <c r="F60">
        <v>109</v>
      </c>
      <c r="G60">
        <v>1.23</v>
      </c>
      <c r="H60">
        <v>1.23</v>
      </c>
      <c r="I60">
        <v>5.7</v>
      </c>
      <c r="J60" s="6">
        <f t="shared" si="0"/>
        <v>10.5</v>
      </c>
      <c r="K60" s="8">
        <f t="shared" si="9"/>
        <v>0.32006431298988408</v>
      </c>
      <c r="L60">
        <f t="shared" si="7"/>
        <v>0.20772173913043476</v>
      </c>
      <c r="M60">
        <f t="shared" si="8"/>
        <v>-0.44127826086956523</v>
      </c>
      <c r="N60">
        <f t="shared" si="1"/>
        <v>0.81481481481481477</v>
      </c>
      <c r="V60">
        <v>13.175000000000001</v>
      </c>
    </row>
    <row r="61" spans="2:24" x14ac:dyDescent="0.25">
      <c r="B61">
        <v>10</v>
      </c>
      <c r="C61" s="6">
        <v>11.25</v>
      </c>
      <c r="D61">
        <v>0.63100000000000001</v>
      </c>
      <c r="E61">
        <v>16.46</v>
      </c>
      <c r="F61">
        <v>104</v>
      </c>
      <c r="G61">
        <v>1.08</v>
      </c>
      <c r="H61">
        <v>1.08</v>
      </c>
      <c r="I61">
        <v>5.3</v>
      </c>
      <c r="J61" s="6">
        <f t="shared" si="0"/>
        <v>10.75</v>
      </c>
      <c r="K61" s="8">
        <f t="shared" si="9"/>
        <v>0.32011024598635701</v>
      </c>
      <c r="L61">
        <f t="shared" si="7"/>
        <v>0.20198956521739128</v>
      </c>
      <c r="M61">
        <f t="shared" si="8"/>
        <v>-0.4290104347826087</v>
      </c>
      <c r="N61">
        <f t="shared" si="1"/>
        <v>0.83333333333333337</v>
      </c>
    </row>
    <row r="62" spans="2:24" x14ac:dyDescent="0.25">
      <c r="B62">
        <v>9</v>
      </c>
      <c r="C62" s="6">
        <v>11.5</v>
      </c>
      <c r="D62">
        <v>0.61299999999999999</v>
      </c>
      <c r="E62">
        <v>16.16</v>
      </c>
      <c r="F62">
        <v>99</v>
      </c>
      <c r="G62">
        <v>0.94</v>
      </c>
      <c r="H62">
        <v>0.94</v>
      </c>
      <c r="I62">
        <v>5</v>
      </c>
      <c r="J62" s="6">
        <f t="shared" si="0"/>
        <v>11</v>
      </c>
      <c r="K62" s="8">
        <f t="shared" si="9"/>
        <v>0.32015887651606501</v>
      </c>
      <c r="L62">
        <f t="shared" si="7"/>
        <v>0.19625739130434783</v>
      </c>
      <c r="M62">
        <f t="shared" si="8"/>
        <v>-0.41674260869565216</v>
      </c>
      <c r="N62">
        <f t="shared" si="1"/>
        <v>0.85185185185185186</v>
      </c>
    </row>
    <row r="63" spans="2:24" x14ac:dyDescent="0.25">
      <c r="B63">
        <v>8</v>
      </c>
      <c r="C63" s="6">
        <v>11.75</v>
      </c>
      <c r="D63">
        <v>0.59499999999999997</v>
      </c>
      <c r="E63">
        <v>15.87</v>
      </c>
      <c r="F63">
        <v>94</v>
      </c>
      <c r="G63">
        <v>0.8</v>
      </c>
      <c r="H63">
        <v>0.8</v>
      </c>
      <c r="I63">
        <v>4.7</v>
      </c>
      <c r="J63" s="6">
        <f t="shared" si="0"/>
        <v>11.25</v>
      </c>
      <c r="K63" s="8">
        <f t="shared" si="9"/>
        <v>0.32021044939715015</v>
      </c>
      <c r="L63">
        <f t="shared" si="7"/>
        <v>0.19052521739130435</v>
      </c>
      <c r="M63">
        <f t="shared" si="8"/>
        <v>-0.40447478260869563</v>
      </c>
      <c r="N63">
        <f t="shared" si="1"/>
        <v>0.87037037037037035</v>
      </c>
    </row>
    <row r="64" spans="2:24" x14ac:dyDescent="0.25">
      <c r="B64">
        <v>7</v>
      </c>
      <c r="C64" s="6">
        <v>12</v>
      </c>
      <c r="D64">
        <v>0.57799999999999996</v>
      </c>
      <c r="E64">
        <v>15.59</v>
      </c>
      <c r="F64">
        <v>90</v>
      </c>
      <c r="G64">
        <v>0.68</v>
      </c>
      <c r="H64">
        <v>0.68</v>
      </c>
      <c r="I64">
        <v>4.4000000000000004</v>
      </c>
      <c r="J64" s="6">
        <f t="shared" si="0"/>
        <v>11.5</v>
      </c>
      <c r="K64" s="8">
        <f t="shared" si="9"/>
        <v>0.31971114788626448</v>
      </c>
      <c r="L64">
        <f t="shared" si="7"/>
        <v>0.18479304347826087</v>
      </c>
      <c r="M64">
        <f t="shared" si="8"/>
        <v>-0.39320695652173909</v>
      </c>
      <c r="N64">
        <f t="shared" si="1"/>
        <v>0.88888888888888884</v>
      </c>
    </row>
    <row r="65" spans="2:14" x14ac:dyDescent="0.25">
      <c r="B65">
        <v>6</v>
      </c>
      <c r="C65" s="6">
        <v>12.25</v>
      </c>
      <c r="D65">
        <v>0.56000000000000005</v>
      </c>
      <c r="E65">
        <v>15.31</v>
      </c>
      <c r="F65">
        <v>86</v>
      </c>
      <c r="G65">
        <v>0.55000000000000004</v>
      </c>
      <c r="H65">
        <v>0.55000000000000004</v>
      </c>
      <c r="I65">
        <v>4.0999999999999996</v>
      </c>
      <c r="J65" s="6">
        <f t="shared" si="0"/>
        <v>11.75</v>
      </c>
      <c r="K65" s="8">
        <f t="shared" si="9"/>
        <v>0.31975155279503104</v>
      </c>
      <c r="L65">
        <f t="shared" si="7"/>
        <v>0.17906086956521738</v>
      </c>
      <c r="M65">
        <f t="shared" si="8"/>
        <v>-0.38093913043478267</v>
      </c>
      <c r="N65">
        <f t="shared" si="1"/>
        <v>0.90740740740740744</v>
      </c>
    </row>
    <row r="66" spans="2:14" x14ac:dyDescent="0.25">
      <c r="B66">
        <v>5</v>
      </c>
      <c r="C66" s="6">
        <v>12.5</v>
      </c>
      <c r="D66">
        <v>0.54200000000000004</v>
      </c>
      <c r="E66">
        <v>15.04</v>
      </c>
      <c r="F66">
        <v>81</v>
      </c>
      <c r="G66">
        <v>0.43</v>
      </c>
      <c r="H66">
        <v>0.43</v>
      </c>
      <c r="I66">
        <v>3.8</v>
      </c>
      <c r="J66" s="6">
        <f t="shared" si="0"/>
        <v>12</v>
      </c>
      <c r="K66" s="8">
        <f t="shared" si="9"/>
        <v>0.31979464142467506</v>
      </c>
      <c r="L66">
        <f t="shared" si="7"/>
        <v>0.1733286956521739</v>
      </c>
      <c r="M66">
        <f t="shared" si="8"/>
        <v>-0.36867130434782613</v>
      </c>
      <c r="N66">
        <f t="shared" si="1"/>
        <v>0.92592592592592593</v>
      </c>
    </row>
    <row r="67" spans="2:14" x14ac:dyDescent="0.25">
      <c r="B67">
        <v>4</v>
      </c>
      <c r="C67" s="6">
        <v>12.75</v>
      </c>
      <c r="D67">
        <v>0.52400000000000002</v>
      </c>
      <c r="E67">
        <v>14.77</v>
      </c>
      <c r="F67">
        <v>77</v>
      </c>
      <c r="G67">
        <v>0.32</v>
      </c>
      <c r="H67">
        <v>0.32</v>
      </c>
      <c r="I67">
        <v>3.5</v>
      </c>
      <c r="J67" s="6">
        <f t="shared" si="0"/>
        <v>12.25</v>
      </c>
      <c r="K67" s="8">
        <f t="shared" si="9"/>
        <v>0.31984069034185192</v>
      </c>
      <c r="L67">
        <f t="shared" si="7"/>
        <v>0.16759652173913042</v>
      </c>
      <c r="M67">
        <f t="shared" si="8"/>
        <v>-0.3564034782608696</v>
      </c>
      <c r="N67">
        <f t="shared" si="1"/>
        <v>0.94444444444444442</v>
      </c>
    </row>
    <row r="68" spans="2:14" x14ac:dyDescent="0.25">
      <c r="B68">
        <v>3</v>
      </c>
      <c r="C68" s="6">
        <v>13</v>
      </c>
      <c r="D68">
        <v>0.50600000000000001</v>
      </c>
      <c r="E68">
        <v>14.51</v>
      </c>
      <c r="F68">
        <v>73</v>
      </c>
      <c r="G68">
        <v>0.21</v>
      </c>
      <c r="H68">
        <v>0.21</v>
      </c>
      <c r="I68">
        <v>3.3</v>
      </c>
      <c r="J68" s="6">
        <f t="shared" si="0"/>
        <v>12.5</v>
      </c>
      <c r="K68" s="8">
        <f t="shared" si="9"/>
        <v>0.31989001546657497</v>
      </c>
      <c r="L68">
        <f t="shared" si="7"/>
        <v>0.16186434782608694</v>
      </c>
      <c r="M68">
        <f t="shared" si="8"/>
        <v>-0.34413565217391306</v>
      </c>
      <c r="N68">
        <f t="shared" si="1"/>
        <v>0.96296296296296291</v>
      </c>
    </row>
    <row r="69" spans="2:14" x14ac:dyDescent="0.25">
      <c r="B69">
        <v>2</v>
      </c>
      <c r="C69" s="6">
        <v>13.25</v>
      </c>
      <c r="D69">
        <v>0.48799999999999999</v>
      </c>
      <c r="E69">
        <v>14.25</v>
      </c>
      <c r="F69">
        <v>70</v>
      </c>
      <c r="G69">
        <v>0.1</v>
      </c>
      <c r="H69">
        <v>0.1</v>
      </c>
      <c r="I69">
        <v>3.1</v>
      </c>
      <c r="J69" s="6">
        <f t="shared" si="0"/>
        <v>12.75</v>
      </c>
      <c r="K69" s="8">
        <f t="shared" si="9"/>
        <v>0.31994297933000709</v>
      </c>
      <c r="L69">
        <f t="shared" si="7"/>
        <v>0.15613217391304346</v>
      </c>
      <c r="M69">
        <f t="shared" si="8"/>
        <v>-0.33186782608695653</v>
      </c>
      <c r="N69">
        <f t="shared" si="1"/>
        <v>0.98148148148148151</v>
      </c>
    </row>
    <row r="70" spans="2:14" x14ac:dyDescent="0.25">
      <c r="B70" s="9">
        <v>1</v>
      </c>
      <c r="C70" s="10">
        <v>13.5</v>
      </c>
      <c r="D70" s="9">
        <v>0.47</v>
      </c>
      <c r="E70" s="9">
        <v>14</v>
      </c>
      <c r="F70" s="9">
        <v>66</v>
      </c>
      <c r="G70" s="9">
        <v>0</v>
      </c>
      <c r="H70" s="9">
        <v>0</v>
      </c>
      <c r="I70" s="9">
        <v>2.8</v>
      </c>
      <c r="J70" s="10">
        <f t="shared" si="0"/>
        <v>13</v>
      </c>
      <c r="K70" s="11">
        <v>0.32</v>
      </c>
      <c r="L70" s="9">
        <f>K70*D70</f>
        <v>0.15040000000000001</v>
      </c>
      <c r="M70">
        <f t="shared" si="8"/>
        <v>-0.3196</v>
      </c>
      <c r="N70">
        <f t="shared" si="1"/>
        <v>1</v>
      </c>
    </row>
    <row r="73" spans="2:14" x14ac:dyDescent="0.25">
      <c r="B73" s="14"/>
    </row>
    <row r="79" spans="2:14" x14ac:dyDescent="0.25">
      <c r="G79" s="4"/>
      <c r="J79" s="4"/>
      <c r="K79" s="13"/>
    </row>
    <row r="80" spans="2:14" x14ac:dyDescent="0.25">
      <c r="G80" s="4"/>
      <c r="J80" s="4"/>
      <c r="K80" s="13"/>
    </row>
    <row r="81" spans="7:11" x14ac:dyDescent="0.25">
      <c r="G81" s="4"/>
      <c r="J81" s="4"/>
      <c r="K81" s="13"/>
    </row>
    <row r="82" spans="7:11" x14ac:dyDescent="0.25">
      <c r="G82" s="4"/>
      <c r="J82" s="4"/>
      <c r="K82" s="13"/>
    </row>
    <row r="83" spans="7:11" x14ac:dyDescent="0.25">
      <c r="G83" s="4"/>
      <c r="J83" s="4"/>
      <c r="K83" s="13"/>
    </row>
    <row r="84" spans="7:11" x14ac:dyDescent="0.25">
      <c r="G84" s="4"/>
      <c r="J84" s="4"/>
      <c r="K84" s="13"/>
    </row>
    <row r="87" spans="7:11" x14ac:dyDescent="0.25">
      <c r="G87" s="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Geometry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2014-05-29T23:07:59Z</dcterms:modified>
</cp:coreProperties>
</file>