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86.xml" ContentType="application/vnd.openxmlformats-officedocument.spreadsheetml.revisionLog+xml"/>
  <Override PartName="/xl/revisions/revisionLog844.xml" ContentType="application/vnd.openxmlformats-officedocument.spreadsheetml.revisionLog+xml"/>
  <Override PartName="/xl/revisions/revisionLog865.xml" ContentType="application/vnd.openxmlformats-officedocument.spreadsheetml.revisionLog+xml"/>
  <Override PartName="/xl/revisions/revisionLog849.xml" ContentType="application/vnd.openxmlformats-officedocument.spreadsheetml.revisionLog+xml"/>
  <Override PartName="/xl/revisions/revisionLog881.xml" ContentType="application/vnd.openxmlformats-officedocument.spreadsheetml.revisionLog+xml"/>
  <Override PartName="/xl/revisions/revisionLog860.xml" ContentType="application/vnd.openxmlformats-officedocument.spreadsheetml.revisionLog+xml"/>
  <Override PartName="/xl/revisions/revisionLog894.xml" ContentType="application/vnd.openxmlformats-officedocument.spreadsheetml.revisionLog+xml"/>
  <Override PartName="/xl/revisions/revisionLog873.xml" ContentType="application/vnd.openxmlformats-officedocument.spreadsheetml.revisionLog+xml"/>
  <Override PartName="/xl/revisions/revisionLog839.xml" ContentType="application/vnd.openxmlformats-officedocument.spreadsheetml.revisionLog+xml"/>
  <Override PartName="/xl/revisions/revisionLog834.xml" ContentType="application/vnd.openxmlformats-officedocument.spreadsheetml.revisionLog+xml"/>
  <Override PartName="/xl/revisions/revisionLog855.xml" ContentType="application/vnd.openxmlformats-officedocument.spreadsheetml.revisionLog+xml"/>
  <Override PartName="/xl/revisions/revisionLog876.xml" ContentType="application/vnd.openxmlformats-officedocument.spreadsheetml.revisionLog+xml"/>
  <Override PartName="/xl/revisions/revisionLog868.xml" ContentType="application/vnd.openxmlformats-officedocument.spreadsheetml.revisionLog+xml"/>
  <Override PartName="/xl/revisions/revisionLog847.xml" ContentType="application/vnd.openxmlformats-officedocument.spreadsheetml.revisionLog+xml"/>
  <Override PartName="/xl/revisions/revisionLog889.xml" ContentType="application/vnd.openxmlformats-officedocument.spreadsheetml.revisionLog+xml"/>
  <Override PartName="/xl/revisions/revisionLog842.xml" ContentType="application/vnd.openxmlformats-officedocument.spreadsheetml.revisionLog+xml"/>
  <Override PartName="/xl/revisions/revisionLog897.xml" ContentType="application/vnd.openxmlformats-officedocument.spreadsheetml.revisionLog+xml"/>
  <Override PartName="/xl/revisions/revisionLog892.xml" ContentType="application/vnd.openxmlformats-officedocument.spreadsheetml.revisionLog+xml"/>
  <Override PartName="/xl/revisions/revisionLog871.xml" ContentType="application/vnd.openxmlformats-officedocument.spreadsheetml.revisionLog+xml"/>
  <Override PartName="/xl/revisions/revisionLog850.xml" ContentType="application/vnd.openxmlformats-officedocument.spreadsheetml.revisionLog+xml"/>
  <Override PartName="/xl/revisions/revisionLog863.xml" ContentType="application/vnd.openxmlformats-officedocument.spreadsheetml.revisionLog+xml"/>
  <Override PartName="/xl/revisions/revisionLog884.xml" ContentType="application/vnd.openxmlformats-officedocument.spreadsheetml.revisionLog+xml"/>
  <Override PartName="/xl/revisions/revisionLog837.xml" ContentType="application/vnd.openxmlformats-officedocument.spreadsheetml.revisionLog+xml"/>
  <Override PartName="/xl/revisions/revisionLog845.xml" ContentType="application/vnd.openxmlformats-officedocument.spreadsheetml.revisionLog+xml"/>
  <Override PartName="/xl/revisions/revisionLog879.xml" ContentType="application/vnd.openxmlformats-officedocument.spreadsheetml.revisionLog+xml"/>
  <Override PartName="/xl/revisions/revisionLog858.xml" ContentType="application/vnd.openxmlformats-officedocument.spreadsheetml.revisionLog+xml"/>
  <Override PartName="/xl/revisions/revisionLog832.xml" ContentType="application/vnd.openxmlformats-officedocument.spreadsheetml.revisionLog+xml"/>
  <Override PartName="/xl/revisions/revisionLog887.xml" ContentType="application/vnd.openxmlformats-officedocument.spreadsheetml.revisionLog+xml"/>
  <Override PartName="/xl/revisions/revisionLog866.xml" ContentType="application/vnd.openxmlformats-officedocument.spreadsheetml.revisionLog+xml"/>
  <Override PartName="/xl/revisions/revisionLog882.xml" ContentType="application/vnd.openxmlformats-officedocument.spreadsheetml.revisionLog+xml"/>
  <Override PartName="/xl/revisions/revisionLog840.xml" ContentType="application/vnd.openxmlformats-officedocument.spreadsheetml.revisionLog+xml"/>
  <Override PartName="/xl/revisions/revisionLog861.xml" ContentType="application/vnd.openxmlformats-officedocument.spreadsheetml.revisionLog+xml"/>
  <Override PartName="/xl/revisions/revisionLog853.xml" ContentType="application/vnd.openxmlformats-officedocument.spreadsheetml.revisionLog+xml"/>
  <Override PartName="/xl/revisions/revisionLog874.xml" ContentType="application/vnd.openxmlformats-officedocument.spreadsheetml.revisionLog+xml"/>
  <Override PartName="/xl/revisions/revisionLog895.xml" ContentType="application/vnd.openxmlformats-officedocument.spreadsheetml.revisionLog+xml"/>
  <Override PartName="/xl/revisions/revisionLog890.xml" ContentType="application/vnd.openxmlformats-officedocument.spreadsheetml.revisionLog+xml"/>
  <Override PartName="/xl/revisions/revisionLog848.xml" ContentType="application/vnd.openxmlformats-officedocument.spreadsheetml.revisionLog+xml"/>
  <Override PartName="/xl/revisions/revisionLog835.xml" ContentType="application/vnd.openxmlformats-officedocument.spreadsheetml.revisionLog+xml"/>
  <Override PartName="/xl/revisions/revisionLog869.xml" ContentType="application/vnd.openxmlformats-officedocument.spreadsheetml.revisionLog+xml"/>
  <Override PartName="/xl/revisions/revisionLog877.xml" ContentType="application/vnd.openxmlformats-officedocument.spreadsheetml.revisionLog+xml"/>
  <Override PartName="/xl/revisions/revisionLog856.xml" ContentType="application/vnd.openxmlformats-officedocument.spreadsheetml.revisionLog+xml"/>
  <Override PartName="/xl/revisions/revisionLog851.xml" ContentType="application/vnd.openxmlformats-officedocument.spreadsheetml.revisionLog+xml"/>
  <Override PartName="/xl/revisions/revisionLog893.xml" ContentType="application/vnd.openxmlformats-officedocument.spreadsheetml.revisionLog+xml"/>
  <Override PartName="/xl/revisions/revisionLog872.xml" ContentType="application/vnd.openxmlformats-officedocument.spreadsheetml.revisionLog+xml"/>
  <Override PartName="/xl/revisions/revisionLog864.xml" ContentType="application/vnd.openxmlformats-officedocument.spreadsheetml.revisionLog+xml"/>
  <Override PartName="/xl/revisions/revisionLog885.xml" ContentType="application/vnd.openxmlformats-officedocument.spreadsheetml.revisionLog+xml"/>
  <Override PartName="/xl/revisions/revisionLog843.xml" ContentType="application/vnd.openxmlformats-officedocument.spreadsheetml.revisionLog+xml"/>
  <Override PartName="/xl/revisions/revisionLog880.xml" ContentType="application/vnd.openxmlformats-officedocument.spreadsheetml.revisionLog+xml"/>
  <Override PartName="/xl/revisions/revisionLog838.xml" ContentType="application/vnd.openxmlformats-officedocument.spreadsheetml.revisionLog+xml"/>
  <Override PartName="/xl/revisions/revisionLog846.xml" ContentType="application/vnd.openxmlformats-officedocument.spreadsheetml.revisionLog+xml"/>
  <Override PartName="/xl/revisions/revisionLog888.xml" ContentType="application/vnd.openxmlformats-officedocument.spreadsheetml.revisionLog+xml"/>
  <Override PartName="/xl/revisions/revisionLog867.xml" ContentType="application/vnd.openxmlformats-officedocument.spreadsheetml.revisionLog+xml"/>
  <Override PartName="/xl/revisions/revisionLog841.xml" ContentType="application/vnd.openxmlformats-officedocument.spreadsheetml.revisionLog+xml"/>
  <Override PartName="/xl/revisions/revisionLog862.xml" ContentType="application/vnd.openxmlformats-officedocument.spreadsheetml.revisionLog+xml"/>
  <Override PartName="/xl/revisions/revisionLog833.xml" ContentType="application/vnd.openxmlformats-officedocument.spreadsheetml.revisionLog+xml"/>
  <Override PartName="/xl/revisions/revisionLog859.xml" ContentType="application/vnd.openxmlformats-officedocument.spreadsheetml.revisionLog+xml"/>
  <Override PartName="/xl/revisions/revisionLog896.xml" ContentType="application/vnd.openxmlformats-officedocument.spreadsheetml.revisionLog+xml"/>
  <Override PartName="/xl/revisions/revisionLog875.xml" ContentType="application/vnd.openxmlformats-officedocument.spreadsheetml.revisionLog+xml"/>
  <Override PartName="/xl/revisions/revisionLog854.xml" ContentType="application/vnd.openxmlformats-officedocument.spreadsheetml.revisionLog+xml"/>
  <Override PartName="/xl/revisions/revisionLog883.xml" ContentType="application/vnd.openxmlformats-officedocument.spreadsheetml.revisionLog+xml"/>
  <Override PartName="/xl/revisions/revisionLog870.xml" ContentType="application/vnd.openxmlformats-officedocument.spreadsheetml.revisionLog+xml"/>
  <Override PartName="/xl/revisions/revisionLog891.xml" ContentType="application/vnd.openxmlformats-officedocument.spreadsheetml.revisionLog+xml"/>
  <Override PartName="/xl/revisions/revisionLog857.xml" ContentType="application/vnd.openxmlformats-officedocument.spreadsheetml.revisionLog+xml"/>
  <Override PartName="/xl/revisions/revisionLog852.xml" ContentType="application/vnd.openxmlformats-officedocument.spreadsheetml.revisionLog+xml"/>
  <Override PartName="/xl/revisions/revisionLog831.xml" ContentType="application/vnd.openxmlformats-officedocument.spreadsheetml.revisionLog+xml"/>
  <Override PartName="/xl/revisions/revisionLog878.xml" ContentType="application/vnd.openxmlformats-officedocument.spreadsheetml.revisionLog+xml"/>
  <Override PartName="/xl/revisions/revisionLog836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onne\Jahresabschlüsse\2024\"/>
    </mc:Choice>
  </mc:AlternateContent>
  <xr:revisionPtr revIDLastSave="0" documentId="13_ncr:81_{0E0EFF50-B57C-4950-804D-70BEC7036A8B}" xr6:coauthVersionLast="47" xr6:coauthVersionMax="47" xr10:uidLastSave="{00000000-0000-0000-0000-000000000000}"/>
  <bookViews>
    <workbookView xWindow="-120" yWindow="-120" windowWidth="38640" windowHeight="21120" firstSheet="4" activeTab="10" xr2:uid="{00000000-000D-0000-FFFF-FFFF00000000}"/>
  </bookViews>
  <sheets>
    <sheet name="01_24" sheetId="1" r:id="rId1"/>
    <sheet name="02_24" sheetId="2" r:id="rId2"/>
    <sheet name="03_24" sheetId="3" r:id="rId3"/>
    <sheet name="04_24" sheetId="4" r:id="rId4"/>
    <sheet name="05_24" sheetId="5" r:id="rId5"/>
    <sheet name="06_24" sheetId="6" r:id="rId6"/>
    <sheet name="07_24" sheetId="7" r:id="rId7"/>
    <sheet name="08_24" sheetId="8" r:id="rId8"/>
    <sheet name="09_24" sheetId="9" r:id="rId9"/>
    <sheet name="10_24" sheetId="10" r:id="rId10"/>
    <sheet name="11_24" sheetId="11" r:id="rId11"/>
    <sheet name="12_24" sheetId="12" r:id="rId12"/>
    <sheet name="Jahresumsatz Monat 2024" sheetId="13" r:id="rId13"/>
    <sheet name="Jahresvergleich" sheetId="14" r:id="rId14"/>
    <sheet name="Monatsentwicklung" sheetId="15" r:id="rId15"/>
  </sheets>
  <externalReferences>
    <externalReference r:id="rId16"/>
  </externalReferences>
  <definedNames>
    <definedName name="_xlnm.Print_Area" localSheetId="0">'01_24'!$A$1:$X$44</definedName>
    <definedName name="_xlnm.Print_Area" localSheetId="1">'02_24'!$A$1:$V$42</definedName>
    <definedName name="_xlnm.Print_Area" localSheetId="2">'03_24'!$A$1:$Z$44</definedName>
    <definedName name="_xlnm.Print_Area" localSheetId="3">'04_24'!$A$1:$Z$43</definedName>
    <definedName name="_xlnm.Print_Area" localSheetId="4">'05_24'!$A$1:$Z$44</definedName>
    <definedName name="_xlnm.Print_Area" localSheetId="5">'06_24'!$A$1:$Z$43</definedName>
    <definedName name="_xlnm.Print_Area" localSheetId="6">'07_24'!$A$1:$Z$44</definedName>
    <definedName name="_xlnm.Print_Area" localSheetId="7">'08_24'!$A$1:$Z$44</definedName>
    <definedName name="_xlnm.Print_Area" localSheetId="8">'09_24'!$A$1:$Z$44</definedName>
    <definedName name="_xlnm.Print_Area" localSheetId="9">'10_24'!$A$1:$Z$44</definedName>
    <definedName name="_xlnm.Print_Area" localSheetId="10">'11_24'!$A$1:$Z$43</definedName>
    <definedName name="_xlnm.Print_Area" localSheetId="11">'12_24'!$A$1:$Z$45</definedName>
    <definedName name="Z_0F0D661E_8DC0_4BC1_B0F5_35B924BDE445_.wvu.PrintArea" localSheetId="0" hidden="1">'01_24'!$A$1:$X$44</definedName>
    <definedName name="Z_0F0D661E_8DC0_4BC1_B0F5_35B924BDE445_.wvu.PrintArea" localSheetId="1" hidden="1">'02_24'!$A$1:$V$42</definedName>
    <definedName name="Z_0F0D661E_8DC0_4BC1_B0F5_35B924BDE445_.wvu.PrintArea" localSheetId="2" hidden="1">'03_24'!$A$1:$Z$44</definedName>
    <definedName name="Z_0F0D661E_8DC0_4BC1_B0F5_35B924BDE445_.wvu.PrintArea" localSheetId="3" hidden="1">'04_24'!$A$1:$Z$43</definedName>
    <definedName name="Z_0F0D661E_8DC0_4BC1_B0F5_35B924BDE445_.wvu.PrintArea" localSheetId="5" hidden="1">'06_24'!$A$1:$Z$43</definedName>
    <definedName name="Z_0F0D661E_8DC0_4BC1_B0F5_35B924BDE445_.wvu.PrintArea" localSheetId="6" hidden="1">'07_24'!$A$1:$Z$44</definedName>
    <definedName name="Z_0F0D661E_8DC0_4BC1_B0F5_35B924BDE445_.wvu.PrintArea" localSheetId="7" hidden="1">'08_24'!$A$1:$Z$44</definedName>
    <definedName name="Z_0F0D661E_8DC0_4BC1_B0F5_35B924BDE445_.wvu.PrintArea" localSheetId="8" hidden="1">'09_24'!$A$1:$Z$44</definedName>
    <definedName name="Z_0F0D661E_8DC0_4BC1_B0F5_35B924BDE445_.wvu.PrintArea" localSheetId="9" hidden="1">'10_24'!$A$1:$Z$44</definedName>
    <definedName name="Z_0F0D661E_8DC0_4BC1_B0F5_35B924BDE445_.wvu.PrintArea" localSheetId="10" hidden="1">'11_24'!$A$1:$Z$43</definedName>
    <definedName name="Z_0F0D661E_8DC0_4BC1_B0F5_35B924BDE445_.wvu.PrintArea" localSheetId="11" hidden="1">'12_24'!$A$1:$Z$45</definedName>
    <definedName name="Z_1D92780C_BC14_4527_AE91_16BD276CDE93_.wvu.PrintArea" localSheetId="0" hidden="1">'01_24'!$A$1:$X$44</definedName>
    <definedName name="Z_1D92780C_BC14_4527_AE91_16BD276CDE93_.wvu.PrintArea" localSheetId="1" hidden="1">'02_24'!$A$1:$V$42</definedName>
    <definedName name="Z_1D92780C_BC14_4527_AE91_16BD276CDE93_.wvu.PrintArea" localSheetId="2" hidden="1">'03_24'!$A$1:$Z$44</definedName>
    <definedName name="Z_1D92780C_BC14_4527_AE91_16BD276CDE93_.wvu.PrintArea" localSheetId="3" hidden="1">'04_24'!$A$1:$Z$43</definedName>
    <definedName name="Z_1D92780C_BC14_4527_AE91_16BD276CDE93_.wvu.PrintArea" localSheetId="4" hidden="1">'05_24'!$A$1:$Z$44</definedName>
    <definedName name="Z_1D92780C_BC14_4527_AE91_16BD276CDE93_.wvu.PrintArea" localSheetId="5" hidden="1">'06_24'!$A$1:$Z$43</definedName>
    <definedName name="Z_1D92780C_BC14_4527_AE91_16BD276CDE93_.wvu.PrintArea" localSheetId="6" hidden="1">'07_24'!$A$1:$Z$44</definedName>
    <definedName name="Z_1D92780C_BC14_4527_AE91_16BD276CDE93_.wvu.PrintArea" localSheetId="7" hidden="1">'08_24'!$A$1:$Z$44</definedName>
    <definedName name="Z_1D92780C_BC14_4527_AE91_16BD276CDE93_.wvu.PrintArea" localSheetId="8" hidden="1">'09_24'!$A$1:$Z$44</definedName>
    <definedName name="Z_1D92780C_BC14_4527_AE91_16BD276CDE93_.wvu.PrintArea" localSheetId="9" hidden="1">'10_24'!$A$1:$Z$44</definedName>
    <definedName name="Z_1D92780C_BC14_4527_AE91_16BD276CDE93_.wvu.PrintArea" localSheetId="10" hidden="1">'11_24'!$A$1:$Z$43</definedName>
    <definedName name="Z_1D92780C_BC14_4527_AE91_16BD276CDE93_.wvu.PrintArea" localSheetId="11" hidden="1">'12_24'!$A$1:$Z$45</definedName>
    <definedName name="Z_2F7A225A_03CC_4C3E_9ABA_50B66929A417_.wvu.PrintArea" localSheetId="0" hidden="1">'01_24'!$A$1:$X$44</definedName>
    <definedName name="Z_2F7A225A_03CC_4C3E_9ABA_50B66929A417_.wvu.PrintArea" localSheetId="1" hidden="1">'02_24'!$A$1:$V$42</definedName>
    <definedName name="Z_2F7A225A_03CC_4C3E_9ABA_50B66929A417_.wvu.PrintArea" localSheetId="2" hidden="1">'03_24'!$A$1:$Z$44</definedName>
    <definedName name="Z_2F7A225A_03CC_4C3E_9ABA_50B66929A417_.wvu.PrintArea" localSheetId="3" hidden="1">'04_24'!$A$1:$Z$43</definedName>
    <definedName name="Z_2F7A225A_03CC_4C3E_9ABA_50B66929A417_.wvu.PrintArea" localSheetId="4" hidden="1">'05_24'!$A$1:$Z$44</definedName>
    <definedName name="Z_2F7A225A_03CC_4C3E_9ABA_50B66929A417_.wvu.PrintArea" localSheetId="5" hidden="1">'06_24'!$A$1:$Z$43</definedName>
    <definedName name="Z_2F7A225A_03CC_4C3E_9ABA_50B66929A417_.wvu.PrintArea" localSheetId="6" hidden="1">'07_24'!$A$1:$Z$44</definedName>
    <definedName name="Z_2F7A225A_03CC_4C3E_9ABA_50B66929A417_.wvu.PrintArea" localSheetId="7" hidden="1">'08_24'!$A$1:$Z$44</definedName>
    <definedName name="Z_2F7A225A_03CC_4C3E_9ABA_50B66929A417_.wvu.PrintArea" localSheetId="8" hidden="1">'09_24'!$A$1:$Z$44</definedName>
    <definedName name="Z_2F7A225A_03CC_4C3E_9ABA_50B66929A417_.wvu.PrintArea" localSheetId="9" hidden="1">'10_24'!$A$1:$Z$44</definedName>
    <definedName name="Z_2F7A225A_03CC_4C3E_9ABA_50B66929A417_.wvu.PrintArea" localSheetId="10" hidden="1">'11_24'!$A$1:$Z$43</definedName>
    <definedName name="Z_2F7A225A_03CC_4C3E_9ABA_50B66929A417_.wvu.PrintArea" localSheetId="11" hidden="1">'12_24'!$A$1:$Z$45</definedName>
    <definedName name="Z_4D10A712_B9D6_4A8C_A7FA_2673BB9147BA_.wvu.PrintArea" localSheetId="0" hidden="1">'01_24'!$A$1:$X$44</definedName>
    <definedName name="Z_4D10A712_B9D6_4A8C_A7FA_2673BB9147BA_.wvu.PrintArea" localSheetId="1" hidden="1">'02_24'!$A$1:$V$42</definedName>
    <definedName name="Z_4D10A712_B9D6_4A8C_A7FA_2673BB9147BA_.wvu.PrintArea" localSheetId="2" hidden="1">'03_24'!$A$1:$Z$44</definedName>
    <definedName name="Z_4D10A712_B9D6_4A8C_A7FA_2673BB9147BA_.wvu.PrintArea" localSheetId="3" hidden="1">'04_24'!$A$1:$Z$43</definedName>
    <definedName name="Z_4D10A712_B9D6_4A8C_A7FA_2673BB9147BA_.wvu.PrintArea" localSheetId="4" hidden="1">'05_24'!$A$1:$Z$44</definedName>
    <definedName name="Z_4D10A712_B9D6_4A8C_A7FA_2673BB9147BA_.wvu.PrintArea" localSheetId="5" hidden="1">'06_24'!$A$1:$Z$43</definedName>
    <definedName name="Z_4D10A712_B9D6_4A8C_A7FA_2673BB9147BA_.wvu.PrintArea" localSheetId="6" hidden="1">'07_24'!$A$1:$Z$44</definedName>
    <definedName name="Z_4D10A712_B9D6_4A8C_A7FA_2673BB9147BA_.wvu.PrintArea" localSheetId="7" hidden="1">'08_24'!$A$1:$Z$44</definedName>
    <definedName name="Z_4D10A712_B9D6_4A8C_A7FA_2673BB9147BA_.wvu.PrintArea" localSheetId="8" hidden="1">'09_24'!$A$1:$Z$44</definedName>
    <definedName name="Z_4D10A712_B9D6_4A8C_A7FA_2673BB9147BA_.wvu.PrintArea" localSheetId="9" hidden="1">'10_24'!$A$1:$Z$44</definedName>
    <definedName name="Z_4D10A712_B9D6_4A8C_A7FA_2673BB9147BA_.wvu.PrintArea" localSheetId="10" hidden="1">'11_24'!$A$1:$Z$43</definedName>
    <definedName name="Z_4D10A712_B9D6_4A8C_A7FA_2673BB9147BA_.wvu.PrintArea" localSheetId="11" hidden="1">'12_24'!$A$1:$Z$45</definedName>
    <definedName name="Z_512075D7_6EE7_4EEF_842F_09AF15E6D8B5_.wvu.PrintArea" localSheetId="0" hidden="1">'01_24'!$A$1:$X$44</definedName>
    <definedName name="Z_512075D7_6EE7_4EEF_842F_09AF15E6D8B5_.wvu.PrintArea" localSheetId="1" hidden="1">'02_24'!$A$1:$V$42</definedName>
    <definedName name="Z_512075D7_6EE7_4EEF_842F_09AF15E6D8B5_.wvu.PrintArea" localSheetId="2" hidden="1">'03_24'!$A$1:$Z$44</definedName>
    <definedName name="Z_512075D7_6EE7_4EEF_842F_09AF15E6D8B5_.wvu.PrintArea" localSheetId="3" hidden="1">'04_24'!$A$1:$Z$43</definedName>
    <definedName name="Z_512075D7_6EE7_4EEF_842F_09AF15E6D8B5_.wvu.PrintArea" localSheetId="4" hidden="1">'05_24'!$A$1:$Z$44</definedName>
    <definedName name="Z_512075D7_6EE7_4EEF_842F_09AF15E6D8B5_.wvu.PrintArea" localSheetId="5" hidden="1">'06_24'!$A$1:$Z$43</definedName>
    <definedName name="Z_512075D7_6EE7_4EEF_842F_09AF15E6D8B5_.wvu.PrintArea" localSheetId="6" hidden="1">'07_24'!$A$1:$Z$44</definedName>
    <definedName name="Z_512075D7_6EE7_4EEF_842F_09AF15E6D8B5_.wvu.PrintArea" localSheetId="7" hidden="1">'08_24'!$A$1:$Z$44</definedName>
    <definedName name="Z_512075D7_6EE7_4EEF_842F_09AF15E6D8B5_.wvu.PrintArea" localSheetId="8" hidden="1">'09_24'!$A$1:$Z$44</definedName>
    <definedName name="Z_512075D7_6EE7_4EEF_842F_09AF15E6D8B5_.wvu.PrintArea" localSheetId="9" hidden="1">'10_24'!$A$1:$Z$44</definedName>
    <definedName name="Z_512075D7_6EE7_4EEF_842F_09AF15E6D8B5_.wvu.PrintArea" localSheetId="10" hidden="1">'11_24'!$A$1:$Z$43</definedName>
    <definedName name="Z_512075D7_6EE7_4EEF_842F_09AF15E6D8B5_.wvu.PrintArea" localSheetId="11" hidden="1">'12_24'!$A$1:$Z$45</definedName>
    <definedName name="Z_5607C902_81C8_4B35_908D_6779B5E3E736_.wvu.PrintArea" localSheetId="0" hidden="1">'01_24'!$A$1:$X$44</definedName>
    <definedName name="Z_5607C902_81C8_4B35_908D_6779B5E3E736_.wvu.PrintArea" localSheetId="1" hidden="1">'02_24'!$A$1:$V$42</definedName>
    <definedName name="Z_5607C902_81C8_4B35_908D_6779B5E3E736_.wvu.PrintArea" localSheetId="2" hidden="1">'03_24'!$A$1:$Z$44</definedName>
    <definedName name="Z_5607C902_81C8_4B35_908D_6779B5E3E736_.wvu.PrintArea" localSheetId="3" hidden="1">'04_24'!$A$1:$Z$43</definedName>
    <definedName name="Z_5607C902_81C8_4B35_908D_6779B5E3E736_.wvu.PrintArea" localSheetId="4" hidden="1">'05_24'!$A$1:$Z$44</definedName>
    <definedName name="Z_5607C902_81C8_4B35_908D_6779B5E3E736_.wvu.PrintArea" localSheetId="5" hidden="1">'06_24'!$A$1:$Z$43</definedName>
    <definedName name="Z_5607C902_81C8_4B35_908D_6779B5E3E736_.wvu.PrintArea" localSheetId="6" hidden="1">'07_24'!$A$1:$Z$44</definedName>
    <definedName name="Z_5607C902_81C8_4B35_908D_6779B5E3E736_.wvu.PrintArea" localSheetId="7" hidden="1">'08_24'!$A$1:$Z$44</definedName>
    <definedName name="Z_5607C902_81C8_4B35_908D_6779B5E3E736_.wvu.PrintArea" localSheetId="8" hidden="1">'09_24'!$A$1:$Z$44</definedName>
    <definedName name="Z_5607C902_81C8_4B35_908D_6779B5E3E736_.wvu.PrintArea" localSheetId="9" hidden="1">'10_24'!$A$1:$Z$44</definedName>
    <definedName name="Z_5607C902_81C8_4B35_908D_6779B5E3E736_.wvu.PrintArea" localSheetId="10" hidden="1">'11_24'!$A$1:$Z$43</definedName>
    <definedName name="Z_5607C902_81C8_4B35_908D_6779B5E3E736_.wvu.PrintArea" localSheetId="11" hidden="1">'12_24'!$A$1:$Z$45</definedName>
    <definedName name="Z_5D25D17F_B06A_43C0_9441_C66A30641AF9_.wvu.PrintArea" localSheetId="0" hidden="1">'01_24'!$A$1:$X$44</definedName>
    <definedName name="Z_5D25D17F_B06A_43C0_9441_C66A30641AF9_.wvu.PrintArea" localSheetId="1" hidden="1">'02_24'!$A$1:$V$42</definedName>
    <definedName name="Z_5D25D17F_B06A_43C0_9441_C66A30641AF9_.wvu.PrintArea" localSheetId="2" hidden="1">'03_24'!$A$1:$Z$44</definedName>
    <definedName name="Z_5D25D17F_B06A_43C0_9441_C66A30641AF9_.wvu.PrintArea" localSheetId="3" hidden="1">'04_24'!$A$1:$Z$43</definedName>
    <definedName name="Z_5D25D17F_B06A_43C0_9441_C66A30641AF9_.wvu.PrintArea" localSheetId="4" hidden="1">'05_24'!$A$1:$Z$44</definedName>
    <definedName name="Z_5D25D17F_B06A_43C0_9441_C66A30641AF9_.wvu.PrintArea" localSheetId="5" hidden="1">'06_24'!$A$1:$Z$43</definedName>
    <definedName name="Z_5D25D17F_B06A_43C0_9441_C66A30641AF9_.wvu.PrintArea" localSheetId="6" hidden="1">'07_24'!$A$1:$Z$44</definedName>
    <definedName name="Z_5D25D17F_B06A_43C0_9441_C66A30641AF9_.wvu.PrintArea" localSheetId="7" hidden="1">'08_24'!$A$1:$Z$44</definedName>
    <definedName name="Z_5D25D17F_B06A_43C0_9441_C66A30641AF9_.wvu.PrintArea" localSheetId="8" hidden="1">'09_24'!$A$1:$Z$44</definedName>
    <definedName name="Z_5D25D17F_B06A_43C0_9441_C66A30641AF9_.wvu.PrintArea" localSheetId="9" hidden="1">'10_24'!$A$1:$Z$44</definedName>
    <definedName name="Z_5D25D17F_B06A_43C0_9441_C66A30641AF9_.wvu.PrintArea" localSheetId="10" hidden="1">'11_24'!$A$1:$Z$43</definedName>
    <definedName name="Z_5D25D17F_B06A_43C0_9441_C66A30641AF9_.wvu.PrintArea" localSheetId="11" hidden="1">'12_24'!$A$1:$Z$45</definedName>
    <definedName name="Z_7839E6FF_B113_433B_B093_0FC09532A527_.wvu.PrintArea" localSheetId="0" hidden="1">'01_24'!$A$1:$X$44</definedName>
    <definedName name="Z_7839E6FF_B113_433B_B093_0FC09532A527_.wvu.PrintArea" localSheetId="1" hidden="1">'02_24'!$A$1:$V$42</definedName>
    <definedName name="Z_7839E6FF_B113_433B_B093_0FC09532A527_.wvu.PrintArea" localSheetId="2" hidden="1">'03_24'!$A$1:$Z$44</definedName>
    <definedName name="Z_7839E6FF_B113_433B_B093_0FC09532A527_.wvu.PrintArea" localSheetId="3" hidden="1">'04_24'!$A$1:$Z$43</definedName>
    <definedName name="Z_7839E6FF_B113_433B_B093_0FC09532A527_.wvu.PrintArea" localSheetId="4" hidden="1">'05_24'!$A$1:$Z$44</definedName>
    <definedName name="Z_7839E6FF_B113_433B_B093_0FC09532A527_.wvu.PrintArea" localSheetId="5" hidden="1">'06_24'!$A$1:$Z$43</definedName>
    <definedName name="Z_7839E6FF_B113_433B_B093_0FC09532A527_.wvu.PrintArea" localSheetId="6" hidden="1">'07_24'!$A$1:$Z$44</definedName>
    <definedName name="Z_7839E6FF_B113_433B_B093_0FC09532A527_.wvu.PrintArea" localSheetId="7" hidden="1">'08_24'!$A$1:$Z$44</definedName>
    <definedName name="Z_7839E6FF_B113_433B_B093_0FC09532A527_.wvu.PrintArea" localSheetId="8" hidden="1">'09_24'!$A$1:$Z$44</definedName>
    <definedName name="Z_7839E6FF_B113_433B_B093_0FC09532A527_.wvu.PrintArea" localSheetId="9" hidden="1">'10_24'!$A$1:$Z$44</definedName>
    <definedName name="Z_7839E6FF_B113_433B_B093_0FC09532A527_.wvu.PrintArea" localSheetId="10" hidden="1">'11_24'!$A$1:$Z$43</definedName>
    <definedName name="Z_7839E6FF_B113_433B_B093_0FC09532A527_.wvu.PrintArea" localSheetId="11" hidden="1">'12_24'!$A$1:$Z$45</definedName>
    <definedName name="Z_83BC6C31_9342_4247_AC5B_B17385A7BF60_.wvu.PrintArea" localSheetId="0" hidden="1">'01_24'!$A$1:$X$44</definedName>
    <definedName name="Z_83BC6C31_9342_4247_AC5B_B17385A7BF60_.wvu.PrintArea" localSheetId="1" hidden="1">'02_24'!$A$1:$V$42</definedName>
    <definedName name="Z_83BC6C31_9342_4247_AC5B_B17385A7BF60_.wvu.PrintArea" localSheetId="2" hidden="1">'03_24'!$A$1:$Z$44</definedName>
    <definedName name="Z_83BC6C31_9342_4247_AC5B_B17385A7BF60_.wvu.PrintArea" localSheetId="3" hidden="1">'04_24'!$A$1:$Z$43</definedName>
    <definedName name="Z_83BC6C31_9342_4247_AC5B_B17385A7BF60_.wvu.PrintArea" localSheetId="4" hidden="1">'05_24'!$A$1:$Z$44</definedName>
    <definedName name="Z_83BC6C31_9342_4247_AC5B_B17385A7BF60_.wvu.PrintArea" localSheetId="5" hidden="1">'06_24'!$A$1:$Z$43</definedName>
    <definedName name="Z_83BC6C31_9342_4247_AC5B_B17385A7BF60_.wvu.PrintArea" localSheetId="6" hidden="1">'07_24'!$A$1:$Z$44</definedName>
    <definedName name="Z_83BC6C31_9342_4247_AC5B_B17385A7BF60_.wvu.PrintArea" localSheetId="7" hidden="1">'08_24'!$A$1:$Z$44</definedName>
    <definedName name="Z_83BC6C31_9342_4247_AC5B_B17385A7BF60_.wvu.PrintArea" localSheetId="8" hidden="1">'09_24'!$A$1:$Z$44</definedName>
    <definedName name="Z_83BC6C31_9342_4247_AC5B_B17385A7BF60_.wvu.PrintArea" localSheetId="9" hidden="1">'10_24'!$A$1:$Z$44</definedName>
    <definedName name="Z_83BC6C31_9342_4247_AC5B_B17385A7BF60_.wvu.PrintArea" localSheetId="10" hidden="1">'11_24'!$A$1:$Z$43</definedName>
    <definedName name="Z_83BC6C31_9342_4247_AC5B_B17385A7BF60_.wvu.PrintArea" localSheetId="11" hidden="1">'12_24'!$A$1:$Z$45</definedName>
    <definedName name="Z_A787F5B4_E187_4523_8646_D052EDD0D541_.wvu.PrintArea" localSheetId="0" hidden="1">'01_24'!$A$1:$X$44</definedName>
    <definedName name="Z_A787F5B4_E187_4523_8646_D052EDD0D541_.wvu.PrintArea" localSheetId="1" hidden="1">'02_24'!$A$1:$V$42</definedName>
    <definedName name="Z_A787F5B4_E187_4523_8646_D052EDD0D541_.wvu.PrintArea" localSheetId="2" hidden="1">'03_24'!$A$1:$Z$44</definedName>
    <definedName name="Z_A787F5B4_E187_4523_8646_D052EDD0D541_.wvu.PrintArea" localSheetId="3" hidden="1">'04_24'!$A$1:$Z$43</definedName>
    <definedName name="Z_A787F5B4_E187_4523_8646_D052EDD0D541_.wvu.PrintArea" localSheetId="4" hidden="1">'05_24'!$A$1:$Z$44</definedName>
    <definedName name="Z_A787F5B4_E187_4523_8646_D052EDD0D541_.wvu.PrintArea" localSheetId="5" hidden="1">'06_24'!$A$1:$Z$43</definedName>
    <definedName name="Z_A787F5B4_E187_4523_8646_D052EDD0D541_.wvu.PrintArea" localSheetId="6" hidden="1">'07_24'!$A$1:$Z$44</definedName>
    <definedName name="Z_A787F5B4_E187_4523_8646_D052EDD0D541_.wvu.PrintArea" localSheetId="7" hidden="1">'08_24'!$A$1:$Z$44</definedName>
    <definedName name="Z_A787F5B4_E187_4523_8646_D052EDD0D541_.wvu.PrintArea" localSheetId="8" hidden="1">'09_24'!$A$1:$Z$44</definedName>
    <definedName name="Z_A787F5B4_E187_4523_8646_D052EDD0D541_.wvu.PrintArea" localSheetId="9" hidden="1">'10_24'!$A$1:$Z$44</definedName>
    <definedName name="Z_A787F5B4_E187_4523_8646_D052EDD0D541_.wvu.PrintArea" localSheetId="10" hidden="1">'11_24'!$A$1:$Z$43</definedName>
    <definedName name="Z_A787F5B4_E187_4523_8646_D052EDD0D541_.wvu.PrintArea" localSheetId="11" hidden="1">'12_24'!$A$1:$Z$45</definedName>
    <definedName name="Z_D93DCAB6_BAC1_4891_99B7_09940B6A5EB9_.wvu.PrintArea" localSheetId="0" hidden="1">'01_24'!$A$1:$X$44</definedName>
    <definedName name="Z_D93DCAB6_BAC1_4891_99B7_09940B6A5EB9_.wvu.PrintArea" localSheetId="1" hidden="1">'02_24'!$A$1:$V$42</definedName>
    <definedName name="Z_D93DCAB6_BAC1_4891_99B7_09940B6A5EB9_.wvu.PrintArea" localSheetId="2" hidden="1">'03_24'!$A$1:$Z$44</definedName>
    <definedName name="Z_D93DCAB6_BAC1_4891_99B7_09940B6A5EB9_.wvu.PrintArea" localSheetId="3" hidden="1">'04_24'!$A$1:$Z$43</definedName>
    <definedName name="Z_D93DCAB6_BAC1_4891_99B7_09940B6A5EB9_.wvu.PrintArea" localSheetId="4" hidden="1">'05_24'!$A$1:$Z$44</definedName>
    <definedName name="Z_D93DCAB6_BAC1_4891_99B7_09940B6A5EB9_.wvu.PrintArea" localSheetId="5" hidden="1">'06_24'!$A$1:$Z$43</definedName>
    <definedName name="Z_D93DCAB6_BAC1_4891_99B7_09940B6A5EB9_.wvu.PrintArea" localSheetId="6" hidden="1">'07_24'!$A$1:$Z$44</definedName>
    <definedName name="Z_D93DCAB6_BAC1_4891_99B7_09940B6A5EB9_.wvu.PrintArea" localSheetId="7" hidden="1">'08_24'!$A$1:$Z$44</definedName>
    <definedName name="Z_D93DCAB6_BAC1_4891_99B7_09940B6A5EB9_.wvu.PrintArea" localSheetId="8" hidden="1">'09_24'!$A$1:$Z$44</definedName>
    <definedName name="Z_D93DCAB6_BAC1_4891_99B7_09940B6A5EB9_.wvu.PrintArea" localSheetId="9" hidden="1">'10_24'!$A$1:$Z$44</definedName>
    <definedName name="Z_D93DCAB6_BAC1_4891_99B7_09940B6A5EB9_.wvu.PrintArea" localSheetId="10" hidden="1">'11_24'!$A$1:$Z$43</definedName>
    <definedName name="Z_D93DCAB6_BAC1_4891_99B7_09940B6A5EB9_.wvu.PrintArea" localSheetId="11" hidden="1">'12_24'!$A$1:$Z$45</definedName>
  </definedNames>
  <calcPr calcId="191029"/>
  <customWorkbookViews>
    <customWorkbookView name="Balance Familie Felix Suhner - Persönliche Ansicht" guid="{512075D7-6EE7-4EEF-842F-09AF15E6D8B5}" mergeInterval="0" personalView="1" maximized="1" xWindow="-8" yWindow="-8" windowWidth="2576" windowHeight="1408" activeSheetId="11"/>
    <customWorkbookView name="Sonne Seehotel Stefan Fuchs - Persönliche Ansicht" guid="{2F7A225A-03CC-4C3E-9ABA-50B66929A417}" mergeInterval="0" personalView="1" maximized="1" xWindow="-8" yWindow="-8" windowWidth="1936" windowHeight="1056" activeSheetId="14"/>
    <customWorkbookView name="Sonne Seehotel Nicole Koch - Persönliche Ansicht" guid="{1D92780C-BC14-4527-AE91-16BD276CDE93}" mergeInterval="0" personalView="1" maximized="1" xWindow="-8" yWindow="-8" windowWidth="1936" windowHeight="1056" activeSheetId="12"/>
    <customWorkbookView name="Sonne Seehotel Reception - Persönliche Ansicht" guid="{7839E6FF-B113-433B-B093-0FC09532A527}" mergeInterval="0" personalView="1" maximized="1" xWindow="-8" yWindow="-8" windowWidth="1936" windowHeight="1056" tabRatio="598" activeSheetId="12"/>
    <customWorkbookView name="Sonne Seehotel Anlassorganisation - Persönliche Ansicht" guid="{A787F5B4-E187-4523-8646-D052EDD0D541}" mergeInterval="0" personalView="1" maximized="1" xWindow="-8" yWindow="-8" windowWidth="1936" windowHeight="1056" activeSheetId="12"/>
    <customWorkbookView name="Sonne Seehotel Jennifer Stieger - Persönliche Ansicht" guid="{D93DCAB6-BAC1-4891-99B7-09940B6A5EB9}" mergeInterval="0" personalView="1" maximized="1" xWindow="-8" yWindow="-8" windowWidth="1936" windowHeight="1056" activeSheetId="12"/>
    <customWorkbookView name="Sonne Seehotel Robine Widmer - Persönliche Ansicht" guid="{5D25D17F-B06A-43C0-9441-C66A30641AF9}" mergeInterval="0" personalView="1" maximized="1" xWindow="-8" yWindow="-8" windowWidth="1936" windowHeight="1056" activeSheetId="1"/>
    <customWorkbookView name="Sonne Seehotel Marina Lang - Persönliche Ansicht" guid="{5607C902-81C8-4B35-908D-6779B5E3E736}" mergeInterval="0" personalView="1" maximized="1" xWindow="-8" yWindow="-8" windowWidth="1936" windowHeight="1056" activeSheetId="3"/>
    <customWorkbookView name="Sonne Seehotel Stoina Nikolova - Persönliche Ansicht" guid="{0F0D661E-8DC0-4BC1-B0F5-35B924BDE445}" mergeInterval="0" personalView="1" maximized="1" xWindow="1912" yWindow="-8" windowWidth="1936" windowHeight="1056" activeSheetId="3"/>
    <customWorkbookView name="Sonne Seehotel Erica Fuchs - Persönliche Ansicht" guid="{83BC6C31-9342-4247-AC5B-B17385A7BF60}" mergeInterval="0" personalView="1" maximized="1" xWindow="-8" yWindow="-8" windowWidth="1936" windowHeight="1176" activeSheetId="8"/>
    <customWorkbookView name="Marc Muff - Persönliche Ansicht" guid="{4D10A712-B9D6-4A8C-A7FA-2673BB9147BA}" mergeInterval="0" personalView="1" maximized="1" xWindow="1912" yWindow="-8" windowWidth="1936" windowHeight="1056" activeSheetId="1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1" l="1"/>
  <c r="O24" i="11"/>
  <c r="O16" i="11"/>
  <c r="P16" i="11"/>
  <c r="P32" i="11"/>
  <c r="O32" i="11"/>
  <c r="O39" i="11"/>
  <c r="P39" i="11"/>
  <c r="AF39" i="12" l="1"/>
  <c r="AF40" i="12"/>
  <c r="AF37" i="11" l="1"/>
  <c r="AF36" i="11" l="1"/>
  <c r="K40" i="10" l="1"/>
  <c r="AF38" i="10" l="1"/>
  <c r="AF37" i="10"/>
  <c r="AF5" i="10"/>
  <c r="U6" i="10" l="1"/>
  <c r="U5" i="10"/>
  <c r="A7" i="10" l="1"/>
  <c r="S22" i="9" l="1"/>
  <c r="AF39" i="9"/>
  <c r="AF37" i="9"/>
  <c r="AF38" i="8" l="1"/>
  <c r="AF18" i="8"/>
  <c r="AF37" i="8" l="1"/>
  <c r="AF16" i="8" l="1"/>
  <c r="O40" i="7" l="1"/>
  <c r="D40" i="8" l="1"/>
  <c r="Q11" i="6" l="1"/>
  <c r="K26" i="5" l="1"/>
  <c r="Q30" i="4" l="1"/>
  <c r="AB12" i="4" l="1"/>
  <c r="C12" i="4" l="1"/>
  <c r="P90" i="15" l="1"/>
  <c r="P89" i="15"/>
  <c r="Q89" i="15" s="1"/>
  <c r="P88" i="15"/>
  <c r="P87" i="15"/>
  <c r="P86" i="15"/>
  <c r="P85" i="15"/>
  <c r="Q85" i="15" s="1"/>
  <c r="P84" i="15"/>
  <c r="Q84" i="15" s="1"/>
  <c r="P83" i="15"/>
  <c r="Q83" i="15" s="1"/>
  <c r="P82" i="15"/>
  <c r="Q82" i="15" s="1"/>
  <c r="P81" i="15"/>
  <c r="Q81" i="15" s="1"/>
  <c r="P80" i="15"/>
  <c r="P79" i="15"/>
  <c r="P75" i="15"/>
  <c r="P74" i="15"/>
  <c r="P73" i="15"/>
  <c r="P72" i="15"/>
  <c r="P71" i="15"/>
  <c r="P70" i="15"/>
  <c r="P69" i="15"/>
  <c r="P68" i="15"/>
  <c r="P67" i="15"/>
  <c r="P66" i="15"/>
  <c r="P65" i="15"/>
  <c r="P64" i="15"/>
  <c r="P60" i="15"/>
  <c r="Q60" i="15" s="1"/>
  <c r="P59" i="15"/>
  <c r="P58" i="15"/>
  <c r="Q58" i="15" s="1"/>
  <c r="P57" i="15"/>
  <c r="P56" i="15"/>
  <c r="P55" i="15"/>
  <c r="Q55" i="15" s="1"/>
  <c r="P54" i="15"/>
  <c r="Q54" i="15" s="1"/>
  <c r="P53" i="15"/>
  <c r="Q53" i="15" s="1"/>
  <c r="P52" i="15"/>
  <c r="Q52" i="15" s="1"/>
  <c r="P51" i="15"/>
  <c r="Q51" i="15" s="1"/>
  <c r="P50" i="15"/>
  <c r="P49" i="15"/>
  <c r="Q49" i="15" s="1"/>
  <c r="O60" i="15"/>
  <c r="O59" i="15"/>
  <c r="O58" i="15"/>
  <c r="O57" i="15"/>
  <c r="O56" i="15"/>
  <c r="O55" i="15"/>
  <c r="O54" i="15"/>
  <c r="O53" i="15"/>
  <c r="O52" i="15"/>
  <c r="O51" i="15"/>
  <c r="O50" i="15"/>
  <c r="O49" i="15"/>
  <c r="P45" i="15"/>
  <c r="P44" i="15"/>
  <c r="P43" i="15"/>
  <c r="P42" i="15"/>
  <c r="P41" i="15"/>
  <c r="P40" i="15"/>
  <c r="P39" i="15"/>
  <c r="P38" i="15"/>
  <c r="P37" i="15"/>
  <c r="P36" i="15"/>
  <c r="P35" i="15"/>
  <c r="P34" i="15"/>
  <c r="P16" i="15"/>
  <c r="Q16" i="15" s="1"/>
  <c r="Q4" i="15"/>
  <c r="Q59" i="15" l="1"/>
  <c r="Q56" i="15"/>
  <c r="Q50" i="15"/>
  <c r="Q57" i="15"/>
  <c r="P61" i="15"/>
  <c r="Q90" i="15"/>
  <c r="Q64" i="15"/>
  <c r="Q79" i="15"/>
  <c r="Q87" i="15"/>
  <c r="P46" i="15"/>
  <c r="Q80" i="15"/>
  <c r="Q88" i="15"/>
  <c r="Q86" i="15"/>
  <c r="Q46" i="15" l="1"/>
  <c r="J39" i="11"/>
  <c r="F39" i="11"/>
  <c r="N39" i="11"/>
  <c r="K39" i="11"/>
  <c r="L39" i="11"/>
  <c r="V8" i="12"/>
  <c r="X41" i="12"/>
  <c r="W41" i="12"/>
  <c r="W42" i="12" s="1"/>
  <c r="T41" i="12"/>
  <c r="S41" i="12"/>
  <c r="R41" i="12"/>
  <c r="P41" i="12"/>
  <c r="O41" i="12"/>
  <c r="N41" i="12"/>
  <c r="L41" i="12"/>
  <c r="K41" i="12"/>
  <c r="J41" i="12"/>
  <c r="I41" i="12"/>
  <c r="H41" i="12"/>
  <c r="G41" i="12"/>
  <c r="F41" i="12"/>
  <c r="E41" i="12"/>
  <c r="D41" i="12"/>
  <c r="C41" i="12"/>
  <c r="M40" i="12"/>
  <c r="M39" i="12"/>
  <c r="M41" i="12" s="1"/>
  <c r="Q40" i="12"/>
  <c r="U40" i="12" s="1"/>
  <c r="Y40" i="12" s="1"/>
  <c r="Q39" i="12"/>
  <c r="V40" i="12"/>
  <c r="Z40" i="12" s="1"/>
  <c r="V39" i="12"/>
  <c r="Z39" i="12" s="1"/>
  <c r="V31" i="12"/>
  <c r="V35" i="12"/>
  <c r="Z35" i="12" s="1"/>
  <c r="V36" i="10"/>
  <c r="V39" i="9"/>
  <c r="Z39" i="9" s="1"/>
  <c r="Z40" i="9" s="1"/>
  <c r="V32" i="9"/>
  <c r="L40" i="9"/>
  <c r="M39" i="9"/>
  <c r="M37" i="9"/>
  <c r="Q39" i="9"/>
  <c r="V36" i="6"/>
  <c r="Z36" i="6" s="1"/>
  <c r="V37" i="6"/>
  <c r="Z37" i="6" s="1"/>
  <c r="V37" i="7"/>
  <c r="V38" i="7"/>
  <c r="V37" i="8"/>
  <c r="Z37" i="8" s="1"/>
  <c r="V38" i="8"/>
  <c r="Z38" i="8" s="1"/>
  <c r="V37" i="9"/>
  <c r="Z37" i="9" s="1"/>
  <c r="V37" i="10"/>
  <c r="V38" i="10"/>
  <c r="Z38" i="10" s="1"/>
  <c r="Z37" i="10"/>
  <c r="V36" i="11"/>
  <c r="Z36" i="11" s="1"/>
  <c r="V37" i="11"/>
  <c r="Z37" i="11" s="1"/>
  <c r="L38" i="12"/>
  <c r="L30" i="12"/>
  <c r="L22" i="12"/>
  <c r="L14" i="12"/>
  <c r="L6" i="12"/>
  <c r="L42" i="12" s="1"/>
  <c r="M37" i="12"/>
  <c r="M36" i="12"/>
  <c r="M35" i="12"/>
  <c r="M34" i="12"/>
  <c r="M33" i="12"/>
  <c r="M32" i="12"/>
  <c r="M31" i="12"/>
  <c r="M38" i="12" s="1"/>
  <c r="M29" i="12"/>
  <c r="M28" i="12"/>
  <c r="M27" i="12"/>
  <c r="M26" i="12"/>
  <c r="M25" i="12"/>
  <c r="M24" i="12"/>
  <c r="M23" i="12"/>
  <c r="M30" i="12" s="1"/>
  <c r="M21" i="12"/>
  <c r="M20" i="12"/>
  <c r="M19" i="12"/>
  <c r="M18" i="12"/>
  <c r="M17" i="12"/>
  <c r="M16" i="12"/>
  <c r="M15" i="12"/>
  <c r="M13" i="12"/>
  <c r="M12" i="12"/>
  <c r="M11" i="12"/>
  <c r="M10" i="12"/>
  <c r="M9" i="12"/>
  <c r="M8" i="12"/>
  <c r="M7" i="12"/>
  <c r="M14" i="12" s="1"/>
  <c r="M5" i="12"/>
  <c r="C39" i="11"/>
  <c r="Q36" i="11"/>
  <c r="Q37" i="11"/>
  <c r="M36" i="11"/>
  <c r="M37" i="11"/>
  <c r="L32" i="11"/>
  <c r="L24" i="11"/>
  <c r="L16" i="11"/>
  <c r="L8" i="11"/>
  <c r="L40" i="11" s="1"/>
  <c r="L41" i="11" s="1"/>
  <c r="M38" i="11"/>
  <c r="M35" i="11"/>
  <c r="M34" i="11"/>
  <c r="M33" i="11"/>
  <c r="M31" i="11"/>
  <c r="M30" i="11"/>
  <c r="M29" i="11"/>
  <c r="M28" i="11"/>
  <c r="M27" i="11"/>
  <c r="M26" i="11"/>
  <c r="M25" i="11"/>
  <c r="M23" i="11"/>
  <c r="M22" i="11"/>
  <c r="M21" i="11"/>
  <c r="M20" i="11"/>
  <c r="M19" i="11"/>
  <c r="M18" i="11"/>
  <c r="M17" i="11"/>
  <c r="M24" i="11" s="1"/>
  <c r="M15" i="11"/>
  <c r="M14" i="11"/>
  <c r="M13" i="11"/>
  <c r="M12" i="11"/>
  <c r="M11" i="11"/>
  <c r="M10" i="11"/>
  <c r="M9" i="11"/>
  <c r="M16" i="11" s="1"/>
  <c r="M7" i="11"/>
  <c r="M6" i="11"/>
  <c r="M5" i="11"/>
  <c r="L27" i="10"/>
  <c r="L35" i="10"/>
  <c r="L19" i="10"/>
  <c r="L11" i="10"/>
  <c r="M39" i="10"/>
  <c r="M38" i="10"/>
  <c r="M37" i="10"/>
  <c r="M36" i="10"/>
  <c r="M40" i="10" s="1"/>
  <c r="M34" i="10"/>
  <c r="M33" i="10"/>
  <c r="M32" i="10"/>
  <c r="M31" i="10"/>
  <c r="M30" i="10"/>
  <c r="M29" i="10"/>
  <c r="M28" i="10"/>
  <c r="M26" i="10"/>
  <c r="M25" i="10"/>
  <c r="M24" i="10"/>
  <c r="M23" i="10"/>
  <c r="M22" i="10"/>
  <c r="M21" i="10"/>
  <c r="M20" i="10"/>
  <c r="M18" i="10"/>
  <c r="M17" i="10"/>
  <c r="M16" i="10"/>
  <c r="M15" i="10"/>
  <c r="M14" i="10"/>
  <c r="M13" i="10"/>
  <c r="M12" i="10"/>
  <c r="M10" i="10"/>
  <c r="M9" i="10"/>
  <c r="M8" i="10"/>
  <c r="M7" i="10"/>
  <c r="M6" i="10"/>
  <c r="M5" i="10"/>
  <c r="Q37" i="10"/>
  <c r="Q38" i="10"/>
  <c r="C40" i="10"/>
  <c r="B11" i="10"/>
  <c r="L33" i="8"/>
  <c r="L25" i="8"/>
  <c r="L17" i="8"/>
  <c r="L9" i="8"/>
  <c r="M39" i="8"/>
  <c r="M38" i="8"/>
  <c r="M37" i="8"/>
  <c r="M36" i="8"/>
  <c r="M35" i="8"/>
  <c r="M34" i="8"/>
  <c r="M32" i="8"/>
  <c r="M31" i="8"/>
  <c r="M30" i="8"/>
  <c r="M29" i="8"/>
  <c r="M28" i="8"/>
  <c r="M27" i="8"/>
  <c r="M26" i="8"/>
  <c r="M24" i="8"/>
  <c r="M23" i="8"/>
  <c r="M22" i="8"/>
  <c r="M21" i="8"/>
  <c r="M20" i="8"/>
  <c r="M19" i="8"/>
  <c r="M18" i="8"/>
  <c r="M16" i="8"/>
  <c r="M15" i="8"/>
  <c r="M14" i="8"/>
  <c r="M13" i="8"/>
  <c r="M12" i="8"/>
  <c r="M11" i="8"/>
  <c r="M10" i="8"/>
  <c r="M8" i="8"/>
  <c r="M7" i="8"/>
  <c r="M6" i="8"/>
  <c r="M5" i="8"/>
  <c r="L38" i="9"/>
  <c r="L30" i="9"/>
  <c r="L22" i="9"/>
  <c r="L14" i="9"/>
  <c r="M36" i="9"/>
  <c r="M35" i="9"/>
  <c r="M34" i="9"/>
  <c r="M33" i="9"/>
  <c r="M32" i="9"/>
  <c r="M31" i="9"/>
  <c r="M29" i="9"/>
  <c r="M28" i="9"/>
  <c r="M27" i="9"/>
  <c r="M26" i="9"/>
  <c r="M25" i="9"/>
  <c r="M24" i="9"/>
  <c r="M23" i="9"/>
  <c r="M21" i="9"/>
  <c r="M20" i="9"/>
  <c r="M19" i="9"/>
  <c r="M18" i="9"/>
  <c r="M17" i="9"/>
  <c r="M16" i="9"/>
  <c r="M15" i="9"/>
  <c r="M13" i="9"/>
  <c r="M12" i="9"/>
  <c r="M11" i="9"/>
  <c r="M10" i="9"/>
  <c r="M9" i="9"/>
  <c r="M8" i="9"/>
  <c r="M7" i="9"/>
  <c r="M5" i="9"/>
  <c r="L6" i="9"/>
  <c r="X40" i="9"/>
  <c r="W40" i="9"/>
  <c r="T40" i="9"/>
  <c r="S40" i="9"/>
  <c r="R40" i="9"/>
  <c r="Q40" i="9"/>
  <c r="P40" i="9"/>
  <c r="O40" i="9"/>
  <c r="N40" i="9"/>
  <c r="K40" i="9"/>
  <c r="J40" i="9"/>
  <c r="I40" i="9"/>
  <c r="H40" i="9"/>
  <c r="G40" i="9"/>
  <c r="F40" i="9"/>
  <c r="E40" i="9"/>
  <c r="D40" i="9"/>
  <c r="C40" i="9"/>
  <c r="C38" i="9"/>
  <c r="S38" i="9"/>
  <c r="X38" i="9"/>
  <c r="W38" i="9"/>
  <c r="T38" i="9"/>
  <c r="R38" i="9"/>
  <c r="P38" i="9"/>
  <c r="O38" i="9"/>
  <c r="N38" i="9"/>
  <c r="K38" i="9"/>
  <c r="J38" i="9"/>
  <c r="I38" i="9"/>
  <c r="H38" i="9"/>
  <c r="G38" i="9"/>
  <c r="F38" i="9"/>
  <c r="E38" i="9"/>
  <c r="D38" i="9"/>
  <c r="B40" i="9"/>
  <c r="Q37" i="9"/>
  <c r="U37" i="9" s="1"/>
  <c r="Y37" i="9" s="1"/>
  <c r="B9" i="8"/>
  <c r="B12" i="7"/>
  <c r="M40" i="8"/>
  <c r="L40" i="8"/>
  <c r="Q37" i="8"/>
  <c r="U37" i="8" s="1"/>
  <c r="Y37" i="8" s="1"/>
  <c r="Q38" i="8"/>
  <c r="T40" i="7"/>
  <c r="J20" i="14"/>
  <c r="L41" i="9" l="1"/>
  <c r="L42" i="9" s="1"/>
  <c r="U38" i="8"/>
  <c r="Y38" i="8" s="1"/>
  <c r="L41" i="8"/>
  <c r="Q41" i="12"/>
  <c r="U39" i="12"/>
  <c r="M22" i="12"/>
  <c r="M6" i="12"/>
  <c r="M42" i="12" s="1"/>
  <c r="U37" i="11"/>
  <c r="Y37" i="11" s="1"/>
  <c r="U36" i="11"/>
  <c r="Y36" i="11" s="1"/>
  <c r="M39" i="11"/>
  <c r="M32" i="11"/>
  <c r="M8" i="11"/>
  <c r="M40" i="11" s="1"/>
  <c r="U38" i="10"/>
  <c r="Y38" i="10" s="1"/>
  <c r="U37" i="10"/>
  <c r="Y37" i="10" s="1"/>
  <c r="M35" i="10"/>
  <c r="L40" i="10"/>
  <c r="L41" i="10" s="1"/>
  <c r="L42" i="10" s="1"/>
  <c r="M27" i="10"/>
  <c r="V41" i="12"/>
  <c r="Z41" i="12"/>
  <c r="M19" i="10"/>
  <c r="M11" i="10"/>
  <c r="M41" i="10" s="1"/>
  <c r="U39" i="9"/>
  <c r="Y39" i="9" s="1"/>
  <c r="Y40" i="9" s="1"/>
  <c r="M40" i="9"/>
  <c r="M38" i="9"/>
  <c r="M30" i="9"/>
  <c r="M22" i="9"/>
  <c r="M14" i="9"/>
  <c r="M6" i="9"/>
  <c r="V40" i="9"/>
  <c r="M33" i="8"/>
  <c r="M25" i="8"/>
  <c r="M17" i="8"/>
  <c r="M9" i="8"/>
  <c r="M41" i="8" s="1"/>
  <c r="R56" i="15" s="1"/>
  <c r="S56" i="15" s="1"/>
  <c r="L43" i="12"/>
  <c r="K20" i="14"/>
  <c r="Y39" i="12" l="1"/>
  <c r="Y41" i="12" s="1"/>
  <c r="U41" i="12"/>
  <c r="R59" i="15"/>
  <c r="S59" i="15" s="1"/>
  <c r="R58" i="15"/>
  <c r="S58" i="15" s="1"/>
  <c r="M42" i="10"/>
  <c r="U40" i="9"/>
  <c r="M41" i="9"/>
  <c r="M42" i="9" s="1"/>
  <c r="V37" i="5"/>
  <c r="Z37" i="5" s="1"/>
  <c r="O40" i="5"/>
  <c r="K40" i="5"/>
  <c r="O39" i="6"/>
  <c r="K39" i="6"/>
  <c r="C39" i="6"/>
  <c r="Z37" i="7"/>
  <c r="Z38" i="7"/>
  <c r="N40" i="7"/>
  <c r="L40" i="7"/>
  <c r="K40" i="7"/>
  <c r="J40" i="7"/>
  <c r="I40" i="7"/>
  <c r="H40" i="7"/>
  <c r="G40" i="7"/>
  <c r="F40" i="7"/>
  <c r="E40" i="7"/>
  <c r="D40" i="7"/>
  <c r="C40" i="7"/>
  <c r="P40" i="7"/>
  <c r="R40" i="7"/>
  <c r="X40" i="7"/>
  <c r="W40" i="7"/>
  <c r="S40" i="7"/>
  <c r="Q37" i="7"/>
  <c r="U37" i="7" s="1"/>
  <c r="Q38" i="7"/>
  <c r="U38" i="7" s="1"/>
  <c r="Y38" i="7" s="1"/>
  <c r="L36" i="7"/>
  <c r="L28" i="7"/>
  <c r="L20" i="7"/>
  <c r="L12" i="7"/>
  <c r="L41" i="7" s="1"/>
  <c r="M39" i="7"/>
  <c r="M38" i="7"/>
  <c r="M37" i="7"/>
  <c r="M35" i="7"/>
  <c r="M34" i="7"/>
  <c r="M33" i="7"/>
  <c r="M32" i="7"/>
  <c r="M31" i="7"/>
  <c r="M30" i="7"/>
  <c r="M29" i="7"/>
  <c r="M27" i="7"/>
  <c r="M26" i="7"/>
  <c r="M25" i="7"/>
  <c r="M24" i="7"/>
  <c r="M23" i="7"/>
  <c r="M22" i="7"/>
  <c r="M21" i="7"/>
  <c r="M19" i="7"/>
  <c r="M18" i="7"/>
  <c r="M17" i="7"/>
  <c r="M16" i="7"/>
  <c r="M15" i="7"/>
  <c r="M14" i="7"/>
  <c r="M13" i="7"/>
  <c r="M11" i="7"/>
  <c r="M10" i="7"/>
  <c r="M9" i="7"/>
  <c r="M8" i="7"/>
  <c r="M7" i="7"/>
  <c r="M6" i="7"/>
  <c r="M5" i="7"/>
  <c r="L39" i="6"/>
  <c r="M38" i="6"/>
  <c r="M37" i="6"/>
  <c r="M36" i="6"/>
  <c r="M35" i="6"/>
  <c r="M34" i="6"/>
  <c r="M33" i="6"/>
  <c r="M32" i="6"/>
  <c r="M30" i="6"/>
  <c r="M29" i="6"/>
  <c r="M28" i="6"/>
  <c r="M27" i="6"/>
  <c r="M26" i="6"/>
  <c r="M25" i="6"/>
  <c r="M24" i="6"/>
  <c r="M22" i="6"/>
  <c r="M21" i="6"/>
  <c r="M20" i="6"/>
  <c r="M19" i="6"/>
  <c r="M18" i="6"/>
  <c r="M17" i="6"/>
  <c r="M16" i="6"/>
  <c r="M14" i="6"/>
  <c r="M13" i="6"/>
  <c r="M12" i="6"/>
  <c r="M11" i="6"/>
  <c r="M10" i="6"/>
  <c r="M9" i="6"/>
  <c r="M8" i="6"/>
  <c r="M6" i="6"/>
  <c r="M5" i="6"/>
  <c r="L31" i="6"/>
  <c r="L23" i="6"/>
  <c r="L15" i="6"/>
  <c r="L7" i="6"/>
  <c r="M7" i="6"/>
  <c r="L40" i="6"/>
  <c r="L41" i="6" s="1"/>
  <c r="Q36" i="6"/>
  <c r="U36" i="6" s="1"/>
  <c r="Y36" i="6" s="1"/>
  <c r="Q37" i="6"/>
  <c r="U37" i="6" s="1"/>
  <c r="Y37" i="6" s="1"/>
  <c r="Q38" i="4"/>
  <c r="Q37" i="4"/>
  <c r="Q35" i="4"/>
  <c r="Q34" i="4"/>
  <c r="Q33" i="4"/>
  <c r="Q32" i="4"/>
  <c r="Q31" i="4"/>
  <c r="Q29" i="4"/>
  <c r="Q27" i="4"/>
  <c r="Q26" i="4"/>
  <c r="Q25" i="4"/>
  <c r="Q24" i="4"/>
  <c r="Q23" i="4"/>
  <c r="Q22" i="4"/>
  <c r="Q21" i="4"/>
  <c r="Q19" i="4"/>
  <c r="Q18" i="4"/>
  <c r="Q17" i="4"/>
  <c r="Q16" i="4"/>
  <c r="Q15" i="4"/>
  <c r="Q14" i="4"/>
  <c r="Q13" i="4"/>
  <c r="Q11" i="4"/>
  <c r="Q10" i="4"/>
  <c r="Q9" i="4"/>
  <c r="Q8" i="4"/>
  <c r="Q7" i="4"/>
  <c r="Q6" i="4"/>
  <c r="Q5" i="4"/>
  <c r="Q37" i="5"/>
  <c r="Q38" i="5"/>
  <c r="M37" i="5"/>
  <c r="U37" i="5" s="1"/>
  <c r="Y37" i="5" s="1"/>
  <c r="M38" i="5"/>
  <c r="U38" i="5" s="1"/>
  <c r="Y38" i="5" s="1"/>
  <c r="R60" i="15" l="1"/>
  <c r="S60" i="15" s="1"/>
  <c r="M43" i="12"/>
  <c r="M41" i="11"/>
  <c r="R57" i="15"/>
  <c r="S57" i="15" s="1"/>
  <c r="M40" i="7"/>
  <c r="Y37" i="7"/>
  <c r="M36" i="7"/>
  <c r="M28" i="7"/>
  <c r="M20" i="7"/>
  <c r="M12" i="7"/>
  <c r="M39" i="6"/>
  <c r="M31" i="6"/>
  <c r="M23" i="6"/>
  <c r="M15" i="6"/>
  <c r="M40" i="6" s="1"/>
  <c r="M41" i="7" l="1"/>
  <c r="R55" i="15" s="1"/>
  <c r="S55" i="15" s="1"/>
  <c r="R54" i="15"/>
  <c r="S54" i="15" s="1"/>
  <c r="M41" i="6"/>
  <c r="V38" i="6"/>
  <c r="V35" i="6"/>
  <c r="V34" i="6"/>
  <c r="V33" i="6"/>
  <c r="V32" i="6"/>
  <c r="L10" i="5"/>
  <c r="L18" i="5"/>
  <c r="L26" i="5"/>
  <c r="L40" i="5"/>
  <c r="L34" i="5"/>
  <c r="M39" i="5"/>
  <c r="M36" i="5"/>
  <c r="M35" i="5"/>
  <c r="M33" i="5"/>
  <c r="M32" i="5"/>
  <c r="M31" i="5"/>
  <c r="M30" i="5"/>
  <c r="M29" i="5"/>
  <c r="M28" i="5"/>
  <c r="M27" i="5"/>
  <c r="M25" i="5"/>
  <c r="M24" i="5"/>
  <c r="M23" i="5"/>
  <c r="M22" i="5"/>
  <c r="M21" i="5"/>
  <c r="M20" i="5"/>
  <c r="M19" i="5"/>
  <c r="M17" i="5"/>
  <c r="M16" i="5"/>
  <c r="M15" i="5"/>
  <c r="M14" i="5"/>
  <c r="M13" i="5"/>
  <c r="M12" i="5"/>
  <c r="M11" i="5"/>
  <c r="M9" i="5"/>
  <c r="M8" i="5"/>
  <c r="M7" i="5"/>
  <c r="M6" i="5"/>
  <c r="M5" i="5"/>
  <c r="Q5" i="5"/>
  <c r="Q6" i="5"/>
  <c r="Q7" i="5"/>
  <c r="Q8" i="5"/>
  <c r="Q9" i="5"/>
  <c r="U8" i="5" l="1"/>
  <c r="U9" i="5"/>
  <c r="M26" i="5"/>
  <c r="U7" i="5"/>
  <c r="M18" i="5"/>
  <c r="M34" i="5"/>
  <c r="M40" i="5"/>
  <c r="U6" i="5"/>
  <c r="U5" i="5"/>
  <c r="M10" i="5"/>
  <c r="L41" i="5"/>
  <c r="AF26" i="2"/>
  <c r="AF14" i="3"/>
  <c r="M41" i="5" l="1"/>
  <c r="R53" i="15" s="1"/>
  <c r="S53" i="15" s="1"/>
  <c r="AF6" i="3"/>
  <c r="AF7" i="3"/>
  <c r="AF9" i="3"/>
  <c r="AF10" i="3"/>
  <c r="AF11" i="3"/>
  <c r="AF12" i="3"/>
  <c r="AF13" i="3"/>
  <c r="AF15" i="3"/>
  <c r="AF17" i="3"/>
  <c r="AF18" i="3"/>
  <c r="AF19" i="3"/>
  <c r="AF20" i="3"/>
  <c r="AF21" i="3"/>
  <c r="AF22" i="3"/>
  <c r="AF23" i="3"/>
  <c r="AF25" i="3"/>
  <c r="AF26" i="3"/>
  <c r="AF27" i="3"/>
  <c r="AF28" i="3"/>
  <c r="AF29" i="3"/>
  <c r="AF30" i="3"/>
  <c r="AF31" i="3"/>
  <c r="AF33" i="3"/>
  <c r="AF34" i="3"/>
  <c r="AF35" i="3"/>
  <c r="AF36" i="3"/>
  <c r="AF37" i="3"/>
  <c r="AF38" i="3"/>
  <c r="AF39" i="3"/>
  <c r="AF5" i="3"/>
  <c r="AF40" i="3" s="1"/>
  <c r="AF5" i="2"/>
  <c r="N40" i="3" l="1"/>
  <c r="R8" i="3"/>
  <c r="X40" i="3"/>
  <c r="W40" i="3"/>
  <c r="T40" i="3"/>
  <c r="S40" i="3"/>
  <c r="R40" i="3"/>
  <c r="P40" i="3"/>
  <c r="O40" i="3"/>
  <c r="L40" i="3"/>
  <c r="K40" i="3"/>
  <c r="J40" i="3"/>
  <c r="I40" i="3"/>
  <c r="H40" i="3"/>
  <c r="G40" i="3"/>
  <c r="F40" i="3"/>
  <c r="E40" i="3"/>
  <c r="D8" i="3"/>
  <c r="C8" i="3"/>
  <c r="C40" i="3"/>
  <c r="D40" i="3"/>
  <c r="M38" i="3"/>
  <c r="Q38" i="3"/>
  <c r="U38" i="3" s="1"/>
  <c r="Y38" i="3" s="1"/>
  <c r="V38" i="3"/>
  <c r="Z38" i="3" s="1"/>
  <c r="M39" i="3"/>
  <c r="Q39" i="3"/>
  <c r="U39" i="3" s="1"/>
  <c r="Y39" i="3" s="1"/>
  <c r="V39" i="3"/>
  <c r="Z39" i="3" s="1"/>
  <c r="L39" i="4"/>
  <c r="K39" i="4"/>
  <c r="L36" i="4"/>
  <c r="L28" i="4"/>
  <c r="L20" i="4"/>
  <c r="M38" i="4"/>
  <c r="U38" i="4" s="1"/>
  <c r="M37" i="4"/>
  <c r="M35" i="4"/>
  <c r="U35" i="4" s="1"/>
  <c r="M34" i="4"/>
  <c r="U34" i="4" s="1"/>
  <c r="M33" i="4"/>
  <c r="U33" i="4" s="1"/>
  <c r="M32" i="4"/>
  <c r="U32" i="4" s="1"/>
  <c r="M31" i="4"/>
  <c r="U31" i="4" s="1"/>
  <c r="M30" i="4"/>
  <c r="U30" i="4" s="1"/>
  <c r="M29" i="4"/>
  <c r="U29" i="4" s="1"/>
  <c r="M27" i="4"/>
  <c r="U27" i="4" s="1"/>
  <c r="M26" i="4"/>
  <c r="U26" i="4" s="1"/>
  <c r="M25" i="4"/>
  <c r="U25" i="4" s="1"/>
  <c r="M24" i="4"/>
  <c r="U24" i="4" s="1"/>
  <c r="M23" i="4"/>
  <c r="U23" i="4" s="1"/>
  <c r="M22" i="4"/>
  <c r="U22" i="4" s="1"/>
  <c r="M21" i="4"/>
  <c r="U21" i="4" s="1"/>
  <c r="M19" i="4"/>
  <c r="U19" i="4" s="1"/>
  <c r="M18" i="4"/>
  <c r="U18" i="4" s="1"/>
  <c r="M17" i="4"/>
  <c r="U17" i="4" s="1"/>
  <c r="M16" i="4"/>
  <c r="U16" i="4" s="1"/>
  <c r="M15" i="4"/>
  <c r="U15" i="4" s="1"/>
  <c r="M14" i="4"/>
  <c r="U14" i="4" s="1"/>
  <c r="M13" i="4"/>
  <c r="U13" i="4" s="1"/>
  <c r="Y13" i="4" s="1"/>
  <c r="M11" i="4"/>
  <c r="U11" i="4" s="1"/>
  <c r="Y11" i="4" s="1"/>
  <c r="M10" i="4"/>
  <c r="U10" i="4" s="1"/>
  <c r="Y10" i="4" s="1"/>
  <c r="M9" i="4"/>
  <c r="U9" i="4" s="1"/>
  <c r="Y9" i="4" s="1"/>
  <c r="M8" i="4"/>
  <c r="U8" i="4" s="1"/>
  <c r="Y8" i="4" s="1"/>
  <c r="M7" i="4"/>
  <c r="U7" i="4" s="1"/>
  <c r="Y7" i="4" s="1"/>
  <c r="M6" i="4"/>
  <c r="U6" i="4" s="1"/>
  <c r="M5" i="4"/>
  <c r="U5" i="4" s="1"/>
  <c r="Y5" i="4" s="1"/>
  <c r="X12" i="4"/>
  <c r="W12" i="4"/>
  <c r="T12" i="4"/>
  <c r="S12" i="4"/>
  <c r="R12" i="4"/>
  <c r="Q12" i="4"/>
  <c r="P12" i="4"/>
  <c r="O12" i="4"/>
  <c r="N12" i="4"/>
  <c r="L12" i="4"/>
  <c r="K12" i="4"/>
  <c r="J12" i="4"/>
  <c r="I12" i="4"/>
  <c r="H12" i="4"/>
  <c r="G12" i="4"/>
  <c r="F12" i="4"/>
  <c r="E12" i="4"/>
  <c r="D12" i="4"/>
  <c r="V11" i="4"/>
  <c r="Z11" i="4" s="1"/>
  <c r="V10" i="4"/>
  <c r="Z10" i="4" s="1"/>
  <c r="V9" i="4"/>
  <c r="Z9" i="4" s="1"/>
  <c r="V8" i="4"/>
  <c r="Z8" i="4" s="1"/>
  <c r="V7" i="4"/>
  <c r="Z7" i="4" s="1"/>
  <c r="V6" i="4"/>
  <c r="Z6" i="4" s="1"/>
  <c r="Y6" i="4"/>
  <c r="V5" i="4"/>
  <c r="A5" i="4"/>
  <c r="A6" i="4" s="1"/>
  <c r="A7" i="4" s="1"/>
  <c r="A8" i="4" s="1"/>
  <c r="A9" i="4" s="1"/>
  <c r="A10" i="4" s="1"/>
  <c r="A11" i="4" s="1"/>
  <c r="A13" i="4" s="1"/>
  <c r="V13" i="4"/>
  <c r="Z13" i="4" s="1"/>
  <c r="U37" i="4" l="1"/>
  <c r="M39" i="4"/>
  <c r="U39" i="4"/>
  <c r="L40" i="4"/>
  <c r="L41" i="4" s="1"/>
  <c r="M36" i="4"/>
  <c r="M28" i="4"/>
  <c r="M20" i="4"/>
  <c r="M12" i="4"/>
  <c r="V12" i="4"/>
  <c r="Y12" i="4"/>
  <c r="U12" i="4"/>
  <c r="Z5" i="4"/>
  <c r="Z12" i="4" s="1"/>
  <c r="M40" i="4" l="1"/>
  <c r="R52" i="15" s="1"/>
  <c r="S52" i="15" s="1"/>
  <c r="M41" i="4" l="1"/>
  <c r="Q34" i="3"/>
  <c r="Q35" i="3"/>
  <c r="Q36" i="3"/>
  <c r="Q37" i="3"/>
  <c r="Q33" i="3"/>
  <c r="Q40" i="3" s="1"/>
  <c r="Q26" i="3"/>
  <c r="Q27" i="3"/>
  <c r="Q28" i="3"/>
  <c r="Q29" i="3"/>
  <c r="Q30" i="3"/>
  <c r="Q31" i="3"/>
  <c r="Q25" i="3"/>
  <c r="Q18" i="3"/>
  <c r="Q19" i="3"/>
  <c r="Q20" i="3"/>
  <c r="Q21" i="3"/>
  <c r="Q22" i="3"/>
  <c r="Q23" i="3"/>
  <c r="Q17" i="3"/>
  <c r="Q10" i="3"/>
  <c r="Q11" i="3"/>
  <c r="Q12" i="3"/>
  <c r="Q13" i="3"/>
  <c r="Q14" i="3"/>
  <c r="Q15" i="3"/>
  <c r="Q9" i="3"/>
  <c r="Q6" i="3"/>
  <c r="Q7" i="3"/>
  <c r="Q5" i="3"/>
  <c r="K38" i="2" l="1"/>
  <c r="V35" i="2" l="1"/>
  <c r="Z35" i="2" s="1"/>
  <c r="V36" i="2"/>
  <c r="Z36" i="2" s="1"/>
  <c r="Q37" i="2" l="1"/>
  <c r="Q35" i="2"/>
  <c r="Q36" i="2"/>
  <c r="Q34" i="2"/>
  <c r="Q32" i="2"/>
  <c r="Q27" i="2"/>
  <c r="Q28" i="2"/>
  <c r="Q29" i="2"/>
  <c r="Q30" i="2"/>
  <c r="Q31" i="2"/>
  <c r="Q26" i="2"/>
  <c r="Q19" i="2"/>
  <c r="Q20" i="2"/>
  <c r="Q21" i="2"/>
  <c r="Q22" i="2"/>
  <c r="Q23" i="2"/>
  <c r="Q24" i="2"/>
  <c r="Q18" i="2"/>
  <c r="Q16" i="2"/>
  <c r="Q11" i="2"/>
  <c r="Q12" i="2"/>
  <c r="Q13" i="2"/>
  <c r="Q14" i="2"/>
  <c r="Q15" i="2"/>
  <c r="Q10" i="2"/>
  <c r="Q6" i="2"/>
  <c r="Q7" i="2"/>
  <c r="Q8" i="2"/>
  <c r="Q5" i="2"/>
  <c r="S14" i="1"/>
  <c r="U6" i="2"/>
  <c r="AF6" i="2" l="1"/>
  <c r="AF7" i="2"/>
  <c r="AF8" i="2"/>
  <c r="AF10" i="2"/>
  <c r="AF11" i="2"/>
  <c r="AF12" i="2"/>
  <c r="AF13" i="2"/>
  <c r="AF14" i="2"/>
  <c r="AF15" i="2"/>
  <c r="AF16" i="2"/>
  <c r="AF18" i="2"/>
  <c r="AF19" i="2"/>
  <c r="AF20" i="2"/>
  <c r="AF21" i="2"/>
  <c r="AF22" i="2"/>
  <c r="AF23" i="2"/>
  <c r="AF24" i="2"/>
  <c r="AF27" i="2"/>
  <c r="AF28" i="2"/>
  <c r="AF29" i="2"/>
  <c r="AF30" i="2"/>
  <c r="AF31" i="2"/>
  <c r="AF32" i="2"/>
  <c r="AF34" i="2"/>
  <c r="AF35" i="2"/>
  <c r="AF36" i="2"/>
  <c r="AF37" i="2"/>
  <c r="AF39" i="2" l="1"/>
  <c r="L8" i="3"/>
  <c r="L32" i="3"/>
  <c r="L16" i="3"/>
  <c r="L24" i="3"/>
  <c r="M37" i="3"/>
  <c r="M36" i="3"/>
  <c r="M35" i="3"/>
  <c r="M34" i="3"/>
  <c r="M33" i="3"/>
  <c r="M31" i="3"/>
  <c r="M30" i="3"/>
  <c r="M29" i="3"/>
  <c r="M28" i="3"/>
  <c r="M27" i="3"/>
  <c r="M26" i="3"/>
  <c r="M25" i="3"/>
  <c r="M23" i="3"/>
  <c r="M22" i="3"/>
  <c r="M21" i="3"/>
  <c r="M20" i="3"/>
  <c r="M19" i="3"/>
  <c r="M18" i="3"/>
  <c r="M17" i="3"/>
  <c r="M15" i="3"/>
  <c r="M14" i="3"/>
  <c r="M13" i="3"/>
  <c r="M12" i="3"/>
  <c r="M11" i="3"/>
  <c r="M10" i="3"/>
  <c r="M9" i="3"/>
  <c r="M7" i="3"/>
  <c r="M6" i="3"/>
  <c r="M5" i="3"/>
  <c r="M24" i="3" l="1"/>
  <c r="L41" i="3"/>
  <c r="M40" i="3"/>
  <c r="M16" i="3"/>
  <c r="M8" i="3"/>
  <c r="U5" i="3"/>
  <c r="Y5" i="3" s="1"/>
  <c r="M32" i="3"/>
  <c r="R28" i="1"/>
  <c r="M41" i="3" l="1"/>
  <c r="R51" i="15" s="1"/>
  <c r="M5" i="1"/>
  <c r="S51" i="15" l="1"/>
  <c r="AD28" i="1"/>
  <c r="AH6" i="1" l="1"/>
  <c r="AH7" i="1"/>
  <c r="AH8" i="1"/>
  <c r="AH9" i="1"/>
  <c r="AH10" i="1"/>
  <c r="AH11" i="1"/>
  <c r="AH13" i="1"/>
  <c r="AH14" i="1"/>
  <c r="AH15" i="1"/>
  <c r="AH16" i="1"/>
  <c r="AH17" i="1"/>
  <c r="AH18" i="1"/>
  <c r="AH19" i="1"/>
  <c r="AH21" i="1"/>
  <c r="AH22" i="1"/>
  <c r="AH23" i="1"/>
  <c r="AH24" i="1"/>
  <c r="AH25" i="1"/>
  <c r="AH26" i="1"/>
  <c r="AH27" i="1"/>
  <c r="AH29" i="1"/>
  <c r="AH30" i="1"/>
  <c r="AH31" i="1"/>
  <c r="AH32" i="1"/>
  <c r="AH33" i="1"/>
  <c r="AH34" i="1"/>
  <c r="AH35" i="1"/>
  <c r="AH37" i="1"/>
  <c r="AH38" i="1"/>
  <c r="AH39" i="1"/>
  <c r="K9" i="1" l="1"/>
  <c r="U8" i="2" l="1"/>
  <c r="U7" i="2"/>
  <c r="L9" i="2"/>
  <c r="L17" i="2"/>
  <c r="L25" i="2"/>
  <c r="L33" i="2"/>
  <c r="L38" i="2"/>
  <c r="M37" i="2"/>
  <c r="U37" i="2" s="1"/>
  <c r="Y37" i="2" s="1"/>
  <c r="M36" i="2"/>
  <c r="U36" i="2" s="1"/>
  <c r="Y36" i="2" s="1"/>
  <c r="M35" i="2"/>
  <c r="U35" i="2" s="1"/>
  <c r="Y35" i="2" s="1"/>
  <c r="M34" i="2"/>
  <c r="M32" i="2"/>
  <c r="U32" i="2" s="1"/>
  <c r="M31" i="2"/>
  <c r="U31" i="2" s="1"/>
  <c r="M30" i="2"/>
  <c r="M29" i="2"/>
  <c r="U29" i="2" s="1"/>
  <c r="M28" i="2"/>
  <c r="U28" i="2" s="1"/>
  <c r="M27" i="2"/>
  <c r="U27" i="2" s="1"/>
  <c r="M26" i="2"/>
  <c r="U26" i="2" s="1"/>
  <c r="M24" i="2"/>
  <c r="U24" i="2" s="1"/>
  <c r="M23" i="2"/>
  <c r="U23" i="2" s="1"/>
  <c r="M22" i="2"/>
  <c r="U22" i="2" s="1"/>
  <c r="M21" i="2"/>
  <c r="U21" i="2" s="1"/>
  <c r="Y21" i="2" s="1"/>
  <c r="M20" i="2"/>
  <c r="U20" i="2" s="1"/>
  <c r="M19" i="2"/>
  <c r="U19" i="2" s="1"/>
  <c r="M18" i="2"/>
  <c r="M16" i="2"/>
  <c r="U16" i="2" s="1"/>
  <c r="M15" i="2"/>
  <c r="U15" i="2" s="1"/>
  <c r="M14" i="2"/>
  <c r="U14" i="2" s="1"/>
  <c r="M13" i="2"/>
  <c r="U13" i="2" s="1"/>
  <c r="M12" i="2"/>
  <c r="U12" i="2" s="1"/>
  <c r="M11" i="2"/>
  <c r="U11" i="2" s="1"/>
  <c r="M10" i="2"/>
  <c r="U10" i="2" s="1"/>
  <c r="M5" i="2"/>
  <c r="C38" i="2"/>
  <c r="M9" i="2" l="1"/>
  <c r="U5" i="2"/>
  <c r="L39" i="2"/>
  <c r="M38" i="2"/>
  <c r="U34" i="2"/>
  <c r="M33" i="2"/>
  <c r="U30" i="2"/>
  <c r="M25" i="2"/>
  <c r="U18" i="2"/>
  <c r="M17" i="2"/>
  <c r="M39" i="2" s="1"/>
  <c r="R50" i="15" s="1"/>
  <c r="S50" i="15" s="1"/>
  <c r="U38" i="2"/>
  <c r="Y5" i="2"/>
  <c r="X5" i="1"/>
  <c r="D40" i="1"/>
  <c r="D28" i="1"/>
  <c r="D20" i="1"/>
  <c r="C12" i="1"/>
  <c r="D12" i="1"/>
  <c r="X39" i="1"/>
  <c r="X38" i="1"/>
  <c r="AB38" i="1" s="1"/>
  <c r="X37" i="1"/>
  <c r="X35" i="1"/>
  <c r="X34" i="1"/>
  <c r="X33" i="1"/>
  <c r="X32" i="1"/>
  <c r="X31" i="1"/>
  <c r="X30" i="1"/>
  <c r="X29" i="1"/>
  <c r="X27" i="1"/>
  <c r="X26" i="1"/>
  <c r="X25" i="1"/>
  <c r="X24" i="1"/>
  <c r="X23" i="1"/>
  <c r="X22" i="1"/>
  <c r="X21" i="1"/>
  <c r="X19" i="1"/>
  <c r="X18" i="1"/>
  <c r="X17" i="1"/>
  <c r="X16" i="1"/>
  <c r="X15" i="1"/>
  <c r="X14" i="1"/>
  <c r="X13" i="1"/>
  <c r="X11" i="1"/>
  <c r="X10" i="1"/>
  <c r="X9" i="1"/>
  <c r="X8" i="1"/>
  <c r="X7" i="1"/>
  <c r="X6" i="1"/>
  <c r="J40" i="1"/>
  <c r="I40" i="1"/>
  <c r="K39" i="1"/>
  <c r="K38" i="1"/>
  <c r="K37" i="1"/>
  <c r="J36" i="1"/>
  <c r="I36" i="1"/>
  <c r="K35" i="1"/>
  <c r="K34" i="1"/>
  <c r="K33" i="1"/>
  <c r="K32" i="1"/>
  <c r="K31" i="1"/>
  <c r="K30" i="1"/>
  <c r="K29" i="1"/>
  <c r="J28" i="1"/>
  <c r="I28" i="1"/>
  <c r="K27" i="1"/>
  <c r="K26" i="1"/>
  <c r="K25" i="1"/>
  <c r="K24" i="1"/>
  <c r="K23" i="1"/>
  <c r="K22" i="1"/>
  <c r="K21" i="1"/>
  <c r="J20" i="1"/>
  <c r="I20" i="1"/>
  <c r="K19" i="1"/>
  <c r="K18" i="1"/>
  <c r="K17" i="1"/>
  <c r="K16" i="1"/>
  <c r="K15" i="1"/>
  <c r="K14" i="1"/>
  <c r="K13" i="1"/>
  <c r="J12" i="1"/>
  <c r="I12" i="1"/>
  <c r="K11" i="1"/>
  <c r="K10" i="1"/>
  <c r="K8" i="1"/>
  <c r="K7" i="1"/>
  <c r="K6" i="1"/>
  <c r="K5" i="1"/>
  <c r="P40" i="1"/>
  <c r="N40" i="1"/>
  <c r="M40" i="1"/>
  <c r="O39" i="1"/>
  <c r="O38" i="1"/>
  <c r="O37" i="1"/>
  <c r="P36" i="1"/>
  <c r="N36" i="1"/>
  <c r="M36" i="1"/>
  <c r="O35" i="1"/>
  <c r="O34" i="1"/>
  <c r="O33" i="1"/>
  <c r="O32" i="1"/>
  <c r="O31" i="1"/>
  <c r="O30" i="1"/>
  <c r="O29" i="1"/>
  <c r="P28" i="1"/>
  <c r="N28" i="1"/>
  <c r="M28" i="1"/>
  <c r="O27" i="1"/>
  <c r="O26" i="1"/>
  <c r="O25" i="1"/>
  <c r="O24" i="1"/>
  <c r="O23" i="1"/>
  <c r="O22" i="1"/>
  <c r="O21" i="1"/>
  <c r="P20" i="1"/>
  <c r="N20" i="1"/>
  <c r="M20" i="1"/>
  <c r="O19" i="1"/>
  <c r="O18" i="1"/>
  <c r="O17" i="1"/>
  <c r="O16" i="1"/>
  <c r="O15" i="1"/>
  <c r="O14" i="1"/>
  <c r="O13" i="1"/>
  <c r="P12" i="1"/>
  <c r="N12" i="1"/>
  <c r="O11" i="1"/>
  <c r="O10" i="1"/>
  <c r="O9" i="1"/>
  <c r="O8" i="1"/>
  <c r="O7" i="1"/>
  <c r="O6" i="1"/>
  <c r="S38" i="1"/>
  <c r="H40" i="1"/>
  <c r="W38" i="1" l="1"/>
  <c r="J41" i="1"/>
  <c r="O40" i="1"/>
  <c r="N41" i="1"/>
  <c r="AA38" i="1"/>
  <c r="K40" i="1"/>
  <c r="I41" i="1"/>
  <c r="I42" i="1" s="1"/>
  <c r="P41" i="1"/>
  <c r="L6" i="13" s="1"/>
  <c r="K36" i="1"/>
  <c r="K20" i="1"/>
  <c r="K12" i="1"/>
  <c r="K28" i="1"/>
  <c r="O36" i="1"/>
  <c r="O28" i="1"/>
  <c r="O20" i="1"/>
  <c r="I43" i="1" l="1"/>
  <c r="K41" i="1"/>
  <c r="I6" i="13" s="1"/>
  <c r="P42" i="1"/>
  <c r="K44" i="1"/>
  <c r="AF36" i="12"/>
  <c r="O30" i="12" l="1"/>
  <c r="Q7" i="12" l="1"/>
  <c r="U7" i="12" l="1"/>
  <c r="Q32" i="12"/>
  <c r="U32" i="12" s="1"/>
  <c r="Q33" i="12"/>
  <c r="U33" i="12" s="1"/>
  <c r="Q34" i="12"/>
  <c r="U34" i="12" s="1"/>
  <c r="Q35" i="12"/>
  <c r="U35" i="12" s="1"/>
  <c r="Y35" i="12" s="1"/>
  <c r="Q36" i="12"/>
  <c r="U36" i="12" s="1"/>
  <c r="Q37" i="12"/>
  <c r="U37" i="12" s="1"/>
  <c r="Q31" i="12"/>
  <c r="U31" i="12" s="1"/>
  <c r="Y31" i="12" s="1"/>
  <c r="Q24" i="12"/>
  <c r="U24" i="12" s="1"/>
  <c r="Q25" i="12"/>
  <c r="U25" i="12" s="1"/>
  <c r="Q26" i="12"/>
  <c r="U26" i="12" s="1"/>
  <c r="Q27" i="12"/>
  <c r="U27" i="12" s="1"/>
  <c r="Q28" i="12"/>
  <c r="U28" i="12" s="1"/>
  <c r="Q29" i="12"/>
  <c r="Q23" i="12"/>
  <c r="Q16" i="12"/>
  <c r="U16" i="12" s="1"/>
  <c r="Q17" i="12"/>
  <c r="U17" i="12" s="1"/>
  <c r="Q18" i="12"/>
  <c r="U18" i="12" s="1"/>
  <c r="Q19" i="12"/>
  <c r="U19" i="12" s="1"/>
  <c r="Q20" i="12"/>
  <c r="U20" i="12" s="1"/>
  <c r="Q21" i="12"/>
  <c r="U21" i="12" s="1"/>
  <c r="Q15" i="12"/>
  <c r="U15" i="12" s="1"/>
  <c r="Q8" i="12"/>
  <c r="Q9" i="12"/>
  <c r="U9" i="12" s="1"/>
  <c r="Q10" i="12"/>
  <c r="U10" i="12" s="1"/>
  <c r="Q11" i="12"/>
  <c r="U11" i="12" s="1"/>
  <c r="Q12" i="12"/>
  <c r="U12" i="12" s="1"/>
  <c r="Q13" i="12"/>
  <c r="U13" i="12" s="1"/>
  <c r="Q5" i="12"/>
  <c r="I6" i="12"/>
  <c r="I14" i="12"/>
  <c r="I22" i="12"/>
  <c r="I30" i="12"/>
  <c r="U5" i="12" l="1"/>
  <c r="Q6" i="12"/>
  <c r="U8" i="12"/>
  <c r="Q14" i="12"/>
  <c r="U23" i="12"/>
  <c r="Q30" i="12"/>
  <c r="U29" i="12"/>
  <c r="Y29" i="12" s="1"/>
  <c r="Q5" i="11"/>
  <c r="U5" i="11" s="1"/>
  <c r="Q6" i="11"/>
  <c r="Q7" i="11"/>
  <c r="Q9" i="11"/>
  <c r="U9" i="11" l="1"/>
  <c r="U30" i="12"/>
  <c r="U7" i="11"/>
  <c r="Y7" i="11" s="1"/>
  <c r="U6" i="11"/>
  <c r="Y6" i="11" s="1"/>
  <c r="Q8" i="11"/>
  <c r="AF35" i="11" l="1"/>
  <c r="Q31" i="11" l="1"/>
  <c r="U31" i="11" s="1"/>
  <c r="Q30" i="11"/>
  <c r="U30" i="11" s="1"/>
  <c r="Q23" i="11"/>
  <c r="Q22" i="11"/>
  <c r="U22" i="11" s="1"/>
  <c r="Q15" i="11"/>
  <c r="U15" i="11" s="1"/>
  <c r="Q14" i="11"/>
  <c r="U14" i="11" s="1"/>
  <c r="Q38" i="11"/>
  <c r="U38" i="11" s="1"/>
  <c r="Q35" i="11"/>
  <c r="U35" i="11" s="1"/>
  <c r="Y35" i="11" s="1"/>
  <c r="Q34" i="11"/>
  <c r="U34" i="11" s="1"/>
  <c r="Q33" i="11"/>
  <c r="Q39" i="11" s="1"/>
  <c r="Q29" i="11"/>
  <c r="U29" i="11" s="1"/>
  <c r="Q28" i="11"/>
  <c r="U28" i="11" s="1"/>
  <c r="Q27" i="11"/>
  <c r="U27" i="11" s="1"/>
  <c r="Q26" i="11"/>
  <c r="U26" i="11" s="1"/>
  <c r="Q25" i="11"/>
  <c r="Q21" i="11"/>
  <c r="U21" i="11" s="1"/>
  <c r="Q20" i="11"/>
  <c r="U20" i="11" s="1"/>
  <c r="Q19" i="11"/>
  <c r="U19" i="11" s="1"/>
  <c r="Q18" i="11"/>
  <c r="U18" i="11" s="1"/>
  <c r="Q17" i="11"/>
  <c r="Q13" i="11"/>
  <c r="U13" i="11" s="1"/>
  <c r="Q12" i="11"/>
  <c r="U12" i="11" s="1"/>
  <c r="Q11" i="11"/>
  <c r="U11" i="11" s="1"/>
  <c r="Q10" i="11"/>
  <c r="U10" i="11" l="1"/>
  <c r="Q16" i="11"/>
  <c r="U17" i="11"/>
  <c r="Q24" i="11"/>
  <c r="U25" i="11"/>
  <c r="Q32" i="11"/>
  <c r="U33" i="11"/>
  <c r="U23" i="11"/>
  <c r="Y23" i="11" s="1"/>
  <c r="S16" i="11"/>
  <c r="Y5" i="11"/>
  <c r="Q40" i="11" l="1"/>
  <c r="R74" i="15"/>
  <c r="S74" i="15" s="1"/>
  <c r="S19" i="10"/>
  <c r="P19" i="10" l="1"/>
  <c r="Q5" i="10" l="1"/>
  <c r="Q6" i="10"/>
  <c r="Q7" i="10"/>
  <c r="U7" i="10" s="1"/>
  <c r="Q8" i="10"/>
  <c r="U8" i="10" s="1"/>
  <c r="Q9" i="10"/>
  <c r="Q39" i="10"/>
  <c r="U39" i="10" s="1"/>
  <c r="Q36" i="10"/>
  <c r="U36" i="10" s="1"/>
  <c r="Q29" i="10"/>
  <c r="U29" i="10" s="1"/>
  <c r="Q30" i="10"/>
  <c r="U30" i="10" s="1"/>
  <c r="Q31" i="10"/>
  <c r="U31" i="10" s="1"/>
  <c r="Q32" i="10"/>
  <c r="U32" i="10" s="1"/>
  <c r="Q33" i="10"/>
  <c r="U33" i="10" s="1"/>
  <c r="Q34" i="10"/>
  <c r="U34" i="10" s="1"/>
  <c r="Q28" i="10"/>
  <c r="U28" i="10" s="1"/>
  <c r="Q21" i="10"/>
  <c r="U21" i="10" s="1"/>
  <c r="Q22" i="10"/>
  <c r="U22" i="10" s="1"/>
  <c r="Q23" i="10"/>
  <c r="U23" i="10" s="1"/>
  <c r="Q24" i="10"/>
  <c r="U24" i="10" s="1"/>
  <c r="Q25" i="10"/>
  <c r="U25" i="10" s="1"/>
  <c r="Q26" i="10"/>
  <c r="U26" i="10" s="1"/>
  <c r="Q20" i="10"/>
  <c r="U20" i="10" s="1"/>
  <c r="Q13" i="10"/>
  <c r="U13" i="10" s="1"/>
  <c r="Q14" i="10"/>
  <c r="U14" i="10" s="1"/>
  <c r="Q15" i="10"/>
  <c r="U15" i="10" s="1"/>
  <c r="Q16" i="10"/>
  <c r="U16" i="10" s="1"/>
  <c r="Q17" i="10"/>
  <c r="U17" i="10" s="1"/>
  <c r="Q18" i="10"/>
  <c r="U18" i="10" s="1"/>
  <c r="Q12" i="10"/>
  <c r="U12" i="10" s="1"/>
  <c r="Q10" i="10"/>
  <c r="E14" i="9" l="1"/>
  <c r="Q13" i="9" l="1"/>
  <c r="U13" i="9" s="1"/>
  <c r="Y13" i="9" l="1"/>
  <c r="Q32" i="9" l="1"/>
  <c r="U32" i="9" s="1"/>
  <c r="Q33" i="9"/>
  <c r="U33" i="9" s="1"/>
  <c r="Q34" i="9"/>
  <c r="U34" i="9" s="1"/>
  <c r="Q35" i="9"/>
  <c r="Q36" i="9"/>
  <c r="U36" i="9" s="1"/>
  <c r="Q31" i="9"/>
  <c r="Q24" i="9"/>
  <c r="U24" i="9" s="1"/>
  <c r="Q25" i="9"/>
  <c r="U25" i="9" s="1"/>
  <c r="Q26" i="9"/>
  <c r="U26" i="9" s="1"/>
  <c r="Q27" i="9"/>
  <c r="U27" i="9" s="1"/>
  <c r="Q28" i="9"/>
  <c r="U28" i="9" s="1"/>
  <c r="Q29" i="9"/>
  <c r="U29" i="9" s="1"/>
  <c r="Q23" i="9"/>
  <c r="U23" i="9" s="1"/>
  <c r="Q16" i="9"/>
  <c r="U16" i="9" s="1"/>
  <c r="Q17" i="9"/>
  <c r="U17" i="9" s="1"/>
  <c r="Q18" i="9"/>
  <c r="U18" i="9" s="1"/>
  <c r="Q19" i="9"/>
  <c r="U19" i="9" s="1"/>
  <c r="Q20" i="9"/>
  <c r="U20" i="9" s="1"/>
  <c r="Q21" i="9"/>
  <c r="U21" i="9" s="1"/>
  <c r="Q15" i="9"/>
  <c r="U15" i="9" s="1"/>
  <c r="U35" i="9" l="1"/>
  <c r="Y35" i="9" s="1"/>
  <c r="Q38" i="9"/>
  <c r="U31" i="9"/>
  <c r="Y26" i="9"/>
  <c r="Q8" i="9"/>
  <c r="U8" i="9" s="1"/>
  <c r="Q9" i="9"/>
  <c r="U9" i="9" s="1"/>
  <c r="Q10" i="9"/>
  <c r="U10" i="9" s="1"/>
  <c r="Q11" i="9"/>
  <c r="U11" i="9" s="1"/>
  <c r="Q12" i="9"/>
  <c r="U12" i="9" s="1"/>
  <c r="Q7" i="9"/>
  <c r="U7" i="9" s="1"/>
  <c r="Q5" i="9"/>
  <c r="U5" i="9" s="1"/>
  <c r="U38" i="9" l="1"/>
  <c r="AF8" i="9"/>
  <c r="AF7" i="9"/>
  <c r="O6" i="9"/>
  <c r="AB6" i="9"/>
  <c r="W40" i="8" l="1"/>
  <c r="O40" i="8" l="1"/>
  <c r="P40" i="8"/>
  <c r="S40" i="8"/>
  <c r="AB40" i="8" l="1"/>
  <c r="P17" i="8" l="1"/>
  <c r="N91" i="15" l="1"/>
  <c r="Y36" i="12" l="1"/>
  <c r="V36" i="12"/>
  <c r="Z36" i="12" s="1"/>
  <c r="V35" i="11"/>
  <c r="Z35" i="11" s="1"/>
  <c r="S17" i="8" l="1"/>
  <c r="AF36" i="10" l="1"/>
  <c r="AF39" i="10"/>
  <c r="AF35" i="9"/>
  <c r="W40" i="10"/>
  <c r="X40" i="10"/>
  <c r="T40" i="10"/>
  <c r="S40" i="10"/>
  <c r="R40" i="10"/>
  <c r="Q40" i="10"/>
  <c r="P40" i="10"/>
  <c r="O40" i="10"/>
  <c r="N40" i="10"/>
  <c r="J40" i="10"/>
  <c r="I40" i="10"/>
  <c r="H40" i="10"/>
  <c r="G40" i="10"/>
  <c r="F40" i="10"/>
  <c r="E40" i="10"/>
  <c r="D40" i="10"/>
  <c r="Y36" i="10"/>
  <c r="Z36" i="10"/>
  <c r="V35" i="9"/>
  <c r="Z35" i="9" s="1"/>
  <c r="AF40" i="10" l="1"/>
  <c r="S9" i="8" l="1"/>
  <c r="AB9" i="8"/>
  <c r="AF5" i="9"/>
  <c r="AF9" i="9"/>
  <c r="AF10" i="9"/>
  <c r="AF11" i="9"/>
  <c r="AF12" i="9"/>
  <c r="AF13" i="9"/>
  <c r="AF15" i="9"/>
  <c r="AF16" i="9"/>
  <c r="AF17" i="9"/>
  <c r="AF18" i="9"/>
  <c r="AF19" i="9"/>
  <c r="AF20" i="9"/>
  <c r="AF21" i="9"/>
  <c r="AF23" i="9"/>
  <c r="AF24" i="9"/>
  <c r="AF25" i="9"/>
  <c r="AF26" i="9"/>
  <c r="AF27" i="9"/>
  <c r="AF28" i="9"/>
  <c r="AF29" i="9"/>
  <c r="AF31" i="9"/>
  <c r="AF32" i="9"/>
  <c r="AF33" i="9"/>
  <c r="AF34" i="9"/>
  <c r="AF36" i="9"/>
  <c r="AF6" i="10"/>
  <c r="AF7" i="10"/>
  <c r="AF8" i="10"/>
  <c r="AF9" i="10"/>
  <c r="AF10" i="10"/>
  <c r="AF12" i="10"/>
  <c r="AF13" i="10"/>
  <c r="AF14" i="10"/>
  <c r="AF15" i="10"/>
  <c r="AF16" i="10"/>
  <c r="AF17" i="10"/>
  <c r="AF18" i="10"/>
  <c r="AF20" i="10"/>
  <c r="AF21" i="10"/>
  <c r="AF22" i="10"/>
  <c r="AF23" i="10"/>
  <c r="AF24" i="10"/>
  <c r="AF25" i="10"/>
  <c r="AF26" i="10"/>
  <c r="AF28" i="10"/>
  <c r="AF29" i="10"/>
  <c r="AF30" i="10"/>
  <c r="AF31" i="10"/>
  <c r="AF32" i="10"/>
  <c r="AF33" i="10"/>
  <c r="AF34" i="10"/>
  <c r="AF5" i="11"/>
  <c r="AF6" i="11"/>
  <c r="AF7" i="11"/>
  <c r="AF9" i="11"/>
  <c r="AF10" i="11"/>
  <c r="AF11" i="11"/>
  <c r="AF12" i="11"/>
  <c r="AF13" i="11"/>
  <c r="AF14" i="11"/>
  <c r="AF15" i="11"/>
  <c r="AF17" i="11"/>
  <c r="AF18" i="11"/>
  <c r="AF19" i="11"/>
  <c r="AF20" i="11"/>
  <c r="AF21" i="11"/>
  <c r="AF22" i="11"/>
  <c r="AF23" i="11"/>
  <c r="AF25" i="11"/>
  <c r="AF26" i="11"/>
  <c r="AF27" i="11"/>
  <c r="AF28" i="11"/>
  <c r="AF29" i="11"/>
  <c r="AF30" i="11"/>
  <c r="AF31" i="11"/>
  <c r="AF33" i="11"/>
  <c r="AF34" i="11"/>
  <c r="AF38" i="11"/>
  <c r="AF5" i="12"/>
  <c r="AF7" i="12"/>
  <c r="AF8" i="12"/>
  <c r="AF9" i="12"/>
  <c r="AF10" i="12"/>
  <c r="AF11" i="12"/>
  <c r="AF12" i="12"/>
  <c r="AF13" i="12"/>
  <c r="AF15" i="12"/>
  <c r="AF16" i="12"/>
  <c r="AF17" i="12"/>
  <c r="AF18" i="12"/>
  <c r="AF19" i="12"/>
  <c r="AF20" i="12"/>
  <c r="AF21" i="12"/>
  <c r="AF23" i="12"/>
  <c r="AF24" i="12"/>
  <c r="AF25" i="12"/>
  <c r="AF26" i="12"/>
  <c r="AF27" i="12"/>
  <c r="AF28" i="12"/>
  <c r="AF29" i="12"/>
  <c r="AF31" i="12"/>
  <c r="AF32" i="12"/>
  <c r="AF33" i="12"/>
  <c r="AF34" i="12"/>
  <c r="AF35" i="12"/>
  <c r="AF37" i="12"/>
  <c r="AF5" i="8"/>
  <c r="AF6" i="8"/>
  <c r="AF7" i="8"/>
  <c r="AF8" i="8"/>
  <c r="AF10" i="8"/>
  <c r="AF11" i="8"/>
  <c r="AF12" i="8"/>
  <c r="AF13" i="8"/>
  <c r="AF14" i="8"/>
  <c r="AF15" i="8"/>
  <c r="AF19" i="8"/>
  <c r="AF20" i="8"/>
  <c r="AF21" i="8"/>
  <c r="AF22" i="8"/>
  <c r="AF23" i="8"/>
  <c r="AF24" i="8"/>
  <c r="AF26" i="8"/>
  <c r="AF27" i="8"/>
  <c r="AF28" i="8"/>
  <c r="AF29" i="8"/>
  <c r="AF30" i="8"/>
  <c r="AF31" i="8"/>
  <c r="AF32" i="8"/>
  <c r="AF34" i="8"/>
  <c r="AF35" i="8"/>
  <c r="AF36" i="8"/>
  <c r="AF39" i="8"/>
  <c r="AB31" i="6"/>
  <c r="AB39" i="6"/>
  <c r="AB40" i="7"/>
  <c r="AB36" i="7"/>
  <c r="AF40" i="9" l="1"/>
  <c r="AF41" i="12"/>
  <c r="AF40" i="8"/>
  <c r="AF39" i="11"/>
  <c r="AB12" i="7" l="1"/>
  <c r="X39" i="6" l="1"/>
  <c r="W39" i="6"/>
  <c r="T39" i="6"/>
  <c r="S39" i="6"/>
  <c r="R39" i="6"/>
  <c r="P39" i="6"/>
  <c r="N39" i="6"/>
  <c r="J39" i="6"/>
  <c r="I39" i="6"/>
  <c r="H39" i="6"/>
  <c r="G39" i="6"/>
  <c r="F39" i="6"/>
  <c r="E39" i="6"/>
  <c r="D39" i="6"/>
  <c r="Z38" i="6"/>
  <c r="Q38" i="6"/>
  <c r="U38" i="6" s="1"/>
  <c r="Y38" i="6" s="1"/>
  <c r="Z35" i="6"/>
  <c r="Q35" i="6"/>
  <c r="U35" i="6" s="1"/>
  <c r="Y35" i="6" s="1"/>
  <c r="Z34" i="6"/>
  <c r="Q34" i="6"/>
  <c r="U34" i="6" s="1"/>
  <c r="Y34" i="6" s="1"/>
  <c r="Z33" i="6"/>
  <c r="Q33" i="6"/>
  <c r="U33" i="6" s="1"/>
  <c r="Y33" i="6" s="1"/>
  <c r="Z32" i="6"/>
  <c r="Q32" i="6"/>
  <c r="X31" i="6"/>
  <c r="W31" i="6"/>
  <c r="T31" i="6"/>
  <c r="S31" i="6"/>
  <c r="R31" i="6"/>
  <c r="P31" i="6"/>
  <c r="O31" i="6"/>
  <c r="N31" i="6"/>
  <c r="J31" i="6"/>
  <c r="I31" i="6"/>
  <c r="H31" i="6"/>
  <c r="G31" i="6"/>
  <c r="F31" i="6"/>
  <c r="E31" i="6"/>
  <c r="D31" i="6"/>
  <c r="C31" i="6"/>
  <c r="V30" i="6"/>
  <c r="Z30" i="6" s="1"/>
  <c r="Q30" i="6"/>
  <c r="U30" i="6" s="1"/>
  <c r="Y30" i="6" s="1"/>
  <c r="V29" i="6"/>
  <c r="Z29" i="6" s="1"/>
  <c r="Q29" i="6"/>
  <c r="K31" i="6"/>
  <c r="V28" i="6"/>
  <c r="Z28" i="6" s="1"/>
  <c r="Q28" i="6"/>
  <c r="U28" i="6" s="1"/>
  <c r="Y28" i="6" s="1"/>
  <c r="V27" i="6"/>
  <c r="Z27" i="6" s="1"/>
  <c r="Q27" i="6"/>
  <c r="U27" i="6" s="1"/>
  <c r="Y27" i="6" s="1"/>
  <c r="V26" i="6"/>
  <c r="Z26" i="6" s="1"/>
  <c r="Q26" i="6"/>
  <c r="U26" i="6" s="1"/>
  <c r="Y26" i="6" s="1"/>
  <c r="V25" i="6"/>
  <c r="Z25" i="6" s="1"/>
  <c r="Q25" i="6"/>
  <c r="U25" i="6" s="1"/>
  <c r="Y25" i="6" s="1"/>
  <c r="V24" i="6"/>
  <c r="Q24" i="6"/>
  <c r="AB23" i="6"/>
  <c r="X23" i="6"/>
  <c r="W23" i="6"/>
  <c r="T23" i="6"/>
  <c r="S23" i="6"/>
  <c r="R23" i="6"/>
  <c r="P23" i="6"/>
  <c r="O23" i="6"/>
  <c r="N23" i="6"/>
  <c r="J23" i="6"/>
  <c r="I23" i="6"/>
  <c r="H23" i="6"/>
  <c r="G23" i="6"/>
  <c r="F23" i="6"/>
  <c r="E23" i="6"/>
  <c r="D23" i="6"/>
  <c r="C23" i="6"/>
  <c r="V22" i="6"/>
  <c r="Z22" i="6" s="1"/>
  <c r="Q22" i="6"/>
  <c r="U22" i="6" s="1"/>
  <c r="Y22" i="6" s="1"/>
  <c r="V21" i="6"/>
  <c r="Z21" i="6" s="1"/>
  <c r="Q21" i="6"/>
  <c r="U21" i="6" s="1"/>
  <c r="Y21" i="6" s="1"/>
  <c r="V20" i="6"/>
  <c r="Z20" i="6" s="1"/>
  <c r="Q20" i="6"/>
  <c r="U20" i="6" s="1"/>
  <c r="Y20" i="6" s="1"/>
  <c r="V19" i="6"/>
  <c r="Z19" i="6" s="1"/>
  <c r="Q19" i="6"/>
  <c r="U19" i="6" s="1"/>
  <c r="Y19" i="6" s="1"/>
  <c r="V18" i="6"/>
  <c r="Z18" i="6" s="1"/>
  <c r="Q18" i="6"/>
  <c r="U18" i="6" s="1"/>
  <c r="Y18" i="6" s="1"/>
  <c r="V17" i="6"/>
  <c r="Z17" i="6" s="1"/>
  <c r="Q17" i="6"/>
  <c r="U17" i="6" s="1"/>
  <c r="Y17" i="6" s="1"/>
  <c r="V16" i="6"/>
  <c r="Z16" i="6" s="1"/>
  <c r="Q16" i="6"/>
  <c r="AB15" i="6"/>
  <c r="X15" i="6"/>
  <c r="W15" i="6"/>
  <c r="T15" i="6"/>
  <c r="S15" i="6"/>
  <c r="R15" i="6"/>
  <c r="P15" i="6"/>
  <c r="O15" i="6"/>
  <c r="N15" i="6"/>
  <c r="J15" i="6"/>
  <c r="I15" i="6"/>
  <c r="H15" i="6"/>
  <c r="G15" i="6"/>
  <c r="F15" i="6"/>
  <c r="E15" i="6"/>
  <c r="D15" i="6"/>
  <c r="C15" i="6"/>
  <c r="B15" i="6"/>
  <c r="B23" i="6" s="1"/>
  <c r="B31" i="6" s="1"/>
  <c r="B39" i="6" s="1"/>
  <c r="V14" i="6"/>
  <c r="Z14" i="6" s="1"/>
  <c r="Q14" i="6"/>
  <c r="U14" i="6" s="1"/>
  <c r="Y14" i="6" s="1"/>
  <c r="K15" i="6"/>
  <c r="V13" i="6"/>
  <c r="Z13" i="6" s="1"/>
  <c r="Q13" i="6"/>
  <c r="U13" i="6" s="1"/>
  <c r="Y13" i="6" s="1"/>
  <c r="V12" i="6"/>
  <c r="Z12" i="6" s="1"/>
  <c r="Q12" i="6"/>
  <c r="U12" i="6" s="1"/>
  <c r="Y12" i="6" s="1"/>
  <c r="V11" i="6"/>
  <c r="Z11" i="6" s="1"/>
  <c r="U11" i="6"/>
  <c r="Y11" i="6" s="1"/>
  <c r="V10" i="6"/>
  <c r="Z10" i="6" s="1"/>
  <c r="Q10" i="6"/>
  <c r="U10" i="6" s="1"/>
  <c r="Y10" i="6" s="1"/>
  <c r="V9" i="6"/>
  <c r="Z9" i="6" s="1"/>
  <c r="Q9" i="6"/>
  <c r="U9" i="6" s="1"/>
  <c r="Y9" i="6" s="1"/>
  <c r="V8" i="6"/>
  <c r="Z8" i="6" s="1"/>
  <c r="Q8" i="6"/>
  <c r="AB7" i="6"/>
  <c r="X7" i="6"/>
  <c r="X40" i="6" s="1"/>
  <c r="W7" i="6"/>
  <c r="T7" i="6"/>
  <c r="S7" i="6"/>
  <c r="R7" i="6"/>
  <c r="P7" i="6"/>
  <c r="O7" i="6"/>
  <c r="N7" i="6"/>
  <c r="K7" i="6"/>
  <c r="J7" i="6"/>
  <c r="I7" i="6"/>
  <c r="H7" i="6"/>
  <c r="G7" i="6"/>
  <c r="F7" i="6"/>
  <c r="D7" i="6"/>
  <c r="C7" i="6"/>
  <c r="V6" i="6"/>
  <c r="Z6" i="6" s="1"/>
  <c r="Q6" i="6"/>
  <c r="U6" i="6" s="1"/>
  <c r="Y6" i="6" s="1"/>
  <c r="V5" i="6"/>
  <c r="Z5" i="6" s="1"/>
  <c r="Q5" i="6"/>
  <c r="U5" i="6" s="1"/>
  <c r="Y5" i="6" s="1"/>
  <c r="A6" i="6"/>
  <c r="A8" i="6" s="1"/>
  <c r="A9" i="6" s="1"/>
  <c r="A10" i="6" s="1"/>
  <c r="A11" i="6" s="1"/>
  <c r="A12" i="6" s="1"/>
  <c r="A13" i="6" s="1"/>
  <c r="A14" i="6" s="1"/>
  <c r="A16" i="6" s="1"/>
  <c r="A17" i="6" s="1"/>
  <c r="A18" i="6" s="1"/>
  <c r="A19" i="6" s="1"/>
  <c r="A20" i="6" s="1"/>
  <c r="A21" i="6" s="1"/>
  <c r="A22" i="6" s="1"/>
  <c r="A24" i="6" s="1"/>
  <c r="A25" i="6" s="1"/>
  <c r="A26" i="6" s="1"/>
  <c r="A27" i="6" s="1"/>
  <c r="A28" i="6" s="1"/>
  <c r="A29" i="6" s="1"/>
  <c r="A30" i="6" s="1"/>
  <c r="A32" i="6" s="1"/>
  <c r="A33" i="6" s="1"/>
  <c r="A34" i="6" s="1"/>
  <c r="A35" i="6" s="1"/>
  <c r="A36" i="6" s="1"/>
  <c r="A37" i="6" s="1"/>
  <c r="A38" i="6" s="1"/>
  <c r="C40" i="6" l="1"/>
  <c r="R24" i="15" s="1"/>
  <c r="S24" i="15" s="1"/>
  <c r="G40" i="6"/>
  <c r="G41" i="6" s="1"/>
  <c r="Q39" i="6"/>
  <c r="F40" i="6"/>
  <c r="F41" i="6" s="1"/>
  <c r="P40" i="6"/>
  <c r="P41" i="6" s="1"/>
  <c r="R40" i="6"/>
  <c r="R41" i="6" s="1"/>
  <c r="W40" i="6"/>
  <c r="W42" i="6" s="1"/>
  <c r="T40" i="6"/>
  <c r="S40" i="6"/>
  <c r="N40" i="6"/>
  <c r="D40" i="6"/>
  <c r="C43" i="6" s="1"/>
  <c r="Q31" i="6"/>
  <c r="U24" i="6"/>
  <c r="Y24" i="6" s="1"/>
  <c r="V31" i="6"/>
  <c r="O40" i="6"/>
  <c r="O41" i="6" s="1"/>
  <c r="Q23" i="6"/>
  <c r="H40" i="6"/>
  <c r="Q15" i="6"/>
  <c r="I40" i="6"/>
  <c r="I41" i="6" s="1"/>
  <c r="J40" i="6"/>
  <c r="J41" i="6" s="1"/>
  <c r="U8" i="6"/>
  <c r="U15" i="6" s="1"/>
  <c r="Q7" i="6"/>
  <c r="Z39" i="6"/>
  <c r="Z23" i="6"/>
  <c r="X41" i="6"/>
  <c r="Y7" i="6"/>
  <c r="Z7" i="6"/>
  <c r="Z15" i="6"/>
  <c r="C41" i="6"/>
  <c r="C42" i="6"/>
  <c r="U7" i="6"/>
  <c r="K23" i="6"/>
  <c r="K40" i="6" s="1"/>
  <c r="U29" i="6"/>
  <c r="Y29" i="6" s="1"/>
  <c r="V7" i="6"/>
  <c r="V23" i="6"/>
  <c r="E7" i="6"/>
  <c r="E40" i="6" s="1"/>
  <c r="V39" i="6"/>
  <c r="V15" i="6"/>
  <c r="U16" i="6"/>
  <c r="Z24" i="6"/>
  <c r="Z31" i="6" s="1"/>
  <c r="U32" i="6"/>
  <c r="V5" i="7"/>
  <c r="Z5" i="7" s="1"/>
  <c r="Q5" i="7"/>
  <c r="U5" i="7" s="1"/>
  <c r="Y5" i="7" s="1"/>
  <c r="G42" i="6" l="1"/>
  <c r="Y8" i="6"/>
  <c r="Y15" i="6" s="1"/>
  <c r="W41" i="6"/>
  <c r="S41" i="6"/>
  <c r="R39" i="15"/>
  <c r="S39" i="15" s="1"/>
  <c r="I42" i="6"/>
  <c r="E43" i="6"/>
  <c r="R84" i="15"/>
  <c r="S84" i="15" s="1"/>
  <c r="T41" i="6"/>
  <c r="S43" i="6"/>
  <c r="S42" i="6"/>
  <c r="N41" i="6"/>
  <c r="M43" i="6"/>
  <c r="M42" i="6"/>
  <c r="D41" i="6"/>
  <c r="W43" i="6"/>
  <c r="G43" i="6"/>
  <c r="H41" i="6"/>
  <c r="Q40" i="6"/>
  <c r="I43" i="6"/>
  <c r="K41" i="6"/>
  <c r="Y16" i="6"/>
  <c r="Y23" i="6" s="1"/>
  <c r="U23" i="6"/>
  <c r="E42" i="6"/>
  <c r="E41" i="6"/>
  <c r="Y32" i="6"/>
  <c r="Y39" i="6" s="1"/>
  <c r="U39" i="6"/>
  <c r="Z40" i="6"/>
  <c r="Y31" i="6"/>
  <c r="V40" i="6"/>
  <c r="U31" i="6"/>
  <c r="R69" i="15" l="1"/>
  <c r="S69" i="15" s="1"/>
  <c r="Q41" i="6"/>
  <c r="Q43" i="6"/>
  <c r="Q42" i="6"/>
  <c r="U40" i="6"/>
  <c r="U43" i="6" s="1"/>
  <c r="Y40" i="6"/>
  <c r="V41" i="6"/>
  <c r="Z41" i="6"/>
  <c r="U41" i="6" l="1"/>
  <c r="U42" i="6"/>
  <c r="Y42" i="6"/>
  <c r="R9" i="15"/>
  <c r="S9" i="15" s="1"/>
  <c r="Y41" i="6"/>
  <c r="Y43" i="6"/>
  <c r="V36" i="8"/>
  <c r="Z36" i="8" s="1"/>
  <c r="C40" i="8" l="1"/>
  <c r="Q39" i="8"/>
  <c r="U39" i="8" s="1"/>
  <c r="Q36" i="8"/>
  <c r="Q35" i="8"/>
  <c r="Q34" i="8"/>
  <c r="Q32" i="8"/>
  <c r="U32" i="8" s="1"/>
  <c r="Q31" i="8"/>
  <c r="U31" i="8" s="1"/>
  <c r="Q30" i="8"/>
  <c r="U30" i="8" s="1"/>
  <c r="Q29" i="8"/>
  <c r="U29" i="8" s="1"/>
  <c r="Q28" i="8"/>
  <c r="U28" i="8" s="1"/>
  <c r="Q27" i="8"/>
  <c r="U27" i="8" s="1"/>
  <c r="Q26" i="8"/>
  <c r="U26" i="8" s="1"/>
  <c r="Q24" i="8"/>
  <c r="U24" i="8" s="1"/>
  <c r="Q23" i="8"/>
  <c r="U23" i="8" s="1"/>
  <c r="Q22" i="8"/>
  <c r="U22" i="8" s="1"/>
  <c r="Q21" i="8"/>
  <c r="U21" i="8" s="1"/>
  <c r="Q20" i="8"/>
  <c r="U20" i="8" s="1"/>
  <c r="Q19" i="8"/>
  <c r="U19" i="8" s="1"/>
  <c r="Q18" i="8"/>
  <c r="U18" i="8" s="1"/>
  <c r="Q16" i="8"/>
  <c r="U16" i="8" s="1"/>
  <c r="Q15" i="8"/>
  <c r="U15" i="8" s="1"/>
  <c r="Q14" i="8"/>
  <c r="U14" i="8" s="1"/>
  <c r="Q13" i="8"/>
  <c r="U13" i="8" s="1"/>
  <c r="Q12" i="8"/>
  <c r="U12" i="8" s="1"/>
  <c r="Q11" i="8"/>
  <c r="U11" i="8" s="1"/>
  <c r="Q10" i="8"/>
  <c r="U10" i="8" s="1"/>
  <c r="Q8" i="8"/>
  <c r="U8" i="8" s="1"/>
  <c r="Q7" i="8"/>
  <c r="U7" i="8" s="1"/>
  <c r="Q6" i="8"/>
  <c r="U6" i="8" s="1"/>
  <c r="Q5" i="8"/>
  <c r="U5" i="8" s="1"/>
  <c r="U36" i="8" l="1"/>
  <c r="Y36" i="8" s="1"/>
  <c r="U35" i="8"/>
  <c r="Y35" i="8" s="1"/>
  <c r="U34" i="8"/>
  <c r="Q40" i="8"/>
  <c r="X36" i="7"/>
  <c r="P36" i="7"/>
  <c r="Q39" i="7"/>
  <c r="Q40" i="7" s="1"/>
  <c r="Q35" i="7"/>
  <c r="Q34" i="7"/>
  <c r="Q33" i="7"/>
  <c r="Q32" i="7"/>
  <c r="Q31" i="7"/>
  <c r="Q30" i="7"/>
  <c r="Q29" i="7"/>
  <c r="Q27" i="7"/>
  <c r="Q26" i="7"/>
  <c r="Q25" i="7"/>
  <c r="Q24" i="7"/>
  <c r="Q23" i="7"/>
  <c r="Q22" i="7"/>
  <c r="Q21" i="7"/>
  <c r="Q19" i="7"/>
  <c r="Q18" i="7"/>
  <c r="Q17" i="7"/>
  <c r="Q16" i="7"/>
  <c r="Q15" i="7"/>
  <c r="Q14" i="7"/>
  <c r="Q13" i="7"/>
  <c r="Q11" i="7"/>
  <c r="Q10" i="7"/>
  <c r="Q9" i="7"/>
  <c r="Q8" i="7"/>
  <c r="Q7" i="7"/>
  <c r="Q6" i="7"/>
  <c r="U40" i="8" l="1"/>
  <c r="C36" i="7"/>
  <c r="V39" i="7"/>
  <c r="V40" i="7" s="1"/>
  <c r="U39" i="7"/>
  <c r="Y39" i="7" l="1"/>
  <c r="Y40" i="7" s="1"/>
  <c r="U40" i="7"/>
  <c r="Z39" i="7"/>
  <c r="Z40" i="7" s="1"/>
  <c r="C40" i="5"/>
  <c r="C10" i="5"/>
  <c r="C18" i="5"/>
  <c r="C26" i="5"/>
  <c r="C34" i="5"/>
  <c r="C41" i="5" l="1"/>
  <c r="R23" i="15" s="1"/>
  <c r="S23" i="15" s="1"/>
  <c r="Y6" i="5"/>
  <c r="K18" i="5" l="1"/>
  <c r="K10" i="5"/>
  <c r="AB10" i="5" l="1"/>
  <c r="AB36" i="4" l="1"/>
  <c r="AB28" i="4"/>
  <c r="C39" i="4" l="1"/>
  <c r="S36" i="4" l="1"/>
  <c r="M4" i="15" l="1"/>
  <c r="V7" i="9" l="1"/>
  <c r="V8" i="9"/>
  <c r="Y9" i="9"/>
  <c r="V9" i="9"/>
  <c r="V10" i="9"/>
  <c r="V11" i="9"/>
  <c r="V12" i="9"/>
  <c r="V13" i="9"/>
  <c r="V15" i="9"/>
  <c r="V16" i="9"/>
  <c r="V17" i="9"/>
  <c r="V18" i="9"/>
  <c r="V19" i="9"/>
  <c r="V20" i="9"/>
  <c r="V21" i="9"/>
  <c r="V23" i="9"/>
  <c r="V24" i="9"/>
  <c r="V25" i="9"/>
  <c r="V26" i="9"/>
  <c r="V27" i="9"/>
  <c r="V28" i="9"/>
  <c r="V29" i="9"/>
  <c r="W40" i="5"/>
  <c r="X40" i="5"/>
  <c r="T40" i="5"/>
  <c r="T34" i="5"/>
  <c r="T26" i="5"/>
  <c r="T18" i="5"/>
  <c r="T10" i="5"/>
  <c r="V36" i="5"/>
  <c r="Z36" i="5" s="1"/>
  <c r="S40" i="5"/>
  <c r="P40" i="5"/>
  <c r="R40" i="5"/>
  <c r="N40" i="5"/>
  <c r="I40" i="5"/>
  <c r="J40" i="5"/>
  <c r="G40" i="5"/>
  <c r="H40" i="5"/>
  <c r="E40" i="5"/>
  <c r="F40" i="5"/>
  <c r="D40" i="5"/>
  <c r="T41" i="5" l="1"/>
  <c r="Q39" i="5"/>
  <c r="Q36" i="5"/>
  <c r="Q35" i="5"/>
  <c r="Q33" i="5"/>
  <c r="U33" i="5" s="1"/>
  <c r="Q32" i="5"/>
  <c r="U32" i="5" s="1"/>
  <c r="Q31" i="5"/>
  <c r="U31" i="5" s="1"/>
  <c r="Q30" i="5"/>
  <c r="U30" i="5" s="1"/>
  <c r="Q29" i="5"/>
  <c r="U29" i="5" s="1"/>
  <c r="Q28" i="5"/>
  <c r="U28" i="5" s="1"/>
  <c r="Q27" i="5"/>
  <c r="Q25" i="5"/>
  <c r="U25" i="5" s="1"/>
  <c r="Q24" i="5"/>
  <c r="U24" i="5" s="1"/>
  <c r="Q23" i="5"/>
  <c r="U23" i="5" s="1"/>
  <c r="Q22" i="5"/>
  <c r="U22" i="5" s="1"/>
  <c r="Q21" i="5"/>
  <c r="U21" i="5" s="1"/>
  <c r="Q20" i="5"/>
  <c r="U20" i="5" s="1"/>
  <c r="Q19" i="5"/>
  <c r="U19" i="5" s="1"/>
  <c r="Q17" i="5"/>
  <c r="U17" i="5" s="1"/>
  <c r="Q16" i="5"/>
  <c r="U16" i="5" s="1"/>
  <c r="Q15" i="5"/>
  <c r="U15" i="5" s="1"/>
  <c r="Q14" i="5"/>
  <c r="U14" i="5" s="1"/>
  <c r="Q13" i="5"/>
  <c r="U13" i="5" s="1"/>
  <c r="Q12" i="5"/>
  <c r="U12" i="5" s="1"/>
  <c r="Q11" i="5"/>
  <c r="U11" i="5" s="1"/>
  <c r="P34" i="5"/>
  <c r="R34" i="5"/>
  <c r="P26" i="5"/>
  <c r="R26" i="5"/>
  <c r="P18" i="5"/>
  <c r="R18" i="5"/>
  <c r="P10" i="5"/>
  <c r="U35" i="5" l="1"/>
  <c r="U27" i="5"/>
  <c r="Y27" i="5" s="1"/>
  <c r="U36" i="5"/>
  <c r="Y36" i="5" s="1"/>
  <c r="U39" i="5"/>
  <c r="Y39" i="5" s="1"/>
  <c r="Q40" i="5"/>
  <c r="Q18" i="5"/>
  <c r="P41" i="5"/>
  <c r="Q10" i="5"/>
  <c r="Q34" i="5"/>
  <c r="Q26" i="5"/>
  <c r="U40" i="5" l="1"/>
  <c r="Y35" i="5"/>
  <c r="Q41" i="5"/>
  <c r="R68" i="15" l="1"/>
  <c r="S68" i="15" s="1"/>
  <c r="Q68" i="15"/>
  <c r="M10" i="13"/>
  <c r="U35" i="3" l="1"/>
  <c r="U33" i="3"/>
  <c r="U31" i="3"/>
  <c r="U30" i="3"/>
  <c r="U29" i="3"/>
  <c r="U28" i="3"/>
  <c r="U27" i="3"/>
  <c r="U26" i="3"/>
  <c r="U25" i="3"/>
  <c r="U23" i="3"/>
  <c r="U22" i="3"/>
  <c r="U21" i="3"/>
  <c r="U19" i="3"/>
  <c r="U17" i="3"/>
  <c r="U15" i="3"/>
  <c r="U14" i="3"/>
  <c r="U13" i="3"/>
  <c r="U12" i="3"/>
  <c r="S16" i="3" l="1"/>
  <c r="S24" i="3"/>
  <c r="S32" i="3"/>
  <c r="P39" i="4" l="1"/>
  <c r="P36" i="4"/>
  <c r="P28" i="4"/>
  <c r="P20" i="4"/>
  <c r="Q39" i="4" l="1"/>
  <c r="Q36" i="4"/>
  <c r="Q28" i="4"/>
  <c r="P40" i="4"/>
  <c r="Q20" i="4"/>
  <c r="Q40" i="4" l="1"/>
  <c r="R67" i="15" s="1"/>
  <c r="S67" i="15" s="1"/>
  <c r="P32" i="3"/>
  <c r="Q67" i="15" l="1"/>
  <c r="M9" i="13"/>
  <c r="K16" i="3" l="1"/>
  <c r="P8" i="3" l="1"/>
  <c r="R32" i="3" l="1"/>
  <c r="R24" i="3"/>
  <c r="R16" i="3"/>
  <c r="R41" i="3" l="1"/>
  <c r="O8" i="3"/>
  <c r="V37" i="3"/>
  <c r="V36" i="3"/>
  <c r="Z36" i="3" s="1"/>
  <c r="V35" i="3"/>
  <c r="Z35" i="3" s="1"/>
  <c r="V34" i="3"/>
  <c r="V33" i="3"/>
  <c r="V40" i="3" s="1"/>
  <c r="V31" i="3"/>
  <c r="V30" i="3"/>
  <c r="V29" i="3"/>
  <c r="V28" i="3"/>
  <c r="V27" i="3"/>
  <c r="V26" i="3"/>
  <c r="V25" i="3"/>
  <c r="V23" i="3"/>
  <c r="V22" i="3"/>
  <c r="V21" i="3"/>
  <c r="V20" i="3"/>
  <c r="V19" i="3"/>
  <c r="V18" i="3"/>
  <c r="V17" i="3"/>
  <c r="V15" i="3"/>
  <c r="V14" i="3"/>
  <c r="V13" i="3"/>
  <c r="V12" i="3"/>
  <c r="V11" i="3"/>
  <c r="V10" i="3"/>
  <c r="V9" i="3"/>
  <c r="V7" i="3"/>
  <c r="V6" i="3"/>
  <c r="V5" i="3"/>
  <c r="O32" i="3" l="1"/>
  <c r="P24" i="3"/>
  <c r="O24" i="3"/>
  <c r="P16" i="3"/>
  <c r="P41" i="3" s="1"/>
  <c r="O16" i="3"/>
  <c r="O41" i="3" s="1"/>
  <c r="U36" i="3"/>
  <c r="U37" i="3"/>
  <c r="U6" i="3"/>
  <c r="U7" i="3"/>
  <c r="U11" i="3"/>
  <c r="U18" i="3"/>
  <c r="U20" i="3"/>
  <c r="U34" i="3" l="1"/>
  <c r="U40" i="3" s="1"/>
  <c r="Y36" i="3"/>
  <c r="Q32" i="3"/>
  <c r="Q8" i="3"/>
  <c r="Q24" i="3"/>
  <c r="Q16" i="3"/>
  <c r="Q41" i="3" s="1"/>
  <c r="R66" i="15" s="1"/>
  <c r="U10" i="3"/>
  <c r="U9" i="3"/>
  <c r="S66" i="15" l="1"/>
  <c r="Q66" i="15"/>
  <c r="U8" i="3"/>
  <c r="U40" i="1"/>
  <c r="R40" i="1"/>
  <c r="R36" i="1"/>
  <c r="R20" i="1"/>
  <c r="R12" i="1"/>
  <c r="Q40" i="1"/>
  <c r="Q36" i="1"/>
  <c r="Q28" i="1"/>
  <c r="Q20" i="1"/>
  <c r="Q12" i="1"/>
  <c r="S39" i="1"/>
  <c r="W39" i="1" s="1"/>
  <c r="S37" i="1"/>
  <c r="S35" i="1"/>
  <c r="W35" i="1" s="1"/>
  <c r="S34" i="1"/>
  <c r="W34" i="1" s="1"/>
  <c r="S33" i="1"/>
  <c r="W33" i="1" s="1"/>
  <c r="S32" i="1"/>
  <c r="W32" i="1" s="1"/>
  <c r="S31" i="1"/>
  <c r="W31" i="1" s="1"/>
  <c r="S30" i="1"/>
  <c r="W30" i="1" s="1"/>
  <c r="S29" i="1"/>
  <c r="W29" i="1" s="1"/>
  <c r="S27" i="1"/>
  <c r="W27" i="1" s="1"/>
  <c r="S26" i="1"/>
  <c r="W26" i="1" s="1"/>
  <c r="S25" i="1"/>
  <c r="W25" i="1" s="1"/>
  <c r="S24" i="1"/>
  <c r="W24" i="1" s="1"/>
  <c r="S23" i="1"/>
  <c r="W23" i="1" s="1"/>
  <c r="S22" i="1"/>
  <c r="W22" i="1" s="1"/>
  <c r="S21" i="1"/>
  <c r="W21" i="1" s="1"/>
  <c r="S19" i="1"/>
  <c r="W19" i="1" s="1"/>
  <c r="S18" i="1"/>
  <c r="W18" i="1" s="1"/>
  <c r="S17" i="1"/>
  <c r="W17" i="1" s="1"/>
  <c r="S16" i="1"/>
  <c r="W16" i="1" s="1"/>
  <c r="S15" i="1"/>
  <c r="W15" i="1" s="1"/>
  <c r="V37" i="2"/>
  <c r="V34" i="2"/>
  <c r="V32" i="2"/>
  <c r="V31" i="2"/>
  <c r="V30" i="2"/>
  <c r="V29" i="2"/>
  <c r="V28" i="2"/>
  <c r="V27" i="2"/>
  <c r="V26" i="2"/>
  <c r="V24" i="2"/>
  <c r="V23" i="2"/>
  <c r="V22" i="2"/>
  <c r="V21" i="2"/>
  <c r="V20" i="2"/>
  <c r="V19" i="2"/>
  <c r="V18" i="2"/>
  <c r="V16" i="2"/>
  <c r="V15" i="2"/>
  <c r="V14" i="2"/>
  <c r="V13" i="2"/>
  <c r="V12" i="2"/>
  <c r="V11" i="2"/>
  <c r="V10" i="2"/>
  <c r="V8" i="2"/>
  <c r="V7" i="2"/>
  <c r="V6" i="2"/>
  <c r="V5" i="2"/>
  <c r="Q44" i="3" l="1"/>
  <c r="Q41" i="1"/>
  <c r="S40" i="1"/>
  <c r="W37" i="1"/>
  <c r="W40" i="1" s="1"/>
  <c r="R41" i="1"/>
  <c r="S36" i="1"/>
  <c r="W28" i="1"/>
  <c r="W36" i="1"/>
  <c r="S28" i="1"/>
  <c r="X38" i="2" l="1"/>
  <c r="W38" i="2"/>
  <c r="V38" i="2"/>
  <c r="T38" i="2"/>
  <c r="S38" i="2"/>
  <c r="R38" i="2"/>
  <c r="P38" i="2"/>
  <c r="O38" i="2"/>
  <c r="N38" i="2"/>
  <c r="J38" i="2"/>
  <c r="I38" i="2"/>
  <c r="H38" i="2"/>
  <c r="G38" i="2"/>
  <c r="F38" i="2"/>
  <c r="E38" i="2"/>
  <c r="D38" i="2"/>
  <c r="Z34" i="2"/>
  <c r="AB33" i="2"/>
  <c r="X33" i="2"/>
  <c r="W33" i="2"/>
  <c r="V33" i="2"/>
  <c r="T33" i="2"/>
  <c r="S33" i="2"/>
  <c r="R33" i="2"/>
  <c r="P33" i="2"/>
  <c r="O33" i="2"/>
  <c r="N33" i="2"/>
  <c r="K33" i="2"/>
  <c r="J33" i="2"/>
  <c r="I33" i="2"/>
  <c r="H33" i="2"/>
  <c r="G33" i="2"/>
  <c r="F33" i="2"/>
  <c r="E33" i="2"/>
  <c r="D33" i="2"/>
  <c r="C33" i="2"/>
  <c r="R25" i="2"/>
  <c r="P25" i="2"/>
  <c r="O25" i="2"/>
  <c r="R17" i="2"/>
  <c r="P17" i="2"/>
  <c r="O17" i="2"/>
  <c r="R9" i="2"/>
  <c r="P9" i="2"/>
  <c r="O9" i="2"/>
  <c r="Q38" i="2" l="1"/>
  <c r="U33" i="2"/>
  <c r="Q33" i="2"/>
  <c r="Q17" i="2"/>
  <c r="O39" i="2"/>
  <c r="P39" i="2"/>
  <c r="Q9" i="2"/>
  <c r="R39" i="2"/>
  <c r="N7" i="13" s="1"/>
  <c r="Q25" i="2"/>
  <c r="Z40" i="1"/>
  <c r="Y40" i="1"/>
  <c r="T40" i="1"/>
  <c r="O40" i="2" l="1"/>
  <c r="Y34" i="2"/>
  <c r="Q39" i="2"/>
  <c r="R65" i="15" s="1"/>
  <c r="S65" i="15" s="1"/>
  <c r="R40" i="2"/>
  <c r="X40" i="1"/>
  <c r="T36" i="1"/>
  <c r="T28" i="1"/>
  <c r="T20" i="1"/>
  <c r="W14" i="1"/>
  <c r="S13" i="1"/>
  <c r="W13" i="1" s="1"/>
  <c r="T12" i="1"/>
  <c r="S11" i="1"/>
  <c r="W11" i="1" s="1"/>
  <c r="S10" i="1"/>
  <c r="W10" i="1" s="1"/>
  <c r="S9" i="1"/>
  <c r="W9" i="1" s="1"/>
  <c r="S8" i="1"/>
  <c r="W8" i="1" s="1"/>
  <c r="S7" i="1"/>
  <c r="W7" i="1" s="1"/>
  <c r="S6" i="1"/>
  <c r="W6" i="1" s="1"/>
  <c r="S5" i="1"/>
  <c r="U12" i="1"/>
  <c r="V12" i="1"/>
  <c r="U20" i="1"/>
  <c r="V20" i="1"/>
  <c r="U28" i="1"/>
  <c r="V28" i="1"/>
  <c r="U36" i="1"/>
  <c r="V36" i="1"/>
  <c r="V40" i="1"/>
  <c r="C40" i="1"/>
  <c r="L40" i="1"/>
  <c r="G40" i="1"/>
  <c r="F40" i="1"/>
  <c r="E40" i="1"/>
  <c r="M7" i="13" l="1"/>
  <c r="Q65" i="15"/>
  <c r="U41" i="1"/>
  <c r="R34" i="15" s="1"/>
  <c r="S34" i="15" s="1"/>
  <c r="V41" i="1"/>
  <c r="T41" i="1"/>
  <c r="S20" i="1"/>
  <c r="W20" i="1"/>
  <c r="AA8" i="1"/>
  <c r="S12" i="1"/>
  <c r="AB37" i="1"/>
  <c r="R41" i="2"/>
  <c r="Q42" i="2"/>
  <c r="N6" i="13"/>
  <c r="V42" i="1"/>
  <c r="AA37" i="1"/>
  <c r="S41" i="1" l="1"/>
  <c r="R64" i="15" s="1"/>
  <c r="S64" i="15" s="1"/>
  <c r="U44" i="1"/>
  <c r="U43" i="1"/>
  <c r="Q42" i="1"/>
  <c r="Q43" i="1"/>
  <c r="T42" i="1"/>
  <c r="U42" i="1"/>
  <c r="S44" i="1" l="1"/>
  <c r="M6" i="13"/>
  <c r="T43" i="1"/>
  <c r="J18" i="14" l="1"/>
  <c r="O22" i="12" l="1"/>
  <c r="O14" i="12"/>
  <c r="P14" i="12"/>
  <c r="R32" i="11"/>
  <c r="P8" i="11"/>
  <c r="O8" i="11"/>
  <c r="O40" i="11" s="1"/>
  <c r="D38" i="12"/>
  <c r="Y28" i="12"/>
  <c r="Y8" i="12"/>
  <c r="P38" i="12"/>
  <c r="P30" i="12"/>
  <c r="P22" i="12"/>
  <c r="P6" i="12"/>
  <c r="C38" i="12"/>
  <c r="D30" i="12"/>
  <c r="E30" i="12"/>
  <c r="F30" i="12"/>
  <c r="G30" i="12"/>
  <c r="H30" i="12"/>
  <c r="J30" i="12"/>
  <c r="K30" i="12"/>
  <c r="N30" i="12"/>
  <c r="R30" i="12"/>
  <c r="S30" i="12"/>
  <c r="T30" i="12"/>
  <c r="C30" i="12"/>
  <c r="D22" i="12"/>
  <c r="E22" i="12"/>
  <c r="F22" i="12"/>
  <c r="G22" i="12"/>
  <c r="H22" i="12"/>
  <c r="J22" i="12"/>
  <c r="K22" i="12"/>
  <c r="N22" i="12"/>
  <c r="R22" i="12"/>
  <c r="S22" i="12"/>
  <c r="T22" i="12"/>
  <c r="C22" i="12"/>
  <c r="D14" i="12"/>
  <c r="E14" i="12"/>
  <c r="F14" i="12"/>
  <c r="G14" i="12"/>
  <c r="H14" i="12"/>
  <c r="J14" i="12"/>
  <c r="K14" i="12"/>
  <c r="N14" i="12"/>
  <c r="R14" i="12"/>
  <c r="S14" i="12"/>
  <c r="T14" i="12"/>
  <c r="C14" i="12"/>
  <c r="T6" i="12"/>
  <c r="S6" i="12"/>
  <c r="R6" i="12"/>
  <c r="O6" i="12"/>
  <c r="N6" i="12"/>
  <c r="K6" i="12"/>
  <c r="J6" i="12"/>
  <c r="H6" i="12"/>
  <c r="G6" i="12"/>
  <c r="F6" i="12"/>
  <c r="E6" i="12"/>
  <c r="D6" i="12"/>
  <c r="C6" i="12"/>
  <c r="D8" i="11"/>
  <c r="P42" i="12" l="1"/>
  <c r="P43" i="12" s="1"/>
  <c r="C42" i="12"/>
  <c r="R30" i="15" s="1"/>
  <c r="S30" i="15" s="1"/>
  <c r="D42" i="12"/>
  <c r="Q38" i="12"/>
  <c r="Q22" i="12"/>
  <c r="Q42" i="12" s="1"/>
  <c r="R75" i="15" l="1"/>
  <c r="S75" i="15" s="1"/>
  <c r="Q43" i="12" l="1"/>
  <c r="M17" i="13"/>
  <c r="Q75" i="15"/>
  <c r="V38" i="11"/>
  <c r="V34" i="11"/>
  <c r="Z34" i="11" s="1"/>
  <c r="V33" i="11"/>
  <c r="V31" i="11"/>
  <c r="V30" i="11"/>
  <c r="V29" i="11"/>
  <c r="V28" i="11"/>
  <c r="V27" i="11"/>
  <c r="V26" i="11"/>
  <c r="V25" i="11"/>
  <c r="V23" i="11"/>
  <c r="V22" i="11"/>
  <c r="V21" i="11"/>
  <c r="V20" i="11"/>
  <c r="V19" i="11"/>
  <c r="V18" i="11"/>
  <c r="V17" i="11"/>
  <c r="V15" i="11"/>
  <c r="V14" i="11"/>
  <c r="V13" i="11"/>
  <c r="V12" i="11"/>
  <c r="V11" i="11"/>
  <c r="V10" i="11"/>
  <c r="V9" i="11"/>
  <c r="V5" i="11"/>
  <c r="V6" i="11"/>
  <c r="V7" i="11"/>
  <c r="D39" i="11"/>
  <c r="H39" i="11"/>
  <c r="R39" i="11"/>
  <c r="T39" i="11"/>
  <c r="S32" i="11"/>
  <c r="T32" i="11"/>
  <c r="S24" i="11"/>
  <c r="T24" i="11"/>
  <c r="T16" i="11"/>
  <c r="S8" i="11"/>
  <c r="T8" i="11"/>
  <c r="T40" i="11" s="1"/>
  <c r="D16" i="11"/>
  <c r="E16" i="11"/>
  <c r="F16" i="11"/>
  <c r="G16" i="11"/>
  <c r="H16" i="11"/>
  <c r="I16" i="11"/>
  <c r="J16" i="11"/>
  <c r="K16" i="11"/>
  <c r="N16" i="11"/>
  <c r="D24" i="11"/>
  <c r="E24" i="11"/>
  <c r="F24" i="11"/>
  <c r="G24" i="11"/>
  <c r="H24" i="11"/>
  <c r="I24" i="11"/>
  <c r="J24" i="11"/>
  <c r="K24" i="11"/>
  <c r="N24" i="11"/>
  <c r="E39" i="11"/>
  <c r="G39" i="11"/>
  <c r="I39" i="11"/>
  <c r="P40" i="11"/>
  <c r="D32" i="11"/>
  <c r="E32" i="11"/>
  <c r="F32" i="11"/>
  <c r="G32" i="11"/>
  <c r="H32" i="11"/>
  <c r="I32" i="11"/>
  <c r="J32" i="11"/>
  <c r="K32" i="11"/>
  <c r="N32" i="11"/>
  <c r="C32" i="11"/>
  <c r="C24" i="11"/>
  <c r="C16" i="11"/>
  <c r="E8" i="11"/>
  <c r="F8" i="11"/>
  <c r="G8" i="11"/>
  <c r="H8" i="11"/>
  <c r="I8" i="11"/>
  <c r="J8" i="11"/>
  <c r="K8" i="11"/>
  <c r="K40" i="11" s="1"/>
  <c r="N8" i="11"/>
  <c r="C8" i="11"/>
  <c r="Y34" i="11"/>
  <c r="R16" i="11"/>
  <c r="R24" i="11"/>
  <c r="R8" i="11"/>
  <c r="J40" i="11" l="1"/>
  <c r="C40" i="11"/>
  <c r="R29" i="15" s="1"/>
  <c r="S29" i="15" s="1"/>
  <c r="N40" i="11"/>
  <c r="V39" i="11"/>
  <c r="V8" i="11"/>
  <c r="R40" i="11"/>
  <c r="N16" i="13" s="1"/>
  <c r="V16" i="11"/>
  <c r="R41" i="11" l="1"/>
  <c r="E35" i="10"/>
  <c r="O35" i="10" l="1"/>
  <c r="P35" i="10"/>
  <c r="R35" i="10"/>
  <c r="R27" i="10"/>
  <c r="R19" i="10"/>
  <c r="R11" i="10"/>
  <c r="R41" i="10" s="1"/>
  <c r="V39" i="10"/>
  <c r="S27" i="10"/>
  <c r="T27" i="10"/>
  <c r="E27" i="10"/>
  <c r="F27" i="10"/>
  <c r="G27" i="10"/>
  <c r="H27" i="10"/>
  <c r="I27" i="10"/>
  <c r="J27" i="10"/>
  <c r="K27" i="10"/>
  <c r="N27" i="10"/>
  <c r="D27" i="10"/>
  <c r="C27" i="10"/>
  <c r="T19" i="10"/>
  <c r="E19" i="10"/>
  <c r="F19" i="10"/>
  <c r="G19" i="10"/>
  <c r="H19" i="10"/>
  <c r="I19" i="10"/>
  <c r="J19" i="10"/>
  <c r="K19" i="10"/>
  <c r="N19" i="10"/>
  <c r="D19" i="10"/>
  <c r="C19" i="10"/>
  <c r="T11" i="10"/>
  <c r="S11" i="10"/>
  <c r="G11" i="10"/>
  <c r="H11" i="10"/>
  <c r="I11" i="10"/>
  <c r="J11" i="10"/>
  <c r="K11" i="10"/>
  <c r="N11" i="10"/>
  <c r="E11" i="10"/>
  <c r="F11" i="10"/>
  <c r="D11" i="10"/>
  <c r="C11" i="10"/>
  <c r="E41" i="10" l="1"/>
  <c r="R88" i="15" s="1"/>
  <c r="S88" i="15" s="1"/>
  <c r="Y39" i="10"/>
  <c r="Y40" i="10" s="1"/>
  <c r="U40" i="10"/>
  <c r="Z39" i="10"/>
  <c r="Z40" i="10" s="1"/>
  <c r="V40" i="10"/>
  <c r="Q35" i="10"/>
  <c r="E15" i="13" l="1"/>
  <c r="N15" i="13"/>
  <c r="V30" i="10"/>
  <c r="V34" i="10"/>
  <c r="V33" i="10"/>
  <c r="V32" i="10"/>
  <c r="V31" i="10"/>
  <c r="V29" i="10"/>
  <c r="V28" i="10"/>
  <c r="V26" i="10"/>
  <c r="V25" i="10"/>
  <c r="V24" i="10"/>
  <c r="V23" i="10"/>
  <c r="V22" i="10"/>
  <c r="V21" i="10"/>
  <c r="V20" i="10"/>
  <c r="V18" i="10"/>
  <c r="V17" i="10"/>
  <c r="V16" i="10"/>
  <c r="V15" i="10"/>
  <c r="V14" i="10"/>
  <c r="V13" i="10"/>
  <c r="V12" i="10"/>
  <c r="V10" i="10"/>
  <c r="U10" i="10"/>
  <c r="V9" i="10"/>
  <c r="U9" i="10"/>
  <c r="V8" i="10"/>
  <c r="V7" i="10"/>
  <c r="V6" i="10"/>
  <c r="V5" i="10"/>
  <c r="P27" i="10"/>
  <c r="O27" i="10"/>
  <c r="O19" i="10"/>
  <c r="P11" i="10"/>
  <c r="O11" i="10"/>
  <c r="O41" i="10" s="1"/>
  <c r="S35" i="10"/>
  <c r="S41" i="10" s="1"/>
  <c r="R43" i="15" s="1"/>
  <c r="S43" i="15" s="1"/>
  <c r="T35" i="10"/>
  <c r="T41" i="10" s="1"/>
  <c r="P41" i="10" l="1"/>
  <c r="P42" i="10" s="1"/>
  <c r="O15" i="13"/>
  <c r="R42" i="10"/>
  <c r="Q11" i="10"/>
  <c r="Q19" i="10"/>
  <c r="Q27" i="10"/>
  <c r="S42" i="10"/>
  <c r="Q41" i="10" l="1"/>
  <c r="R73" i="15" s="1"/>
  <c r="S73" i="15" s="1"/>
  <c r="Q43" i="15"/>
  <c r="O42" i="10"/>
  <c r="T42" i="10"/>
  <c r="P15" i="13"/>
  <c r="S44" i="10"/>
  <c r="S43" i="10"/>
  <c r="Q73" i="15" l="1"/>
  <c r="M15" i="13"/>
  <c r="Q44" i="10"/>
  <c r="Q42" i="10"/>
  <c r="Q43" i="10"/>
  <c r="V36" i="9"/>
  <c r="Z36" i="9" s="1"/>
  <c r="Y36" i="9"/>
  <c r="V34" i="9"/>
  <c r="V33" i="9"/>
  <c r="V31" i="9"/>
  <c r="Y5" i="9"/>
  <c r="V5" i="9"/>
  <c r="Z5" i="9" s="1"/>
  <c r="R30" i="9"/>
  <c r="P30" i="9"/>
  <c r="O30" i="9"/>
  <c r="R22" i="9"/>
  <c r="P22" i="9"/>
  <c r="O22" i="9"/>
  <c r="R14" i="9"/>
  <c r="P14" i="9"/>
  <c r="O14" i="9"/>
  <c r="O41" i="9" s="1"/>
  <c r="R6" i="9"/>
  <c r="P6" i="9"/>
  <c r="P41" i="9" s="1"/>
  <c r="R41" i="9" l="1"/>
  <c r="V38" i="9"/>
  <c r="Q6" i="9"/>
  <c r="Q14" i="9"/>
  <c r="N14" i="13"/>
  <c r="Q22" i="9"/>
  <c r="Q30" i="9"/>
  <c r="P28" i="7"/>
  <c r="P20" i="7"/>
  <c r="P12" i="7"/>
  <c r="W36" i="7"/>
  <c r="O36" i="7"/>
  <c r="O28" i="7"/>
  <c r="O20" i="7"/>
  <c r="O12" i="7"/>
  <c r="Q41" i="9" l="1"/>
  <c r="R72" i="15" s="1"/>
  <c r="S72" i="15" s="1"/>
  <c r="P41" i="7"/>
  <c r="O41" i="7"/>
  <c r="P33" i="8"/>
  <c r="V35" i="8"/>
  <c r="Z35" i="8" s="1"/>
  <c r="R40" i="8"/>
  <c r="Q43" i="9" l="1"/>
  <c r="Q44" i="9"/>
  <c r="R42" i="9"/>
  <c r="Q72" i="15"/>
  <c r="M14" i="13"/>
  <c r="R33" i="8"/>
  <c r="R25" i="8"/>
  <c r="R17" i="8"/>
  <c r="R9" i="8"/>
  <c r="P25" i="8"/>
  <c r="O25" i="8"/>
  <c r="O33" i="8"/>
  <c r="Y32" i="8"/>
  <c r="Y23" i="8"/>
  <c r="O17" i="8"/>
  <c r="Y11" i="8"/>
  <c r="Y12" i="8"/>
  <c r="Y13" i="8"/>
  <c r="Y14" i="8"/>
  <c r="Y10" i="8"/>
  <c r="Y5" i="8"/>
  <c r="Y6" i="8"/>
  <c r="Y8" i="8"/>
  <c r="O9" i="8"/>
  <c r="P9" i="8"/>
  <c r="N33" i="8"/>
  <c r="Y39" i="8" l="1"/>
  <c r="P41" i="8"/>
  <c r="P42" i="8" s="1"/>
  <c r="Y34" i="8"/>
  <c r="Q33" i="8"/>
  <c r="R41" i="8"/>
  <c r="Q25" i="8"/>
  <c r="O41" i="8"/>
  <c r="Q17" i="8"/>
  <c r="Q9" i="8"/>
  <c r="V30" i="7"/>
  <c r="V31" i="7"/>
  <c r="V32" i="7"/>
  <c r="V33" i="7"/>
  <c r="V34" i="7"/>
  <c r="Z34" i="7" s="1"/>
  <c r="V35" i="7"/>
  <c r="V29" i="7"/>
  <c r="V22" i="7"/>
  <c r="V23" i="7"/>
  <c r="V24" i="7"/>
  <c r="V25" i="7"/>
  <c r="V26" i="7"/>
  <c r="V27" i="7"/>
  <c r="V21" i="7"/>
  <c r="V14" i="7"/>
  <c r="V15" i="7"/>
  <c r="V16" i="7"/>
  <c r="V17" i="7"/>
  <c r="V18" i="7"/>
  <c r="V19" i="7"/>
  <c r="V13" i="7"/>
  <c r="V6" i="7"/>
  <c r="V7" i="7"/>
  <c r="V8" i="7"/>
  <c r="V9" i="7"/>
  <c r="V10" i="7"/>
  <c r="V11" i="7"/>
  <c r="S12" i="7"/>
  <c r="U30" i="7"/>
  <c r="U31" i="7"/>
  <c r="U32" i="7"/>
  <c r="U33" i="7"/>
  <c r="Y33" i="7" s="1"/>
  <c r="U34" i="7"/>
  <c r="Y34" i="7" s="1"/>
  <c r="U35" i="7"/>
  <c r="U27" i="7"/>
  <c r="U26" i="7"/>
  <c r="U25" i="7"/>
  <c r="U24" i="7"/>
  <c r="U23" i="7"/>
  <c r="U14" i="7"/>
  <c r="U15" i="7"/>
  <c r="U16" i="7"/>
  <c r="U18" i="7"/>
  <c r="U19" i="7"/>
  <c r="U6" i="7"/>
  <c r="U7" i="7"/>
  <c r="U8" i="7"/>
  <c r="U9" i="7"/>
  <c r="U10" i="7"/>
  <c r="U11" i="7"/>
  <c r="R36" i="7"/>
  <c r="R28" i="7"/>
  <c r="R20" i="7"/>
  <c r="R12" i="7"/>
  <c r="T12" i="7"/>
  <c r="S20" i="7"/>
  <c r="T20" i="7"/>
  <c r="S28" i="7"/>
  <c r="T28" i="7"/>
  <c r="S36" i="7"/>
  <c r="T36" i="7"/>
  <c r="T41" i="7" l="1"/>
  <c r="S41" i="7"/>
  <c r="R40" i="15" s="1"/>
  <c r="S40" i="15" s="1"/>
  <c r="R41" i="7"/>
  <c r="V36" i="7"/>
  <c r="N12" i="13"/>
  <c r="N13" i="13"/>
  <c r="R42" i="8"/>
  <c r="U29" i="7"/>
  <c r="Q36" i="7"/>
  <c r="U13" i="7"/>
  <c r="Q20" i="7"/>
  <c r="Q12" i="7"/>
  <c r="Q41" i="8"/>
  <c r="O42" i="8"/>
  <c r="U22" i="7"/>
  <c r="Q28" i="7"/>
  <c r="U21" i="7"/>
  <c r="U17" i="7"/>
  <c r="Q44" i="8" l="1"/>
  <c r="R71" i="15"/>
  <c r="S71" i="15" s="1"/>
  <c r="Q41" i="7"/>
  <c r="R70" i="15" s="1"/>
  <c r="S70" i="15" s="1"/>
  <c r="Q44" i="7"/>
  <c r="O12" i="13"/>
  <c r="M13" i="13"/>
  <c r="T42" i="7"/>
  <c r="P12" i="13"/>
  <c r="R43" i="8"/>
  <c r="Q42" i="8"/>
  <c r="S43" i="7"/>
  <c r="S42" i="7"/>
  <c r="M12" i="13" l="1"/>
  <c r="Q43" i="7"/>
  <c r="R76" i="15"/>
  <c r="Q71" i="15"/>
  <c r="Q40" i="15"/>
  <c r="R43" i="7"/>
  <c r="V35" i="5"/>
  <c r="Z35" i="5" s="1"/>
  <c r="Q70" i="15" l="1"/>
  <c r="V38" i="4"/>
  <c r="V37" i="4"/>
  <c r="V35" i="4"/>
  <c r="V34" i="4"/>
  <c r="V33" i="4"/>
  <c r="V32" i="4"/>
  <c r="V31" i="4"/>
  <c r="V30" i="4"/>
  <c r="V29" i="4"/>
  <c r="V36" i="4" s="1"/>
  <c r="V27" i="4"/>
  <c r="V26" i="4"/>
  <c r="V25" i="4"/>
  <c r="V24" i="4"/>
  <c r="V23" i="4"/>
  <c r="V22" i="4"/>
  <c r="V21" i="4"/>
  <c r="V19" i="4"/>
  <c r="V18" i="4"/>
  <c r="V17" i="4"/>
  <c r="V16" i="4"/>
  <c r="V15" i="4"/>
  <c r="V14" i="4"/>
  <c r="AB40" i="3" l="1"/>
  <c r="Y37" i="3"/>
  <c r="Z37" i="3"/>
  <c r="Y38" i="2"/>
  <c r="Z37" i="2"/>
  <c r="Z38" i="2" s="1"/>
  <c r="AD36" i="1"/>
  <c r="Z36" i="1"/>
  <c r="Y36" i="1"/>
  <c r="L36" i="1"/>
  <c r="H36" i="1"/>
  <c r="G36" i="1"/>
  <c r="F36" i="1"/>
  <c r="E36" i="1"/>
  <c r="D36" i="1"/>
  <c r="D41" i="1" s="1"/>
  <c r="C36" i="1"/>
  <c r="AA39" i="1" l="1"/>
  <c r="AA40" i="1" s="1"/>
  <c r="AB39" i="1"/>
  <c r="AB40" i="1" s="1"/>
  <c r="I80" i="15"/>
  <c r="L91" i="15" l="1"/>
  <c r="J91" i="15"/>
  <c r="H91" i="15"/>
  <c r="F91" i="15"/>
  <c r="D91" i="15"/>
  <c r="G91" i="15" s="1"/>
  <c r="C91" i="15"/>
  <c r="E91" i="15" s="1"/>
  <c r="M90" i="15"/>
  <c r="K90" i="15"/>
  <c r="I90" i="15"/>
  <c r="G90" i="15"/>
  <c r="E90" i="15"/>
  <c r="M89" i="15"/>
  <c r="K89" i="15"/>
  <c r="I89" i="15"/>
  <c r="G89" i="15"/>
  <c r="E89" i="15"/>
  <c r="M88" i="15"/>
  <c r="K88" i="15"/>
  <c r="I88" i="15"/>
  <c r="G88" i="15"/>
  <c r="E88" i="15"/>
  <c r="M87" i="15"/>
  <c r="K87" i="15"/>
  <c r="I87" i="15"/>
  <c r="G87" i="15"/>
  <c r="E87" i="15"/>
  <c r="M86" i="15"/>
  <c r="K86" i="15"/>
  <c r="I86" i="15"/>
  <c r="G86" i="15"/>
  <c r="E86" i="15"/>
  <c r="M85" i="15"/>
  <c r="K85" i="15"/>
  <c r="I85" i="15"/>
  <c r="G85" i="15"/>
  <c r="E85" i="15"/>
  <c r="M84" i="15"/>
  <c r="K84" i="15"/>
  <c r="I84" i="15"/>
  <c r="G84" i="15"/>
  <c r="E84" i="15"/>
  <c r="M83" i="15"/>
  <c r="K83" i="15"/>
  <c r="I83" i="15"/>
  <c r="G83" i="15"/>
  <c r="E83" i="15"/>
  <c r="M82" i="15"/>
  <c r="K82" i="15"/>
  <c r="I82" i="15"/>
  <c r="G82" i="15"/>
  <c r="E82" i="15"/>
  <c r="M81" i="15"/>
  <c r="K81" i="15"/>
  <c r="I81" i="15"/>
  <c r="G81" i="15"/>
  <c r="E81" i="15"/>
  <c r="M80" i="15"/>
  <c r="K80" i="15"/>
  <c r="G80" i="15"/>
  <c r="E80" i="15"/>
  <c r="M79" i="15"/>
  <c r="K79" i="15"/>
  <c r="I79" i="15"/>
  <c r="G79" i="15"/>
  <c r="E79" i="15"/>
  <c r="I91" i="15" l="1"/>
  <c r="M91" i="15"/>
  <c r="K91" i="15"/>
  <c r="K36" i="7" l="1"/>
  <c r="N36" i="7"/>
  <c r="I36" i="7"/>
  <c r="J36" i="7"/>
  <c r="G36" i="7"/>
  <c r="H36" i="7"/>
  <c r="E36" i="7"/>
  <c r="F36" i="7"/>
  <c r="D36" i="7"/>
  <c r="Y40" i="5" l="1"/>
  <c r="V39" i="5"/>
  <c r="Z39" i="5" l="1"/>
  <c r="J17" i="14" l="1"/>
  <c r="K18" i="14" s="1"/>
  <c r="J76" i="15" l="1"/>
  <c r="H76" i="15"/>
  <c r="F76" i="15"/>
  <c r="D76" i="15"/>
  <c r="C76" i="15"/>
  <c r="M75" i="15"/>
  <c r="K75" i="15"/>
  <c r="I75" i="15"/>
  <c r="G75" i="15"/>
  <c r="E75" i="15"/>
  <c r="M74" i="15"/>
  <c r="K74" i="15"/>
  <c r="I74" i="15"/>
  <c r="G74" i="15"/>
  <c r="E74" i="15"/>
  <c r="M73" i="15"/>
  <c r="K73" i="15"/>
  <c r="I73" i="15"/>
  <c r="G73" i="15"/>
  <c r="E73" i="15"/>
  <c r="M72" i="15"/>
  <c r="K72" i="15"/>
  <c r="I72" i="15"/>
  <c r="G72" i="15"/>
  <c r="E72" i="15"/>
  <c r="M71" i="15"/>
  <c r="K71" i="15"/>
  <c r="I71" i="15"/>
  <c r="G71" i="15"/>
  <c r="E71" i="15"/>
  <c r="M70" i="15"/>
  <c r="K70" i="15"/>
  <c r="I70" i="15"/>
  <c r="G70" i="15"/>
  <c r="E70" i="15"/>
  <c r="M69" i="15"/>
  <c r="K69" i="15"/>
  <c r="I69" i="15"/>
  <c r="G69" i="15"/>
  <c r="E69" i="15"/>
  <c r="M68" i="15"/>
  <c r="K68" i="15"/>
  <c r="I68" i="15"/>
  <c r="G68" i="15"/>
  <c r="E68" i="15"/>
  <c r="M67" i="15"/>
  <c r="K67" i="15"/>
  <c r="I67" i="15"/>
  <c r="G67" i="15"/>
  <c r="E67" i="15"/>
  <c r="M66" i="15"/>
  <c r="K66" i="15"/>
  <c r="I66" i="15"/>
  <c r="G66" i="15"/>
  <c r="E66" i="15"/>
  <c r="K65" i="15"/>
  <c r="I65" i="15"/>
  <c r="G65" i="15"/>
  <c r="E65" i="15"/>
  <c r="M64" i="15"/>
  <c r="K64" i="15"/>
  <c r="I64" i="15"/>
  <c r="G64" i="15"/>
  <c r="E64" i="15"/>
  <c r="J61" i="15"/>
  <c r="H61" i="15"/>
  <c r="F61" i="15"/>
  <c r="D61" i="15"/>
  <c r="C61" i="15"/>
  <c r="M60" i="15"/>
  <c r="K60" i="15"/>
  <c r="I60" i="15"/>
  <c r="G60" i="15"/>
  <c r="E60" i="15"/>
  <c r="M59" i="15"/>
  <c r="K59" i="15"/>
  <c r="I59" i="15"/>
  <c r="G59" i="15"/>
  <c r="E59" i="15"/>
  <c r="M58" i="15"/>
  <c r="K58" i="15"/>
  <c r="I58" i="15"/>
  <c r="G58" i="15"/>
  <c r="E58" i="15"/>
  <c r="M57" i="15"/>
  <c r="K57" i="15"/>
  <c r="I57" i="15"/>
  <c r="G57" i="15"/>
  <c r="E57" i="15"/>
  <c r="M56" i="15"/>
  <c r="K56" i="15"/>
  <c r="I56" i="15"/>
  <c r="G56" i="15"/>
  <c r="E56" i="15"/>
  <c r="M55" i="15"/>
  <c r="K55" i="15"/>
  <c r="I55" i="15"/>
  <c r="G55" i="15"/>
  <c r="E55" i="15"/>
  <c r="M54" i="15"/>
  <c r="K54" i="15"/>
  <c r="I54" i="15"/>
  <c r="G54" i="15"/>
  <c r="E54" i="15"/>
  <c r="M53" i="15"/>
  <c r="K53" i="15"/>
  <c r="I53" i="15"/>
  <c r="G53" i="15"/>
  <c r="E53" i="15"/>
  <c r="M52" i="15"/>
  <c r="K52" i="15"/>
  <c r="I52" i="15"/>
  <c r="G52" i="15"/>
  <c r="E52" i="15"/>
  <c r="M51" i="15"/>
  <c r="K51" i="15"/>
  <c r="I51" i="15"/>
  <c r="G51" i="15"/>
  <c r="E51" i="15"/>
  <c r="M50" i="15"/>
  <c r="K50" i="15"/>
  <c r="I50" i="15"/>
  <c r="G50" i="15"/>
  <c r="E50" i="15"/>
  <c r="K49" i="15"/>
  <c r="I49" i="15"/>
  <c r="G49" i="15"/>
  <c r="E49" i="15"/>
  <c r="J46" i="15"/>
  <c r="F46" i="15"/>
  <c r="D46" i="15"/>
  <c r="C46" i="15"/>
  <c r="M45" i="15"/>
  <c r="K45" i="15"/>
  <c r="I45" i="15"/>
  <c r="G45" i="15"/>
  <c r="E45" i="15"/>
  <c r="M44" i="15"/>
  <c r="K44" i="15"/>
  <c r="I44" i="15"/>
  <c r="G44" i="15"/>
  <c r="E44" i="15"/>
  <c r="M43" i="15"/>
  <c r="K43" i="15"/>
  <c r="I43" i="15"/>
  <c r="G43" i="15"/>
  <c r="E43" i="15"/>
  <c r="M42" i="15"/>
  <c r="K42" i="15"/>
  <c r="I42" i="15"/>
  <c r="G42" i="15"/>
  <c r="E42" i="15"/>
  <c r="M41" i="15"/>
  <c r="K41" i="15"/>
  <c r="I41" i="15"/>
  <c r="G41" i="15"/>
  <c r="E41" i="15"/>
  <c r="M40" i="15"/>
  <c r="K40" i="15"/>
  <c r="I40" i="15"/>
  <c r="H46" i="15"/>
  <c r="G40" i="15"/>
  <c r="E40" i="15"/>
  <c r="M39" i="15"/>
  <c r="K39" i="15"/>
  <c r="I39" i="15"/>
  <c r="G39" i="15"/>
  <c r="E39" i="15"/>
  <c r="M38" i="15"/>
  <c r="K38" i="15"/>
  <c r="I38" i="15"/>
  <c r="G38" i="15"/>
  <c r="E38" i="15"/>
  <c r="M37" i="15"/>
  <c r="K37" i="15"/>
  <c r="I37" i="15"/>
  <c r="G37" i="15"/>
  <c r="E37" i="15"/>
  <c r="M36" i="15"/>
  <c r="K36" i="15"/>
  <c r="I36" i="15"/>
  <c r="G36" i="15"/>
  <c r="E36" i="15"/>
  <c r="M35" i="15"/>
  <c r="K35" i="15"/>
  <c r="I35" i="15"/>
  <c r="G35" i="15"/>
  <c r="E35" i="15"/>
  <c r="M34" i="15"/>
  <c r="K34" i="15"/>
  <c r="I34" i="15"/>
  <c r="G34" i="15"/>
  <c r="E34" i="15"/>
  <c r="J31" i="15"/>
  <c r="H31" i="15"/>
  <c r="F31" i="15"/>
  <c r="D31" i="15"/>
  <c r="C31" i="15"/>
  <c r="M30" i="15"/>
  <c r="K30" i="15"/>
  <c r="I30" i="15"/>
  <c r="G30" i="15"/>
  <c r="E30" i="15"/>
  <c r="M29" i="15"/>
  <c r="K29" i="15"/>
  <c r="I29" i="15"/>
  <c r="G29" i="15"/>
  <c r="E29" i="15"/>
  <c r="M28" i="15"/>
  <c r="K28" i="15"/>
  <c r="I28" i="15"/>
  <c r="G28" i="15"/>
  <c r="E28" i="15"/>
  <c r="M27" i="15"/>
  <c r="K27" i="15"/>
  <c r="I27" i="15"/>
  <c r="G27" i="15"/>
  <c r="E27" i="15"/>
  <c r="M26" i="15"/>
  <c r="K26" i="15"/>
  <c r="I26" i="15"/>
  <c r="G26" i="15"/>
  <c r="E26" i="15"/>
  <c r="M25" i="15"/>
  <c r="K25" i="15"/>
  <c r="I25" i="15"/>
  <c r="G25" i="15"/>
  <c r="E25" i="15"/>
  <c r="M24" i="15"/>
  <c r="K24" i="15"/>
  <c r="I24" i="15"/>
  <c r="G24" i="15"/>
  <c r="E24" i="15"/>
  <c r="M23" i="15"/>
  <c r="K23" i="15"/>
  <c r="I23" i="15"/>
  <c r="G23" i="15"/>
  <c r="E23" i="15"/>
  <c r="M22" i="15"/>
  <c r="K22" i="15"/>
  <c r="I22" i="15"/>
  <c r="G22" i="15"/>
  <c r="E22" i="15"/>
  <c r="M21" i="15"/>
  <c r="K21" i="15"/>
  <c r="I21" i="15"/>
  <c r="G21" i="15"/>
  <c r="E21" i="15"/>
  <c r="M20" i="15"/>
  <c r="K20" i="15"/>
  <c r="I20" i="15"/>
  <c r="G20" i="15"/>
  <c r="E20" i="15"/>
  <c r="K19" i="15"/>
  <c r="I19" i="15"/>
  <c r="G19" i="15"/>
  <c r="E19" i="15"/>
  <c r="J16" i="15"/>
  <c r="H16" i="15"/>
  <c r="F16" i="15"/>
  <c r="D16" i="15"/>
  <c r="C16" i="15"/>
  <c r="M15" i="15"/>
  <c r="K15" i="15"/>
  <c r="I15" i="15"/>
  <c r="G15" i="15"/>
  <c r="E15" i="15"/>
  <c r="M14" i="15"/>
  <c r="K14" i="15"/>
  <c r="I14" i="15"/>
  <c r="G14" i="15"/>
  <c r="E14" i="15"/>
  <c r="M13" i="15"/>
  <c r="K13" i="15"/>
  <c r="I13" i="15"/>
  <c r="G13" i="15"/>
  <c r="E13" i="15"/>
  <c r="M12" i="15"/>
  <c r="K12" i="15"/>
  <c r="I12" i="15"/>
  <c r="G12" i="15"/>
  <c r="E12" i="15"/>
  <c r="M11" i="15"/>
  <c r="K11" i="15"/>
  <c r="I11" i="15"/>
  <c r="G11" i="15"/>
  <c r="E11" i="15"/>
  <c r="M10" i="15"/>
  <c r="K10" i="15"/>
  <c r="I10" i="15"/>
  <c r="G10" i="15"/>
  <c r="E10" i="15"/>
  <c r="M9" i="15"/>
  <c r="K9" i="15"/>
  <c r="I9" i="15"/>
  <c r="G9" i="15"/>
  <c r="E9" i="15"/>
  <c r="M8" i="15"/>
  <c r="K8" i="15"/>
  <c r="I8" i="15"/>
  <c r="G8" i="15"/>
  <c r="E8" i="15"/>
  <c r="M7" i="15"/>
  <c r="K7" i="15"/>
  <c r="I7" i="15"/>
  <c r="G7" i="15"/>
  <c r="E7" i="15"/>
  <c r="M6" i="15"/>
  <c r="K6" i="15"/>
  <c r="I6" i="15"/>
  <c r="G6" i="15"/>
  <c r="E6" i="15"/>
  <c r="M5" i="15"/>
  <c r="K5" i="15"/>
  <c r="I5" i="15"/>
  <c r="G5" i="15"/>
  <c r="E5" i="15"/>
  <c r="K4" i="15"/>
  <c r="I4" i="15"/>
  <c r="G4" i="15"/>
  <c r="E4" i="15"/>
  <c r="I76" i="15" l="1"/>
  <c r="K31" i="15"/>
  <c r="I16" i="15"/>
  <c r="G76" i="15"/>
  <c r="E31" i="15"/>
  <c r="G46" i="15"/>
  <c r="K61" i="15"/>
  <c r="I31" i="15"/>
  <c r="G61" i="15"/>
  <c r="K76" i="15"/>
  <c r="L76" i="15"/>
  <c r="L61" i="15"/>
  <c r="O61" i="15" s="1"/>
  <c r="L31" i="15"/>
  <c r="L46" i="15"/>
  <c r="I61" i="15"/>
  <c r="E46" i="15"/>
  <c r="K16" i="15"/>
  <c r="I46" i="15"/>
  <c r="K46" i="15"/>
  <c r="E16" i="15"/>
  <c r="G31" i="15"/>
  <c r="M49" i="15"/>
  <c r="E76" i="15"/>
  <c r="M19" i="15"/>
  <c r="M65" i="15"/>
  <c r="L16" i="15"/>
  <c r="G16" i="15"/>
  <c r="E61" i="15"/>
  <c r="M46" i="15" l="1"/>
  <c r="M31" i="15"/>
  <c r="M61" i="15"/>
  <c r="M76" i="15"/>
  <c r="M16" i="15"/>
  <c r="V37" i="12" l="1"/>
  <c r="Z37" i="12" s="1"/>
  <c r="Y37" i="12"/>
  <c r="V34" i="12"/>
  <c r="Z34" i="12" s="1"/>
  <c r="Y34" i="12"/>
  <c r="V33" i="12"/>
  <c r="Z33" i="12" s="1"/>
  <c r="Y33" i="12"/>
  <c r="V32" i="12"/>
  <c r="Z32" i="12" s="1"/>
  <c r="Y32" i="12"/>
  <c r="Z31" i="12"/>
  <c r="V29" i="12"/>
  <c r="V28" i="12"/>
  <c r="V27" i="12"/>
  <c r="V26" i="12"/>
  <c r="V25" i="12"/>
  <c r="V24" i="12"/>
  <c r="V23" i="12"/>
  <c r="V21" i="12"/>
  <c r="V20" i="12"/>
  <c r="V19" i="12"/>
  <c r="V18" i="12"/>
  <c r="V17" i="12"/>
  <c r="V16" i="12"/>
  <c r="V15" i="12"/>
  <c r="V10" i="12"/>
  <c r="V9" i="12"/>
  <c r="V7" i="12"/>
  <c r="Z7" i="12" s="1"/>
  <c r="V13" i="12"/>
  <c r="V12" i="12"/>
  <c r="V11" i="12"/>
  <c r="V5" i="12"/>
  <c r="Z5" i="12" s="1"/>
  <c r="Y5" i="12"/>
  <c r="J38" i="12"/>
  <c r="J42" i="12" s="1"/>
  <c r="I38" i="12"/>
  <c r="I42" i="12" s="1"/>
  <c r="Y8" i="11"/>
  <c r="Z7" i="11"/>
  <c r="Z6" i="11"/>
  <c r="Z5" i="11"/>
  <c r="J35" i="10"/>
  <c r="J41" i="10" s="1"/>
  <c r="I35" i="10"/>
  <c r="I41" i="10" s="1"/>
  <c r="J30" i="9"/>
  <c r="I30" i="9"/>
  <c r="J22" i="9"/>
  <c r="I22" i="9"/>
  <c r="J14" i="9"/>
  <c r="I14" i="9"/>
  <c r="J6" i="9"/>
  <c r="I6" i="9"/>
  <c r="V39" i="8"/>
  <c r="V34" i="8"/>
  <c r="V32" i="8"/>
  <c r="V31" i="8"/>
  <c r="V30" i="8"/>
  <c r="V29" i="8"/>
  <c r="V28" i="8"/>
  <c r="V27" i="8"/>
  <c r="V26" i="8"/>
  <c r="V24" i="8"/>
  <c r="V23" i="8"/>
  <c r="V22" i="8"/>
  <c r="V21" i="8"/>
  <c r="V20" i="8"/>
  <c r="V19" i="8"/>
  <c r="V18" i="8"/>
  <c r="V16" i="8"/>
  <c r="V15" i="8"/>
  <c r="V14" i="8"/>
  <c r="V13" i="8"/>
  <c r="V12" i="8"/>
  <c r="V11" i="8"/>
  <c r="V10" i="8"/>
  <c r="V8" i="8"/>
  <c r="V7" i="8"/>
  <c r="V6" i="8"/>
  <c r="V5" i="8"/>
  <c r="J40" i="8"/>
  <c r="I40" i="8"/>
  <c r="J33" i="8"/>
  <c r="I33" i="8"/>
  <c r="J25" i="8"/>
  <c r="I25" i="8"/>
  <c r="J17" i="8"/>
  <c r="I17" i="8"/>
  <c r="J9" i="8"/>
  <c r="I9" i="8"/>
  <c r="J28" i="7"/>
  <c r="I28" i="7"/>
  <c r="J20" i="7"/>
  <c r="I20" i="7"/>
  <c r="J12" i="7"/>
  <c r="I12" i="7"/>
  <c r="V33" i="5"/>
  <c r="V32" i="5"/>
  <c r="V31" i="5"/>
  <c r="V30" i="5"/>
  <c r="V29" i="5"/>
  <c r="V28" i="5"/>
  <c r="V27" i="5"/>
  <c r="V25" i="5"/>
  <c r="V24" i="5"/>
  <c r="V23" i="5"/>
  <c r="V21" i="5"/>
  <c r="V20" i="5"/>
  <c r="V19" i="5"/>
  <c r="V17" i="5"/>
  <c r="V16" i="5"/>
  <c r="V15" i="5"/>
  <c r="V14" i="5"/>
  <c r="V13" i="5"/>
  <c r="V12" i="5"/>
  <c r="V11" i="5"/>
  <c r="V6" i="5"/>
  <c r="V5" i="5"/>
  <c r="V9" i="5"/>
  <c r="V8" i="5"/>
  <c r="V7" i="5"/>
  <c r="J34" i="5"/>
  <c r="I34" i="5"/>
  <c r="J26" i="5"/>
  <c r="V38" i="5" s="1"/>
  <c r="I26" i="5"/>
  <c r="J18" i="5"/>
  <c r="I18" i="5"/>
  <c r="J10" i="5"/>
  <c r="V22" i="5" s="1"/>
  <c r="I10" i="5"/>
  <c r="J39" i="4"/>
  <c r="I39" i="4"/>
  <c r="J36" i="4"/>
  <c r="I36" i="4"/>
  <c r="J28" i="4"/>
  <c r="I28" i="4"/>
  <c r="J20" i="4"/>
  <c r="I20" i="4"/>
  <c r="J32" i="3"/>
  <c r="I32" i="3"/>
  <c r="J24" i="3"/>
  <c r="I24" i="3"/>
  <c r="J16" i="3"/>
  <c r="I16" i="3"/>
  <c r="J8" i="3"/>
  <c r="I8" i="3"/>
  <c r="I9" i="2"/>
  <c r="J25" i="2"/>
  <c r="I25" i="2"/>
  <c r="J17" i="2"/>
  <c r="I17" i="2"/>
  <c r="J9" i="2"/>
  <c r="L28" i="1"/>
  <c r="L41" i="1" s="1"/>
  <c r="J6" i="13" s="1"/>
  <c r="Y38" i="12" l="1"/>
  <c r="Z38" i="12"/>
  <c r="I41" i="9"/>
  <c r="J41" i="9"/>
  <c r="I41" i="7"/>
  <c r="I12" i="13" s="1"/>
  <c r="J41" i="7"/>
  <c r="Z38" i="5"/>
  <c r="Z40" i="5" s="1"/>
  <c r="V40" i="5"/>
  <c r="J41" i="5"/>
  <c r="J10" i="13" s="1"/>
  <c r="I39" i="2"/>
  <c r="J39" i="2"/>
  <c r="J12" i="13"/>
  <c r="V10" i="5"/>
  <c r="I41" i="5"/>
  <c r="I10" i="13" s="1"/>
  <c r="U10" i="5"/>
  <c r="J15" i="13"/>
  <c r="V40" i="8"/>
  <c r="I41" i="8"/>
  <c r="I13" i="13" s="1"/>
  <c r="J41" i="8"/>
  <c r="J13" i="13" s="1"/>
  <c r="U36" i="7"/>
  <c r="X36" i="1"/>
  <c r="J41" i="3"/>
  <c r="J14" i="13"/>
  <c r="I40" i="11"/>
  <c r="I17" i="13"/>
  <c r="I40" i="4"/>
  <c r="I14" i="13"/>
  <c r="J40" i="4"/>
  <c r="I41" i="3"/>
  <c r="I8" i="13" s="1"/>
  <c r="I44" i="5" l="1"/>
  <c r="J42" i="10"/>
  <c r="L42" i="1"/>
  <c r="J42" i="8"/>
  <c r="I44" i="10"/>
  <c r="I15" i="13"/>
  <c r="J43" i="12"/>
  <c r="J17" i="13"/>
  <c r="J41" i="11"/>
  <c r="J16" i="13"/>
  <c r="I41" i="11"/>
  <c r="I16" i="13"/>
  <c r="J41" i="4"/>
  <c r="J9" i="13"/>
  <c r="I41" i="4"/>
  <c r="I9" i="13"/>
  <c r="J42" i="3"/>
  <c r="J8" i="13"/>
  <c r="J40" i="2"/>
  <c r="J7" i="13"/>
  <c r="I40" i="2"/>
  <c r="I42" i="10"/>
  <c r="I11" i="13"/>
  <c r="J11" i="13"/>
  <c r="I42" i="3"/>
  <c r="I44" i="8"/>
  <c r="J42" i="7"/>
  <c r="I44" i="12"/>
  <c r="J42" i="9"/>
  <c r="I44" i="3"/>
  <c r="I42" i="9"/>
  <c r="I43" i="10"/>
  <c r="I41" i="2"/>
  <c r="I42" i="7"/>
  <c r="I42" i="8"/>
  <c r="I43" i="9"/>
  <c r="I42" i="11"/>
  <c r="I43" i="4"/>
  <c r="I45" i="12"/>
  <c r="I43" i="12"/>
  <c r="I42" i="4"/>
  <c r="I42" i="2"/>
  <c r="I43" i="8"/>
  <c r="I44" i="9"/>
  <c r="I43" i="3"/>
  <c r="I44" i="7"/>
  <c r="I43" i="11"/>
  <c r="I43" i="7"/>
  <c r="J42" i="5"/>
  <c r="I43" i="5"/>
  <c r="I42" i="5"/>
  <c r="J6" i="14"/>
  <c r="J16" i="14"/>
  <c r="J14" i="14"/>
  <c r="J13" i="14"/>
  <c r="J9" i="14"/>
  <c r="J8" i="14"/>
  <c r="J7" i="14"/>
  <c r="AB39" i="11"/>
  <c r="AB38" i="12"/>
  <c r="X38" i="12"/>
  <c r="V38" i="12"/>
  <c r="U38" i="12"/>
  <c r="T38" i="12"/>
  <c r="T42" i="12" s="1"/>
  <c r="S38" i="12"/>
  <c r="S42" i="12" s="1"/>
  <c r="R45" i="15" s="1"/>
  <c r="S45" i="15" s="1"/>
  <c r="R38" i="12"/>
  <c r="R42" i="12" s="1"/>
  <c r="O38" i="12"/>
  <c r="O42" i="12" s="1"/>
  <c r="N38" i="12"/>
  <c r="N42" i="12" s="1"/>
  <c r="K38" i="12"/>
  <c r="K42" i="12" s="1"/>
  <c r="H38" i="12"/>
  <c r="H42" i="12" s="1"/>
  <c r="G38" i="12"/>
  <c r="G42" i="12" s="1"/>
  <c r="F38" i="12"/>
  <c r="F42" i="12" s="1"/>
  <c r="E38" i="12"/>
  <c r="E42" i="12" s="1"/>
  <c r="R90" i="15" s="1"/>
  <c r="S90" i="15" s="1"/>
  <c r="B14" i="12"/>
  <c r="B22" i="12" s="1"/>
  <c r="B30" i="12" s="1"/>
  <c r="B38" i="12" s="1"/>
  <c r="A7" i="12"/>
  <c r="A8" i="12" s="1"/>
  <c r="A9" i="12" s="1"/>
  <c r="A10" i="12" s="1"/>
  <c r="A11" i="12" s="1"/>
  <c r="A12" i="12" s="1"/>
  <c r="A13" i="12" s="1"/>
  <c r="A15" i="12" s="1"/>
  <c r="A16" i="12" s="1"/>
  <c r="A17" i="12" s="1"/>
  <c r="A18" i="12" s="1"/>
  <c r="A19" i="12" s="1"/>
  <c r="A20" i="12" s="1"/>
  <c r="A21" i="12" s="1"/>
  <c r="A23" i="12" s="1"/>
  <c r="A24" i="12" s="1"/>
  <c r="A25" i="12" s="1"/>
  <c r="A26" i="12" s="1"/>
  <c r="A27" i="12" s="1"/>
  <c r="A28" i="12" s="1"/>
  <c r="A29" i="12" s="1"/>
  <c r="A31" i="12" s="1"/>
  <c r="A32" i="12" s="1"/>
  <c r="A33" i="12" s="1"/>
  <c r="A34" i="12" s="1"/>
  <c r="A35" i="12" s="1"/>
  <c r="A36" i="12" s="1"/>
  <c r="A37" i="12" s="1"/>
  <c r="A39" i="12" s="1"/>
  <c r="A40" i="12" s="1"/>
  <c r="AB30" i="12"/>
  <c r="X30" i="12"/>
  <c r="Z29" i="12"/>
  <c r="Z28" i="12"/>
  <c r="Z27" i="12"/>
  <c r="Y27" i="12"/>
  <c r="Z26" i="12"/>
  <c r="Y26" i="12"/>
  <c r="Z25" i="12"/>
  <c r="Y24" i="12"/>
  <c r="Z23" i="12"/>
  <c r="Y23" i="12"/>
  <c r="AB22" i="12"/>
  <c r="X22" i="12"/>
  <c r="Z21" i="12"/>
  <c r="Y21" i="12"/>
  <c r="Z20" i="12"/>
  <c r="Y20" i="12"/>
  <c r="Z19" i="12"/>
  <c r="Y19" i="12"/>
  <c r="Y18" i="12"/>
  <c r="Z18" i="12"/>
  <c r="Z17" i="12"/>
  <c r="Y17" i="12"/>
  <c r="Z16" i="12"/>
  <c r="Y15" i="12"/>
  <c r="AB14" i="12"/>
  <c r="X14" i="12"/>
  <c r="Y13" i="12"/>
  <c r="Z13" i="12"/>
  <c r="Z12" i="12"/>
  <c r="Y12" i="12"/>
  <c r="Z11" i="12"/>
  <c r="Y11" i="12"/>
  <c r="Y10" i="12"/>
  <c r="Z10" i="12"/>
  <c r="Z9" i="12"/>
  <c r="Y9" i="12"/>
  <c r="Z8" i="12"/>
  <c r="AB6" i="12"/>
  <c r="X6" i="12"/>
  <c r="X42" i="12" s="1"/>
  <c r="Z6" i="12"/>
  <c r="Y6" i="12"/>
  <c r="X39" i="11"/>
  <c r="W39" i="11"/>
  <c r="U39" i="11"/>
  <c r="S39" i="11"/>
  <c r="X8" i="11"/>
  <c r="W8" i="11"/>
  <c r="U8" i="11"/>
  <c r="B16" i="11"/>
  <c r="B24" i="11" s="1"/>
  <c r="B32" i="11" s="1"/>
  <c r="B39" i="11" s="1"/>
  <c r="A6" i="11"/>
  <c r="A7" i="11" s="1"/>
  <c r="A9" i="11" s="1"/>
  <c r="A10" i="11" s="1"/>
  <c r="A11" i="11" s="1"/>
  <c r="A12" i="11" s="1"/>
  <c r="A13" i="11" s="1"/>
  <c r="A14" i="11" s="1"/>
  <c r="A15" i="11" s="1"/>
  <c r="A17" i="11" s="1"/>
  <c r="A18" i="11" s="1"/>
  <c r="A19" i="11" s="1"/>
  <c r="A20" i="11" s="1"/>
  <c r="A21" i="11" s="1"/>
  <c r="A22" i="11" s="1"/>
  <c r="A23" i="11" s="1"/>
  <c r="A25" i="11" s="1"/>
  <c r="A26" i="11" s="1"/>
  <c r="A27" i="11" s="1"/>
  <c r="A28" i="11" s="1"/>
  <c r="A29" i="11" s="1"/>
  <c r="A30" i="11" s="1"/>
  <c r="A31" i="11" s="1"/>
  <c r="A33" i="11" s="1"/>
  <c r="A34" i="11" s="1"/>
  <c r="A35" i="11" s="1"/>
  <c r="A36" i="11" s="1"/>
  <c r="A37" i="11" s="1"/>
  <c r="A38" i="11" s="1"/>
  <c r="Z38" i="11"/>
  <c r="Y38" i="11"/>
  <c r="Z33" i="11"/>
  <c r="Y33" i="11"/>
  <c r="X32" i="11"/>
  <c r="W32" i="11"/>
  <c r="Z31" i="11"/>
  <c r="Y31" i="11"/>
  <c r="Z30" i="11"/>
  <c r="Y30" i="11"/>
  <c r="Z29" i="11"/>
  <c r="Y29" i="11"/>
  <c r="Z28" i="11"/>
  <c r="Y28" i="11"/>
  <c r="Z27" i="11"/>
  <c r="Y27" i="11"/>
  <c r="Z26" i="11"/>
  <c r="Y26" i="11"/>
  <c r="Z25" i="11"/>
  <c r="Y25" i="11"/>
  <c r="X24" i="11"/>
  <c r="W24" i="11"/>
  <c r="Z23" i="11"/>
  <c r="Z22" i="11"/>
  <c r="Y22" i="11"/>
  <c r="Z21" i="11"/>
  <c r="Y21" i="11"/>
  <c r="Z20" i="11"/>
  <c r="Y20" i="11"/>
  <c r="Z19" i="11"/>
  <c r="Y19" i="11"/>
  <c r="Z18" i="11"/>
  <c r="Y18" i="11"/>
  <c r="Z17" i="11"/>
  <c r="Y17" i="11"/>
  <c r="X16" i="11"/>
  <c r="W16" i="11"/>
  <c r="Z15" i="11"/>
  <c r="Y15" i="11"/>
  <c r="Z14" i="11"/>
  <c r="Y14" i="11"/>
  <c r="Z13" i="11"/>
  <c r="Y13" i="11"/>
  <c r="Z11" i="11"/>
  <c r="Y11" i="11"/>
  <c r="Y10" i="11"/>
  <c r="Z10" i="11"/>
  <c r="AB35" i="10"/>
  <c r="X35" i="10"/>
  <c r="W35" i="10"/>
  <c r="N35" i="10"/>
  <c r="N41" i="10" s="1"/>
  <c r="K35" i="10"/>
  <c r="K41" i="10" s="1"/>
  <c r="H35" i="10"/>
  <c r="H41" i="10" s="1"/>
  <c r="G35" i="10"/>
  <c r="G41" i="10" s="1"/>
  <c r="F35" i="10"/>
  <c r="F41" i="10" s="1"/>
  <c r="C35" i="10"/>
  <c r="D35" i="10"/>
  <c r="D41" i="10" s="1"/>
  <c r="Z30" i="7"/>
  <c r="Y30" i="7"/>
  <c r="Z29" i="7"/>
  <c r="Y29" i="7"/>
  <c r="Z35" i="7"/>
  <c r="Y35" i="7"/>
  <c r="Z39" i="8"/>
  <c r="Y40" i="8"/>
  <c r="Z34" i="8"/>
  <c r="Y34" i="9"/>
  <c r="Z34" i="9"/>
  <c r="Y34" i="10"/>
  <c r="Z34" i="10"/>
  <c r="Z33" i="10"/>
  <c r="Y33" i="10"/>
  <c r="Z32" i="10"/>
  <c r="Y32" i="10"/>
  <c r="Y31" i="10"/>
  <c r="Z31" i="10"/>
  <c r="Z30" i="10"/>
  <c r="Y30" i="10"/>
  <c r="Y29" i="10"/>
  <c r="V35" i="10"/>
  <c r="B19" i="10"/>
  <c r="B27" i="10" s="1"/>
  <c r="B35" i="10" s="1"/>
  <c r="A8" i="10"/>
  <c r="A9" i="10" s="1"/>
  <c r="A10" i="10" s="1"/>
  <c r="A12" i="10" s="1"/>
  <c r="A13" i="10" s="1"/>
  <c r="A14" i="10" s="1"/>
  <c r="A15" i="10" s="1"/>
  <c r="A16" i="10" s="1"/>
  <c r="A17" i="10" s="1"/>
  <c r="A18" i="10" s="1"/>
  <c r="A20" i="10" s="1"/>
  <c r="A21" i="10" s="1"/>
  <c r="A22" i="10" s="1"/>
  <c r="A23" i="10" s="1"/>
  <c r="A24" i="10" s="1"/>
  <c r="A25" i="10" s="1"/>
  <c r="A26" i="10" s="1"/>
  <c r="A28" i="10" s="1"/>
  <c r="A29" i="10" s="1"/>
  <c r="A30" i="10" s="1"/>
  <c r="A31" i="10" s="1"/>
  <c r="A32" i="10" s="1"/>
  <c r="A33" i="10" s="1"/>
  <c r="A34" i="10" s="1"/>
  <c r="A36" i="10" s="1"/>
  <c r="A37" i="10" s="1"/>
  <c r="A38" i="10" s="1"/>
  <c r="A39" i="10" s="1"/>
  <c r="AB27" i="10"/>
  <c r="X27" i="10"/>
  <c r="W27" i="10"/>
  <c r="Y26" i="10"/>
  <c r="Z26" i="10"/>
  <c r="Z25" i="10"/>
  <c r="Y25" i="10"/>
  <c r="Z24" i="10"/>
  <c r="Y24" i="10"/>
  <c r="Z23" i="10"/>
  <c r="Y23" i="10"/>
  <c r="Z22" i="10"/>
  <c r="Y22" i="10"/>
  <c r="Z21" i="10"/>
  <c r="Y21" i="10"/>
  <c r="Y20" i="10"/>
  <c r="Z20" i="10"/>
  <c r="AB19" i="10"/>
  <c r="X19" i="10"/>
  <c r="W19" i="10"/>
  <c r="Z18" i="10"/>
  <c r="Y18" i="10"/>
  <c r="Z17" i="10"/>
  <c r="Y17" i="10"/>
  <c r="Z16" i="10"/>
  <c r="Y16" i="10"/>
  <c r="Z15" i="10"/>
  <c r="U19" i="10"/>
  <c r="Z14" i="10"/>
  <c r="Y14" i="10"/>
  <c r="Z13" i="10"/>
  <c r="Y13" i="10"/>
  <c r="Z12" i="10"/>
  <c r="Y12" i="10"/>
  <c r="AB11" i="10"/>
  <c r="X11" i="10"/>
  <c r="W11" i="10"/>
  <c r="Y10" i="10"/>
  <c r="Z10" i="10"/>
  <c r="Z9" i="10"/>
  <c r="Y9" i="10"/>
  <c r="Z8" i="10"/>
  <c r="Y8" i="10"/>
  <c r="Y7" i="10"/>
  <c r="Z7" i="10"/>
  <c r="Z6" i="10"/>
  <c r="Y6" i="10"/>
  <c r="Z5" i="10"/>
  <c r="Y5" i="10"/>
  <c r="AB38" i="9"/>
  <c r="C30" i="9"/>
  <c r="X6" i="9"/>
  <c r="W6" i="9"/>
  <c r="V6" i="9"/>
  <c r="U6" i="9"/>
  <c r="T6" i="9"/>
  <c r="S6" i="9"/>
  <c r="N6" i="9"/>
  <c r="K6" i="9"/>
  <c r="H6" i="9"/>
  <c r="G6" i="9"/>
  <c r="F6" i="9"/>
  <c r="E6" i="9"/>
  <c r="D6" i="9"/>
  <c r="C6" i="9"/>
  <c r="B14" i="9"/>
  <c r="B22" i="9" s="1"/>
  <c r="B30" i="9" s="1"/>
  <c r="B38" i="9" s="1"/>
  <c r="Z33" i="9"/>
  <c r="Y33" i="9"/>
  <c r="Z32" i="9"/>
  <c r="Y32" i="9"/>
  <c r="Y31" i="9"/>
  <c r="Z31" i="9"/>
  <c r="AB30" i="9"/>
  <c r="X30" i="9"/>
  <c r="W30" i="9"/>
  <c r="T30" i="9"/>
  <c r="S30" i="9"/>
  <c r="N30" i="9"/>
  <c r="K30" i="9"/>
  <c r="H30" i="9"/>
  <c r="G30" i="9"/>
  <c r="F30" i="9"/>
  <c r="E30" i="9"/>
  <c r="D30" i="9"/>
  <c r="Z29" i="9"/>
  <c r="Y29" i="9"/>
  <c r="Z28" i="9"/>
  <c r="Y28" i="9"/>
  <c r="Z27" i="9"/>
  <c r="Y27" i="9"/>
  <c r="Z26" i="9"/>
  <c r="Z25" i="9"/>
  <c r="Y25" i="9"/>
  <c r="Z24" i="9"/>
  <c r="Y24" i="9"/>
  <c r="Y23" i="9"/>
  <c r="AB22" i="9"/>
  <c r="X22" i="9"/>
  <c r="W22" i="9"/>
  <c r="T22" i="9"/>
  <c r="N22" i="9"/>
  <c r="K22" i="9"/>
  <c r="H22" i="9"/>
  <c r="G22" i="9"/>
  <c r="F22" i="9"/>
  <c r="E22" i="9"/>
  <c r="D22" i="9"/>
  <c r="C22" i="9"/>
  <c r="Z21" i="9"/>
  <c r="Y21" i="9"/>
  <c r="Z20" i="9"/>
  <c r="Y20" i="9"/>
  <c r="Z19" i="9"/>
  <c r="Y19" i="9"/>
  <c r="Y18" i="9"/>
  <c r="Z17" i="9"/>
  <c r="Y17" i="9"/>
  <c r="Z16" i="9"/>
  <c r="Y16" i="9"/>
  <c r="Z15" i="9"/>
  <c r="AB14" i="9"/>
  <c r="X14" i="9"/>
  <c r="W14" i="9"/>
  <c r="T14" i="9"/>
  <c r="S14" i="9"/>
  <c r="N14" i="9"/>
  <c r="K14" i="9"/>
  <c r="H14" i="9"/>
  <c r="G14" i="9"/>
  <c r="F14" i="9"/>
  <c r="D14" i="9"/>
  <c r="D41" i="9" s="1"/>
  <c r="C14" i="9"/>
  <c r="C41" i="9" s="1"/>
  <c r="Z13" i="9"/>
  <c r="Z12" i="9"/>
  <c r="Y12" i="9"/>
  <c r="Z11" i="9"/>
  <c r="Y11" i="9"/>
  <c r="Z10" i="9"/>
  <c r="Z9" i="9"/>
  <c r="Z8" i="9"/>
  <c r="Y8" i="9"/>
  <c r="Z7" i="9"/>
  <c r="Y7" i="9"/>
  <c r="AB33" i="8"/>
  <c r="AB17" i="8"/>
  <c r="X40" i="8"/>
  <c r="T40" i="8"/>
  <c r="N40" i="8"/>
  <c r="K40" i="8"/>
  <c r="H40" i="8"/>
  <c r="G40" i="8"/>
  <c r="F40" i="8"/>
  <c r="E40" i="8"/>
  <c r="C33" i="8"/>
  <c r="C17" i="8"/>
  <c r="X9" i="8"/>
  <c r="W9" i="8"/>
  <c r="V9" i="8"/>
  <c r="T9" i="8"/>
  <c r="N9" i="8"/>
  <c r="K9" i="8"/>
  <c r="H9" i="8"/>
  <c r="G9" i="8"/>
  <c r="F9" i="8"/>
  <c r="E9" i="8"/>
  <c r="D9" i="8"/>
  <c r="C9" i="8"/>
  <c r="B17" i="8"/>
  <c r="B25" i="8" s="1"/>
  <c r="B33" i="8" s="1"/>
  <c r="B40" i="8" s="1"/>
  <c r="A6" i="8"/>
  <c r="A7" i="8" s="1"/>
  <c r="A8" i="8" s="1"/>
  <c r="A10" i="8" s="1"/>
  <c r="A11" i="8" s="1"/>
  <c r="A12" i="8" s="1"/>
  <c r="A13" i="8" s="1"/>
  <c r="A14" i="8" s="1"/>
  <c r="A15" i="8" s="1"/>
  <c r="A16" i="8" s="1"/>
  <c r="X33" i="8"/>
  <c r="W33" i="8"/>
  <c r="T33" i="8"/>
  <c r="S33" i="8"/>
  <c r="K33" i="8"/>
  <c r="H33" i="8"/>
  <c r="G33" i="8"/>
  <c r="F33" i="8"/>
  <c r="E33" i="8"/>
  <c r="D33" i="8"/>
  <c r="Z32" i="8"/>
  <c r="Z31" i="8"/>
  <c r="Y31" i="8"/>
  <c r="Z30" i="8"/>
  <c r="Y30" i="8"/>
  <c r="Z29" i="8"/>
  <c r="Y29" i="8"/>
  <c r="Z28" i="8"/>
  <c r="Y28" i="8"/>
  <c r="Y27" i="8"/>
  <c r="Z26" i="8"/>
  <c r="AB25" i="8"/>
  <c r="X25" i="8"/>
  <c r="W25" i="8"/>
  <c r="T25" i="8"/>
  <c r="S25" i="8"/>
  <c r="N25" i="8"/>
  <c r="K25" i="8"/>
  <c r="H25" i="8"/>
  <c r="G25" i="8"/>
  <c r="F25" i="8"/>
  <c r="E25" i="8"/>
  <c r="D25" i="8"/>
  <c r="C25" i="8"/>
  <c r="Z24" i="8"/>
  <c r="Y24" i="8"/>
  <c r="Z23" i="8"/>
  <c r="Z22" i="8"/>
  <c r="Y22" i="8"/>
  <c r="Z21" i="8"/>
  <c r="Y21" i="8"/>
  <c r="Z20" i="8"/>
  <c r="Y20" i="8"/>
  <c r="Z19" i="8"/>
  <c r="Y18" i="8"/>
  <c r="T17" i="8"/>
  <c r="N17" i="8"/>
  <c r="K17" i="8"/>
  <c r="H17" i="8"/>
  <c r="G17" i="8"/>
  <c r="F17" i="8"/>
  <c r="E17" i="8"/>
  <c r="D17" i="8"/>
  <c r="Y16" i="8"/>
  <c r="Z16" i="8"/>
  <c r="Z15" i="8"/>
  <c r="Y15" i="8"/>
  <c r="Z14" i="8"/>
  <c r="Z13" i="8"/>
  <c r="Z12" i="8"/>
  <c r="Z11" i="8"/>
  <c r="Z8" i="8"/>
  <c r="Z7" i="8"/>
  <c r="Y7" i="8"/>
  <c r="Z6" i="8"/>
  <c r="Z5" i="8"/>
  <c r="B20" i="7"/>
  <c r="B28" i="7" s="1"/>
  <c r="B36" i="7" s="1"/>
  <c r="B40" i="7" s="1"/>
  <c r="Z33" i="7"/>
  <c r="Z32" i="7"/>
  <c r="Y32" i="7"/>
  <c r="AB28" i="7"/>
  <c r="X28" i="7"/>
  <c r="W28" i="7"/>
  <c r="N28" i="7"/>
  <c r="K28" i="7"/>
  <c r="H28" i="7"/>
  <c r="G28" i="7"/>
  <c r="F28" i="7"/>
  <c r="E28" i="7"/>
  <c r="D28" i="7"/>
  <c r="C28" i="7"/>
  <c r="Z27" i="7"/>
  <c r="Y27" i="7"/>
  <c r="Z26" i="7"/>
  <c r="Y26" i="7"/>
  <c r="Z25" i="7"/>
  <c r="Y25" i="7"/>
  <c r="Z24" i="7"/>
  <c r="Z23" i="7"/>
  <c r="Y23" i="7"/>
  <c r="Z22" i="7"/>
  <c r="Y22" i="7"/>
  <c r="Z21" i="7"/>
  <c r="Y21" i="7"/>
  <c r="AB20" i="7"/>
  <c r="X20" i="7"/>
  <c r="W20" i="7"/>
  <c r="N20" i="7"/>
  <c r="K20" i="7"/>
  <c r="H20" i="7"/>
  <c r="G20" i="7"/>
  <c r="F20" i="7"/>
  <c r="E20" i="7"/>
  <c r="D20" i="7"/>
  <c r="C20" i="7"/>
  <c r="Z19" i="7"/>
  <c r="Y19" i="7"/>
  <c r="Z18" i="7"/>
  <c r="Y18" i="7"/>
  <c r="Z17" i="7"/>
  <c r="Y17" i="7"/>
  <c r="Z16" i="7"/>
  <c r="Y16" i="7"/>
  <c r="Z15" i="7"/>
  <c r="Y15" i="7"/>
  <c r="Z14" i="7"/>
  <c r="Y14" i="7"/>
  <c r="Z13" i="7"/>
  <c r="Y13" i="7"/>
  <c r="X12" i="7"/>
  <c r="X41" i="7" s="1"/>
  <c r="W12" i="7"/>
  <c r="N12" i="7"/>
  <c r="N41" i="7" s="1"/>
  <c r="K12" i="7"/>
  <c r="K41" i="7" s="1"/>
  <c r="H12" i="7"/>
  <c r="H41" i="7" s="1"/>
  <c r="G12" i="7"/>
  <c r="G41" i="7" s="1"/>
  <c r="F12" i="7"/>
  <c r="F41" i="7" s="1"/>
  <c r="E12" i="7"/>
  <c r="E41" i="7" s="1"/>
  <c r="R85" i="15" s="1"/>
  <c r="S85" i="15" s="1"/>
  <c r="D12" i="7"/>
  <c r="C12" i="7"/>
  <c r="C41" i="7" s="1"/>
  <c r="R25" i="15" s="1"/>
  <c r="S25" i="15" s="1"/>
  <c r="Z11" i="7"/>
  <c r="Y11" i="7"/>
  <c r="Z10" i="7"/>
  <c r="Y10" i="7"/>
  <c r="Z9" i="7"/>
  <c r="Y9" i="7"/>
  <c r="Z8" i="7"/>
  <c r="Y8" i="7"/>
  <c r="Z7" i="7"/>
  <c r="Y7" i="7"/>
  <c r="Y6" i="7"/>
  <c r="AB8" i="3"/>
  <c r="AB39" i="4"/>
  <c r="AB26" i="5"/>
  <c r="AB34" i="5"/>
  <c r="X34" i="5"/>
  <c r="W34" i="5"/>
  <c r="S34" i="5"/>
  <c r="O34" i="5"/>
  <c r="N34" i="5"/>
  <c r="K34" i="5"/>
  <c r="H34" i="5"/>
  <c r="G34" i="5"/>
  <c r="F34" i="5"/>
  <c r="E34" i="5"/>
  <c r="D34" i="5"/>
  <c r="Z27" i="5"/>
  <c r="Y28" i="5"/>
  <c r="Z28" i="5"/>
  <c r="B18" i="5"/>
  <c r="B26" i="5" s="1"/>
  <c r="B34" i="5" s="1"/>
  <c r="B40" i="5" s="1"/>
  <c r="A6" i="5"/>
  <c r="A7" i="5" s="1"/>
  <c r="A8" i="5" s="1"/>
  <c r="A9" i="5" s="1"/>
  <c r="A11" i="5" s="1"/>
  <c r="A12" i="5" s="1"/>
  <c r="A13" i="5" s="1"/>
  <c r="A14" i="5" s="1"/>
  <c r="A15" i="5" s="1"/>
  <c r="A16" i="5" s="1"/>
  <c r="A17" i="5" s="1"/>
  <c r="A19" i="5" s="1"/>
  <c r="A20" i="5" s="1"/>
  <c r="A21" i="5" s="1"/>
  <c r="A22" i="5" s="1"/>
  <c r="A23" i="5" s="1"/>
  <c r="A24" i="5" s="1"/>
  <c r="A25" i="5" s="1"/>
  <c r="A27" i="5" s="1"/>
  <c r="Z33" i="5"/>
  <c r="Y33" i="5"/>
  <c r="Z32" i="5"/>
  <c r="Y32" i="5"/>
  <c r="Z31" i="5"/>
  <c r="Y31" i="5"/>
  <c r="Z30" i="5"/>
  <c r="Y30" i="5"/>
  <c r="Z29" i="5"/>
  <c r="Y29" i="5"/>
  <c r="X26" i="5"/>
  <c r="W26" i="5"/>
  <c r="S26" i="5"/>
  <c r="O26" i="5"/>
  <c r="N26" i="5"/>
  <c r="H26" i="5"/>
  <c r="G26" i="5"/>
  <c r="F26" i="5"/>
  <c r="E26" i="5"/>
  <c r="D26" i="5"/>
  <c r="Z25" i="5"/>
  <c r="Y25" i="5"/>
  <c r="Z24" i="5"/>
  <c r="Y24" i="5"/>
  <c r="Z23" i="5"/>
  <c r="Y23" i="5"/>
  <c r="Z22" i="5"/>
  <c r="Y22" i="5"/>
  <c r="Z21" i="5"/>
  <c r="Y21" i="5"/>
  <c r="Z20" i="5"/>
  <c r="Y20" i="5"/>
  <c r="Y19" i="5"/>
  <c r="AB18" i="5"/>
  <c r="X18" i="5"/>
  <c r="W18" i="5"/>
  <c r="S18" i="5"/>
  <c r="O18" i="5"/>
  <c r="N18" i="5"/>
  <c r="H18" i="5"/>
  <c r="F18" i="5"/>
  <c r="E18" i="5"/>
  <c r="D18" i="5"/>
  <c r="Z17" i="5"/>
  <c r="Y17" i="5"/>
  <c r="Z16" i="5"/>
  <c r="Y16" i="5"/>
  <c r="Z15" i="5"/>
  <c r="Y15" i="5"/>
  <c r="Z14" i="5"/>
  <c r="Y14" i="5"/>
  <c r="Z13" i="5"/>
  <c r="Y13" i="5"/>
  <c r="Z12" i="5"/>
  <c r="Y12" i="5"/>
  <c r="Z11" i="5"/>
  <c r="X10" i="5"/>
  <c r="W10" i="5"/>
  <c r="S10" i="5"/>
  <c r="R10" i="5"/>
  <c r="R41" i="5" s="1"/>
  <c r="O10" i="5"/>
  <c r="N10" i="5"/>
  <c r="H10" i="5"/>
  <c r="G10" i="5"/>
  <c r="F10" i="5"/>
  <c r="E10" i="5"/>
  <c r="D10" i="5"/>
  <c r="Z9" i="5"/>
  <c r="Y9" i="5"/>
  <c r="Z8" i="5"/>
  <c r="Y8" i="5"/>
  <c r="Z7" i="5"/>
  <c r="Y7" i="5"/>
  <c r="Z6" i="5"/>
  <c r="Z5" i="5"/>
  <c r="Y5" i="5"/>
  <c r="X39" i="4"/>
  <c r="W39" i="4"/>
  <c r="T39" i="4"/>
  <c r="S39" i="4"/>
  <c r="R39" i="4"/>
  <c r="O39" i="4"/>
  <c r="N39" i="4"/>
  <c r="H39" i="4"/>
  <c r="G39" i="4"/>
  <c r="F39" i="4"/>
  <c r="E39" i="4"/>
  <c r="C20" i="4"/>
  <c r="C36" i="4"/>
  <c r="D39" i="4"/>
  <c r="B20" i="4"/>
  <c r="B28" i="4" s="1"/>
  <c r="B36" i="4" s="1"/>
  <c r="B39" i="4" s="1"/>
  <c r="A14" i="4"/>
  <c r="A15" i="4" s="1"/>
  <c r="A16" i="4" s="1"/>
  <c r="A17" i="4" s="1"/>
  <c r="A18" i="4" s="1"/>
  <c r="A19" i="4" s="1"/>
  <c r="A21" i="4" s="1"/>
  <c r="A22" i="4" s="1"/>
  <c r="A23" i="4" s="1"/>
  <c r="A24" i="4" s="1"/>
  <c r="A25" i="4" s="1"/>
  <c r="A26" i="4" s="1"/>
  <c r="A27" i="4" s="1"/>
  <c r="A29" i="4" s="1"/>
  <c r="A30" i="4" s="1"/>
  <c r="A31" i="4" s="1"/>
  <c r="A32" i="4" s="1"/>
  <c r="A33" i="4" s="1"/>
  <c r="A34" i="4" s="1"/>
  <c r="A35" i="4" s="1"/>
  <c r="A37" i="4" s="1"/>
  <c r="A38" i="4" s="1"/>
  <c r="Z38" i="4"/>
  <c r="Y38" i="4"/>
  <c r="Y37" i="4"/>
  <c r="X36" i="4"/>
  <c r="W36" i="4"/>
  <c r="T36" i="4"/>
  <c r="R36" i="4"/>
  <c r="O36" i="4"/>
  <c r="N36" i="4"/>
  <c r="K36" i="4"/>
  <c r="H36" i="4"/>
  <c r="G36" i="4"/>
  <c r="F36" i="4"/>
  <c r="E36" i="4"/>
  <c r="D36" i="4"/>
  <c r="Z35" i="4"/>
  <c r="Y35" i="4"/>
  <c r="Z34" i="4"/>
  <c r="Y34" i="4"/>
  <c r="Z33" i="4"/>
  <c r="Y33" i="4"/>
  <c r="Z32" i="4"/>
  <c r="Y32" i="4"/>
  <c r="Z31" i="4"/>
  <c r="Y31" i="4"/>
  <c r="Z30" i="4"/>
  <c r="Y30" i="4"/>
  <c r="Z29" i="4"/>
  <c r="Y29" i="4"/>
  <c r="X28" i="4"/>
  <c r="W28" i="4"/>
  <c r="T28" i="4"/>
  <c r="S28" i="4"/>
  <c r="R28" i="4"/>
  <c r="O28" i="4"/>
  <c r="N28" i="4"/>
  <c r="K28" i="4"/>
  <c r="H28" i="4"/>
  <c r="G28" i="4"/>
  <c r="F28" i="4"/>
  <c r="E28" i="4"/>
  <c r="D28" i="4"/>
  <c r="C28" i="4"/>
  <c r="Z27" i="4"/>
  <c r="Y27" i="4"/>
  <c r="Z26" i="4"/>
  <c r="Y26" i="4"/>
  <c r="Z25" i="4"/>
  <c r="Y25" i="4"/>
  <c r="Z24" i="4"/>
  <c r="Y24" i="4"/>
  <c r="Z23" i="4"/>
  <c r="Y23" i="4"/>
  <c r="Y22" i="4"/>
  <c r="Z21" i="4"/>
  <c r="Y21" i="4"/>
  <c r="AB20" i="4"/>
  <c r="X20" i="4"/>
  <c r="W20" i="4"/>
  <c r="T20" i="4"/>
  <c r="S20" i="4"/>
  <c r="R20" i="4"/>
  <c r="O20" i="4"/>
  <c r="N20" i="4"/>
  <c r="K20" i="4"/>
  <c r="H20" i="4"/>
  <c r="G20" i="4"/>
  <c r="F20" i="4"/>
  <c r="E20" i="4"/>
  <c r="D20" i="4"/>
  <c r="Z19" i="4"/>
  <c r="Y19" i="4"/>
  <c r="Z18" i="4"/>
  <c r="Y18" i="4"/>
  <c r="Z17" i="4"/>
  <c r="Y17" i="4"/>
  <c r="Z16" i="4"/>
  <c r="Y16" i="4"/>
  <c r="Z15" i="4"/>
  <c r="Y15" i="4"/>
  <c r="Z14" i="4"/>
  <c r="Y14" i="4"/>
  <c r="AB32" i="3"/>
  <c r="H32" i="3"/>
  <c r="H24" i="3"/>
  <c r="H16" i="3"/>
  <c r="H8" i="3"/>
  <c r="H28" i="1"/>
  <c r="H20" i="1"/>
  <c r="H12" i="1"/>
  <c r="H25" i="2"/>
  <c r="H17" i="2"/>
  <c r="H9" i="2"/>
  <c r="C32" i="3"/>
  <c r="Y35" i="3"/>
  <c r="Z34" i="3"/>
  <c r="Y34" i="3"/>
  <c r="Z33" i="3"/>
  <c r="Y33" i="3"/>
  <c r="X32" i="3"/>
  <c r="W32" i="3"/>
  <c r="T32" i="3"/>
  <c r="N32" i="3"/>
  <c r="K32" i="3"/>
  <c r="G32" i="3"/>
  <c r="F32" i="3"/>
  <c r="E32" i="3"/>
  <c r="D32" i="3"/>
  <c r="B16" i="3"/>
  <c r="B24" i="3" s="1"/>
  <c r="B32" i="3" s="1"/>
  <c r="B40" i="3" s="1"/>
  <c r="A6" i="3"/>
  <c r="A7" i="3" s="1"/>
  <c r="Z31" i="3"/>
  <c r="Y31" i="3"/>
  <c r="Y30" i="3"/>
  <c r="Z30" i="3"/>
  <c r="Z28" i="3"/>
  <c r="Y28" i="3"/>
  <c r="Z27" i="3"/>
  <c r="Y27" i="3"/>
  <c r="Z26" i="3"/>
  <c r="Y26" i="3"/>
  <c r="Z25" i="3"/>
  <c r="Y25" i="3"/>
  <c r="AB24" i="3"/>
  <c r="X24" i="3"/>
  <c r="W24" i="3"/>
  <c r="T24" i="3"/>
  <c r="N24" i="3"/>
  <c r="K24" i="3"/>
  <c r="G24" i="3"/>
  <c r="F24" i="3"/>
  <c r="E24" i="3"/>
  <c r="D24" i="3"/>
  <c r="C24" i="3"/>
  <c r="Z23" i="3"/>
  <c r="Y23" i="3"/>
  <c r="Z22" i="3"/>
  <c r="Y22" i="3"/>
  <c r="Z21" i="3"/>
  <c r="Y21" i="3"/>
  <c r="Z20" i="3"/>
  <c r="Y20" i="3"/>
  <c r="Z19" i="3"/>
  <c r="Y19" i="3"/>
  <c r="Z18" i="3"/>
  <c r="Y18" i="3"/>
  <c r="Z17" i="3"/>
  <c r="Y17" i="3"/>
  <c r="AB16" i="3"/>
  <c r="X16" i="3"/>
  <c r="W16" i="3"/>
  <c r="T16" i="3"/>
  <c r="N16" i="3"/>
  <c r="G16" i="3"/>
  <c r="F16" i="3"/>
  <c r="E16" i="3"/>
  <c r="D16" i="3"/>
  <c r="C16" i="3"/>
  <c r="Z15" i="3"/>
  <c r="Y15" i="3"/>
  <c r="Z14" i="3"/>
  <c r="Y14" i="3"/>
  <c r="Z13" i="3"/>
  <c r="Y13" i="3"/>
  <c r="Z12" i="3"/>
  <c r="Y12" i="3"/>
  <c r="Z11" i="3"/>
  <c r="Y11" i="3"/>
  <c r="Z10" i="3"/>
  <c r="Y10" i="3"/>
  <c r="Z9" i="3"/>
  <c r="X8" i="3"/>
  <c r="W8" i="3"/>
  <c r="T8" i="3"/>
  <c r="S8" i="3"/>
  <c r="S41" i="3" s="1"/>
  <c r="N8" i="3"/>
  <c r="K8" i="3"/>
  <c r="G8" i="3"/>
  <c r="F8" i="3"/>
  <c r="E8" i="3"/>
  <c r="Z7" i="3"/>
  <c r="Y7" i="3"/>
  <c r="Z6" i="3"/>
  <c r="Y6" i="3"/>
  <c r="Z5" i="3"/>
  <c r="AD40" i="1"/>
  <c r="AB25" i="2"/>
  <c r="AB38" i="2"/>
  <c r="Z32" i="2"/>
  <c r="Y32" i="2"/>
  <c r="Z31" i="2"/>
  <c r="Y31" i="2"/>
  <c r="Z30" i="2"/>
  <c r="Y30" i="2"/>
  <c r="Z29" i="2"/>
  <c r="Y29" i="2"/>
  <c r="Z28" i="2"/>
  <c r="Y28" i="2"/>
  <c r="Z27" i="2"/>
  <c r="Y27" i="2"/>
  <c r="Z26" i="2"/>
  <c r="Y26" i="2"/>
  <c r="B17" i="2"/>
  <c r="B25" i="2" s="1"/>
  <c r="B33" i="2" s="1"/>
  <c r="B38" i="2" s="1"/>
  <c r="A6" i="2"/>
  <c r="A7" i="2" s="1"/>
  <c r="A8" i="2" s="1"/>
  <c r="A10" i="2" s="1"/>
  <c r="A11" i="2" s="1"/>
  <c r="A12" i="2" s="1"/>
  <c r="A13" i="2" s="1"/>
  <c r="A14" i="2" s="1"/>
  <c r="A15" i="2" s="1"/>
  <c r="A16" i="2" s="1"/>
  <c r="A18" i="2" s="1"/>
  <c r="A19" i="2" s="1"/>
  <c r="A20" i="2" s="1"/>
  <c r="A21" i="2" s="1"/>
  <c r="A22" i="2" s="1"/>
  <c r="A23" i="2" s="1"/>
  <c r="A24" i="2" s="1"/>
  <c r="A26" i="2" s="1"/>
  <c r="X25" i="2"/>
  <c r="W25" i="2"/>
  <c r="T25" i="2"/>
  <c r="S25" i="2"/>
  <c r="N25" i="2"/>
  <c r="K25" i="2"/>
  <c r="G25" i="2"/>
  <c r="F25" i="2"/>
  <c r="E25" i="2"/>
  <c r="D25" i="2"/>
  <c r="C25" i="2"/>
  <c r="Y24" i="2"/>
  <c r="Z23" i="2"/>
  <c r="Y23" i="2"/>
  <c r="Z22" i="2"/>
  <c r="Y22" i="2"/>
  <c r="Z21" i="2"/>
  <c r="Z20" i="2"/>
  <c r="Y20" i="2"/>
  <c r="Z19" i="2"/>
  <c r="Y19" i="2"/>
  <c r="Z18" i="2"/>
  <c r="AB17" i="2"/>
  <c r="X17" i="2"/>
  <c r="W17" i="2"/>
  <c r="T17" i="2"/>
  <c r="S17" i="2"/>
  <c r="N17" i="2"/>
  <c r="K17" i="2"/>
  <c r="G17" i="2"/>
  <c r="F17" i="2"/>
  <c r="E17" i="2"/>
  <c r="D17" i="2"/>
  <c r="C17" i="2"/>
  <c r="Z16" i="2"/>
  <c r="Y16" i="2"/>
  <c r="Z15" i="2"/>
  <c r="Y15" i="2"/>
  <c r="Z14" i="2"/>
  <c r="Y14" i="2"/>
  <c r="Z13" i="2"/>
  <c r="Y13" i="2"/>
  <c r="Y12" i="2"/>
  <c r="Z11" i="2"/>
  <c r="Y11" i="2"/>
  <c r="Z10" i="2"/>
  <c r="Y10" i="2"/>
  <c r="AB9" i="2"/>
  <c r="X9" i="2"/>
  <c r="X39" i="2" s="1"/>
  <c r="W9" i="2"/>
  <c r="T9" i="2"/>
  <c r="S9" i="2"/>
  <c r="N9" i="2"/>
  <c r="K9" i="2"/>
  <c r="G9" i="2"/>
  <c r="F9" i="2"/>
  <c r="E9" i="2"/>
  <c r="D9" i="2"/>
  <c r="C9" i="2"/>
  <c r="Z8" i="2"/>
  <c r="Y8" i="2"/>
  <c r="Z7" i="2"/>
  <c r="Y7" i="2"/>
  <c r="Z6" i="2"/>
  <c r="Y6" i="2"/>
  <c r="Z5" i="2"/>
  <c r="AB31" i="1"/>
  <c r="AB30" i="1"/>
  <c r="AB35" i="1"/>
  <c r="AB34" i="1"/>
  <c r="AB33" i="1"/>
  <c r="AB32" i="1"/>
  <c r="AB27" i="1"/>
  <c r="AB26" i="1"/>
  <c r="AB25" i="1"/>
  <c r="AB24" i="1"/>
  <c r="AB23" i="1"/>
  <c r="AB22" i="1"/>
  <c r="AB21" i="1"/>
  <c r="AB14" i="1"/>
  <c r="AB19" i="1"/>
  <c r="AB18" i="1"/>
  <c r="AB17" i="1"/>
  <c r="AB16" i="1"/>
  <c r="AB15" i="1"/>
  <c r="AB9" i="1"/>
  <c r="AB7" i="1"/>
  <c r="AB11" i="1"/>
  <c r="AB10" i="1"/>
  <c r="AB8" i="1"/>
  <c r="AB6" i="1"/>
  <c r="AA30" i="1"/>
  <c r="AA29" i="1"/>
  <c r="AA34" i="1"/>
  <c r="AA33" i="1"/>
  <c r="AA32" i="1"/>
  <c r="AA31" i="1"/>
  <c r="AA26" i="1"/>
  <c r="AA27" i="1"/>
  <c r="AA25" i="1"/>
  <c r="AA24" i="1"/>
  <c r="AA23" i="1"/>
  <c r="AA22" i="1"/>
  <c r="AA21" i="1"/>
  <c r="AA19" i="1"/>
  <c r="AA18" i="1"/>
  <c r="AA17" i="1"/>
  <c r="AA16" i="1"/>
  <c r="AA15" i="1"/>
  <c r="AA14" i="1"/>
  <c r="AA13" i="1"/>
  <c r="AA11" i="1"/>
  <c r="AA10" i="1"/>
  <c r="AA9" i="1"/>
  <c r="AA7" i="1"/>
  <c r="AA6" i="1"/>
  <c r="Z28" i="1"/>
  <c r="Y28" i="1"/>
  <c r="Z20" i="1"/>
  <c r="Y20" i="1"/>
  <c r="Z12" i="1"/>
  <c r="Y12" i="1"/>
  <c r="G28" i="1"/>
  <c r="F28" i="1"/>
  <c r="E28" i="1"/>
  <c r="C28" i="1"/>
  <c r="AD20" i="1"/>
  <c r="G20" i="1"/>
  <c r="F20" i="1"/>
  <c r="E20" i="1"/>
  <c r="C20" i="1"/>
  <c r="AD12" i="1"/>
  <c r="G12" i="1"/>
  <c r="F12" i="1"/>
  <c r="E12" i="1"/>
  <c r="B20" i="1"/>
  <c r="B28" i="1" s="1"/>
  <c r="B36" i="1" s="1"/>
  <c r="A6" i="1"/>
  <c r="A7" i="1" s="1"/>
  <c r="A8" i="1" s="1"/>
  <c r="A9" i="1" s="1"/>
  <c r="A10" i="1" s="1"/>
  <c r="A11" i="1" s="1"/>
  <c r="A13" i="1" s="1"/>
  <c r="A14" i="1" s="1"/>
  <c r="A15" i="1" s="1"/>
  <c r="A16" i="1" s="1"/>
  <c r="A17" i="1" s="1"/>
  <c r="A18" i="1" s="1"/>
  <c r="A19" i="1" s="1"/>
  <c r="A21" i="1" s="1"/>
  <c r="A22" i="1" s="1"/>
  <c r="A23" i="1" s="1"/>
  <c r="A24" i="1" s="1"/>
  <c r="A25" i="1" s="1"/>
  <c r="A26" i="1" s="1"/>
  <c r="A27" i="1" s="1"/>
  <c r="A29" i="1" s="1"/>
  <c r="A30" i="1" s="1"/>
  <c r="A31" i="1" s="1"/>
  <c r="A32" i="1" s="1"/>
  <c r="A27" i="2" l="1"/>
  <c r="A28" i="2" s="1"/>
  <c r="A29" i="2" s="1"/>
  <c r="A30" i="2" s="1"/>
  <c r="A31" i="2" s="1"/>
  <c r="A32" i="2" s="1"/>
  <c r="A34" i="2" s="1"/>
  <c r="A35" i="2" s="1"/>
  <c r="A36" i="2" s="1"/>
  <c r="A37" i="2" s="1"/>
  <c r="Z38" i="9"/>
  <c r="S41" i="9"/>
  <c r="Y39" i="11"/>
  <c r="C41" i="10"/>
  <c r="R28" i="15" s="1"/>
  <c r="S28" i="15" s="1"/>
  <c r="U35" i="10"/>
  <c r="W41" i="10"/>
  <c r="Z39" i="11"/>
  <c r="M44" i="10"/>
  <c r="M43" i="10"/>
  <c r="X41" i="10"/>
  <c r="T15" i="13" s="1"/>
  <c r="R42" i="15"/>
  <c r="S42" i="15" s="1"/>
  <c r="K41" i="9"/>
  <c r="W41" i="9"/>
  <c r="E41" i="9"/>
  <c r="R87" i="15" s="1"/>
  <c r="S87" i="15" s="1"/>
  <c r="X41" i="9"/>
  <c r="N41" i="9"/>
  <c r="M44" i="9"/>
  <c r="M43" i="9"/>
  <c r="H41" i="9"/>
  <c r="F41" i="9"/>
  <c r="D41" i="8"/>
  <c r="W41" i="7"/>
  <c r="M43" i="7"/>
  <c r="M44" i="7"/>
  <c r="Q43" i="5"/>
  <c r="Q44" i="5"/>
  <c r="C40" i="4"/>
  <c r="C41" i="4" s="1"/>
  <c r="S42" i="3"/>
  <c r="R36" i="15"/>
  <c r="Y38" i="9"/>
  <c r="T41" i="9"/>
  <c r="G41" i="9"/>
  <c r="A18" i="8"/>
  <c r="A19" i="8" s="1"/>
  <c r="A20" i="8" s="1"/>
  <c r="A21" i="8" s="1"/>
  <c r="A22" i="8" s="1"/>
  <c r="A23" i="8" s="1"/>
  <c r="A24" i="8" s="1"/>
  <c r="A26" i="8" s="1"/>
  <c r="A27" i="8" s="1"/>
  <c r="A28" i="8" s="1"/>
  <c r="A29" i="8" s="1"/>
  <c r="A30" i="8" s="1"/>
  <c r="A31" i="8" s="1"/>
  <c r="A32" i="8" s="1"/>
  <c r="A34" i="8" s="1"/>
  <c r="A35" i="8" s="1"/>
  <c r="A36" i="8" s="1"/>
  <c r="A37" i="8" s="1"/>
  <c r="A38" i="8" s="1"/>
  <c r="A39" i="8" s="1"/>
  <c r="D41" i="7"/>
  <c r="C41" i="8"/>
  <c r="R26" i="15" s="1"/>
  <c r="S26" i="15" s="1"/>
  <c r="D41" i="5"/>
  <c r="D10" i="13" s="1"/>
  <c r="F41" i="5"/>
  <c r="F10" i="13" s="1"/>
  <c r="C41" i="3"/>
  <c r="R21" i="15" s="1"/>
  <c r="A9" i="3"/>
  <c r="A10" i="3" s="1"/>
  <c r="A11" i="3" s="1"/>
  <c r="A12" i="3" s="1"/>
  <c r="A13" i="3" s="1"/>
  <c r="A14" i="3" s="1"/>
  <c r="A15" i="3" s="1"/>
  <c r="A17" i="3" s="1"/>
  <c r="A18" i="3" s="1"/>
  <c r="A19" i="3" s="1"/>
  <c r="A20" i="3" s="1"/>
  <c r="A21" i="3" s="1"/>
  <c r="A22" i="3" s="1"/>
  <c r="A23" i="3" s="1"/>
  <c r="A25" i="3" s="1"/>
  <c r="A26" i="3" s="1"/>
  <c r="A27" i="3" s="1"/>
  <c r="A28" i="3" s="1"/>
  <c r="Y40" i="3"/>
  <c r="Z40" i="3"/>
  <c r="R22" i="15"/>
  <c r="S22" i="15" s="1"/>
  <c r="T41" i="3"/>
  <c r="P8" i="13" s="1"/>
  <c r="C41" i="1"/>
  <c r="R19" i="15" s="1"/>
  <c r="S19" i="15" s="1"/>
  <c r="G41" i="1"/>
  <c r="W39" i="2"/>
  <c r="S7" i="13" s="1"/>
  <c r="Z41" i="1"/>
  <c r="E41" i="1"/>
  <c r="R79" i="15" s="1"/>
  <c r="S79" i="15" s="1"/>
  <c r="Y41" i="1"/>
  <c r="S6" i="13" s="1"/>
  <c r="H41" i="1"/>
  <c r="H6" i="13" s="1"/>
  <c r="F41" i="1"/>
  <c r="F6" i="13" s="1"/>
  <c r="Y32" i="11"/>
  <c r="H12" i="13"/>
  <c r="X41" i="5"/>
  <c r="T10" i="13" s="1"/>
  <c r="W41" i="5"/>
  <c r="S10" i="13" s="1"/>
  <c r="S41" i="5"/>
  <c r="R38" i="15" s="1"/>
  <c r="S38" i="15" s="1"/>
  <c r="H41" i="5"/>
  <c r="H10" i="13" s="1"/>
  <c r="K41" i="5"/>
  <c r="N41" i="5"/>
  <c r="E41" i="5"/>
  <c r="R83" i="15" s="1"/>
  <c r="S83" i="15" s="1"/>
  <c r="O41" i="5"/>
  <c r="E41" i="8"/>
  <c r="Y24" i="11"/>
  <c r="N17" i="13"/>
  <c r="Q44" i="12"/>
  <c r="K41" i="3"/>
  <c r="K42" i="3" s="1"/>
  <c r="Y8" i="3"/>
  <c r="Y33" i="2"/>
  <c r="S39" i="2"/>
  <c r="R35" i="15" s="1"/>
  <c r="S35" i="15" s="1"/>
  <c r="G39" i="2"/>
  <c r="G7" i="13" s="1"/>
  <c r="E39" i="2"/>
  <c r="R80" i="15" s="1"/>
  <c r="S80" i="15" s="1"/>
  <c r="C39" i="2"/>
  <c r="K39" i="2"/>
  <c r="Z33" i="2"/>
  <c r="T39" i="2"/>
  <c r="P7" i="13" s="1"/>
  <c r="N39" i="2"/>
  <c r="L7" i="13" s="1"/>
  <c r="H39" i="2"/>
  <c r="H7" i="13" s="1"/>
  <c r="F39" i="2"/>
  <c r="F7" i="13" s="1"/>
  <c r="D39" i="2"/>
  <c r="P10" i="13"/>
  <c r="A28" i="5"/>
  <c r="A29" i="5" s="1"/>
  <c r="A30" i="5" s="1"/>
  <c r="A31" i="5" s="1"/>
  <c r="A32" i="5" s="1"/>
  <c r="A33" i="5" s="1"/>
  <c r="A35" i="5" s="1"/>
  <c r="A36" i="5" s="1"/>
  <c r="A37" i="5" s="1"/>
  <c r="A38" i="5" s="1"/>
  <c r="A39" i="5" s="1"/>
  <c r="P41" i="11"/>
  <c r="AB40" i="10"/>
  <c r="D15" i="13"/>
  <c r="L15" i="13"/>
  <c r="H15" i="13"/>
  <c r="F15" i="13"/>
  <c r="A7" i="9"/>
  <c r="A8" i="9" s="1"/>
  <c r="A9" i="9" s="1"/>
  <c r="A10" i="9" s="1"/>
  <c r="A11" i="9" s="1"/>
  <c r="A12" i="9" s="1"/>
  <c r="A13" i="9" s="1"/>
  <c r="A15" i="9" s="1"/>
  <c r="A16" i="9" s="1"/>
  <c r="A17" i="9" s="1"/>
  <c r="A18" i="9" s="1"/>
  <c r="A19" i="9" s="1"/>
  <c r="A20" i="9" s="1"/>
  <c r="A21" i="9" s="1"/>
  <c r="A23" i="9" s="1"/>
  <c r="A24" i="9" s="1"/>
  <c r="A25" i="9" s="1"/>
  <c r="A26" i="9" s="1"/>
  <c r="A27" i="9" s="1"/>
  <c r="A28" i="9" s="1"/>
  <c r="A29" i="9" s="1"/>
  <c r="A31" i="9" s="1"/>
  <c r="A32" i="9" s="1"/>
  <c r="A33" i="9" s="1"/>
  <c r="A34" i="9" s="1"/>
  <c r="A35" i="9" s="1"/>
  <c r="A36" i="9" s="1"/>
  <c r="A37" i="9" s="1"/>
  <c r="A39" i="9" s="1"/>
  <c r="S41" i="8"/>
  <c r="R41" i="15" s="1"/>
  <c r="S41" i="15" s="1"/>
  <c r="F41" i="8"/>
  <c r="F13" i="13" s="1"/>
  <c r="T41" i="8"/>
  <c r="P13" i="13" s="1"/>
  <c r="G41" i="8"/>
  <c r="G13" i="13" s="1"/>
  <c r="H41" i="8"/>
  <c r="H13" i="13" s="1"/>
  <c r="K41" i="8"/>
  <c r="N41" i="8"/>
  <c r="D13" i="13"/>
  <c r="A6" i="7"/>
  <c r="A7" i="7" s="1"/>
  <c r="A8" i="7" s="1"/>
  <c r="A9" i="7" s="1"/>
  <c r="A10" i="7" s="1"/>
  <c r="A11" i="7" s="1"/>
  <c r="A13" i="7" s="1"/>
  <c r="A14" i="7" s="1"/>
  <c r="A15" i="7" s="1"/>
  <c r="A16" i="7" s="1"/>
  <c r="A17" i="7" s="1"/>
  <c r="A18" i="7" s="1"/>
  <c r="A19" i="7" s="1"/>
  <c r="A21" i="7" s="1"/>
  <c r="A22" i="7" s="1"/>
  <c r="A23" i="7" s="1"/>
  <c r="A24" i="7" s="1"/>
  <c r="A25" i="7" s="1"/>
  <c r="A26" i="7" s="1"/>
  <c r="A27" i="7" s="1"/>
  <c r="A29" i="7" s="1"/>
  <c r="A30" i="7" s="1"/>
  <c r="A31" i="7" s="1"/>
  <c r="A32" i="7" s="1"/>
  <c r="A33" i="7" s="1"/>
  <c r="A34" i="7" s="1"/>
  <c r="A35" i="7" s="1"/>
  <c r="A37" i="7" s="1"/>
  <c r="A38" i="7" s="1"/>
  <c r="A39" i="7" s="1"/>
  <c r="N10" i="13"/>
  <c r="D6" i="13"/>
  <c r="A33" i="1"/>
  <c r="A34" i="1" s="1"/>
  <c r="T6" i="13"/>
  <c r="P6" i="13"/>
  <c r="I18" i="13"/>
  <c r="E21" i="14" s="1"/>
  <c r="E22" i="14" s="1"/>
  <c r="E24" i="14" s="1"/>
  <c r="J18" i="13"/>
  <c r="H41" i="3"/>
  <c r="H8" i="13" s="1"/>
  <c r="F40" i="11"/>
  <c r="F41" i="3"/>
  <c r="F8" i="13" s="1"/>
  <c r="W41" i="3"/>
  <c r="S8" i="13" s="1"/>
  <c r="X41" i="3"/>
  <c r="T8" i="13" s="1"/>
  <c r="D41" i="3"/>
  <c r="D8" i="13" s="1"/>
  <c r="S40" i="11"/>
  <c r="R44" i="15" s="1"/>
  <c r="S44" i="15" s="1"/>
  <c r="K9" i="14"/>
  <c r="E41" i="3"/>
  <c r="R81" i="15" s="1"/>
  <c r="G41" i="3"/>
  <c r="G8" i="13" s="1"/>
  <c r="N41" i="3"/>
  <c r="L8" i="13" s="1"/>
  <c r="K17" i="14"/>
  <c r="H17" i="13"/>
  <c r="S17" i="13"/>
  <c r="F17" i="13"/>
  <c r="D17" i="13"/>
  <c r="T17" i="13"/>
  <c r="P17" i="13"/>
  <c r="X40" i="11"/>
  <c r="E40" i="11"/>
  <c r="R89" i="15" s="1"/>
  <c r="S89" i="15" s="1"/>
  <c r="W40" i="11"/>
  <c r="D40" i="11"/>
  <c r="Y12" i="11"/>
  <c r="H40" i="11"/>
  <c r="U16" i="11"/>
  <c r="Z12" i="11"/>
  <c r="G40" i="11"/>
  <c r="Y28" i="10"/>
  <c r="Y35" i="10" s="1"/>
  <c r="Z28" i="10"/>
  <c r="D14" i="13"/>
  <c r="L14" i="13"/>
  <c r="T14" i="13"/>
  <c r="U22" i="9"/>
  <c r="F14" i="13"/>
  <c r="H14" i="13"/>
  <c r="Z40" i="8"/>
  <c r="Y9" i="8"/>
  <c r="Z9" i="8"/>
  <c r="U9" i="8"/>
  <c r="U33" i="8"/>
  <c r="D12" i="13"/>
  <c r="L12" i="13"/>
  <c r="S12" i="13"/>
  <c r="T12" i="13"/>
  <c r="F12" i="13"/>
  <c r="T11" i="13"/>
  <c r="H11" i="13"/>
  <c r="Y34" i="5"/>
  <c r="Z34" i="5"/>
  <c r="U34" i="5"/>
  <c r="V34" i="5"/>
  <c r="U32" i="3"/>
  <c r="K14" i="14"/>
  <c r="K8" i="14"/>
  <c r="K7" i="14"/>
  <c r="J10" i="14"/>
  <c r="J12" i="14"/>
  <c r="K13" i="14" s="1"/>
  <c r="J15" i="14"/>
  <c r="J11" i="14"/>
  <c r="V22" i="12"/>
  <c r="V30" i="12"/>
  <c r="U22" i="12"/>
  <c r="U14" i="12"/>
  <c r="Y16" i="12"/>
  <c r="Y22" i="12" s="1"/>
  <c r="Z14" i="12"/>
  <c r="V6" i="12"/>
  <c r="V14" i="12"/>
  <c r="Y25" i="12"/>
  <c r="Y30" i="12" s="1"/>
  <c r="Y7" i="12"/>
  <c r="Y14" i="12" s="1"/>
  <c r="Z15" i="12"/>
  <c r="Z22" i="12" s="1"/>
  <c r="U6" i="12"/>
  <c r="Z24" i="12"/>
  <c r="Z30" i="12" s="1"/>
  <c r="Y9" i="11"/>
  <c r="U24" i="11"/>
  <c r="V24" i="11"/>
  <c r="V32" i="11"/>
  <c r="Z32" i="11"/>
  <c r="Z24" i="11"/>
  <c r="Z8" i="11"/>
  <c r="Z9" i="11"/>
  <c r="U32" i="11"/>
  <c r="Z29" i="10"/>
  <c r="V27" i="10"/>
  <c r="Y15" i="10"/>
  <c r="Y19" i="10" s="1"/>
  <c r="Z11" i="10"/>
  <c r="U27" i="10"/>
  <c r="Z27" i="10"/>
  <c r="Y27" i="10"/>
  <c r="Z19" i="10"/>
  <c r="Y11" i="10"/>
  <c r="U11" i="10"/>
  <c r="V19" i="10"/>
  <c r="V11" i="10"/>
  <c r="V41" i="10" s="1"/>
  <c r="U14" i="9"/>
  <c r="V22" i="9"/>
  <c r="U30" i="9"/>
  <c r="V30" i="9"/>
  <c r="Z6" i="9"/>
  <c r="Z14" i="9"/>
  <c r="Y30" i="9"/>
  <c r="V14" i="9"/>
  <c r="Y10" i="9"/>
  <c r="Y14" i="9" s="1"/>
  <c r="Y15" i="9"/>
  <c r="Y22" i="9" s="1"/>
  <c r="Z18" i="9"/>
  <c r="Z22" i="9" s="1"/>
  <c r="Z23" i="9"/>
  <c r="Z30" i="9" s="1"/>
  <c r="Y6" i="9"/>
  <c r="W17" i="8"/>
  <c r="X17" i="8"/>
  <c r="Z10" i="8"/>
  <c r="Z17" i="8" s="1"/>
  <c r="Y26" i="8"/>
  <c r="Y33" i="8" s="1"/>
  <c r="V25" i="8"/>
  <c r="V33" i="8"/>
  <c r="U17" i="8"/>
  <c r="U25" i="8"/>
  <c r="V17" i="8"/>
  <c r="Z18" i="8"/>
  <c r="Z25" i="8" s="1"/>
  <c r="Y19" i="8"/>
  <c r="Y25" i="8" s="1"/>
  <c r="Z27" i="8"/>
  <c r="Z33" i="8" s="1"/>
  <c r="U28" i="7"/>
  <c r="Z20" i="7"/>
  <c r="Z28" i="7"/>
  <c r="Y20" i="7"/>
  <c r="V28" i="7"/>
  <c r="V20" i="7"/>
  <c r="Y24" i="7"/>
  <c r="Y28" i="7" s="1"/>
  <c r="Y31" i="7"/>
  <c r="U20" i="7"/>
  <c r="Z6" i="7"/>
  <c r="Z31" i="7"/>
  <c r="Z36" i="7" s="1"/>
  <c r="V26" i="5"/>
  <c r="Z10" i="5"/>
  <c r="Z19" i="5"/>
  <c r="U18" i="5"/>
  <c r="Y11" i="5"/>
  <c r="Y18" i="5" s="1"/>
  <c r="U26" i="5"/>
  <c r="Z18" i="5"/>
  <c r="Y26" i="5"/>
  <c r="V18" i="5"/>
  <c r="V39" i="4"/>
  <c r="Y39" i="4"/>
  <c r="V28" i="4"/>
  <c r="Z37" i="4"/>
  <c r="Z39" i="4" s="1"/>
  <c r="Y28" i="4"/>
  <c r="Z36" i="4"/>
  <c r="Y36" i="4"/>
  <c r="Y20" i="4"/>
  <c r="Z20" i="4"/>
  <c r="U36" i="4"/>
  <c r="U28" i="4"/>
  <c r="U20" i="4"/>
  <c r="Z22" i="4"/>
  <c r="Z28" i="4" s="1"/>
  <c r="V20" i="4"/>
  <c r="V32" i="3"/>
  <c r="X12" i="1"/>
  <c r="U16" i="3"/>
  <c r="V8" i="3"/>
  <c r="Z24" i="3"/>
  <c r="Z16" i="3"/>
  <c r="Y24" i="3"/>
  <c r="V16" i="3"/>
  <c r="Z8" i="3"/>
  <c r="Z29" i="3"/>
  <c r="Y9" i="3"/>
  <c r="Y16" i="3" s="1"/>
  <c r="Y29" i="3"/>
  <c r="U24" i="3"/>
  <c r="V24" i="3"/>
  <c r="Z9" i="2"/>
  <c r="U25" i="2"/>
  <c r="Y9" i="2"/>
  <c r="Y18" i="2"/>
  <c r="Y25" i="2" s="1"/>
  <c r="V25" i="2"/>
  <c r="U17" i="2"/>
  <c r="V17" i="2"/>
  <c r="V9" i="2"/>
  <c r="Z12" i="2"/>
  <c r="Z17" i="2" s="1"/>
  <c r="Y17" i="2"/>
  <c r="Z24" i="2"/>
  <c r="Z25" i="2" s="1"/>
  <c r="U9" i="2"/>
  <c r="AB29" i="1"/>
  <c r="X20" i="1"/>
  <c r="AB5" i="1"/>
  <c r="AB12" i="1" s="1"/>
  <c r="AA35" i="1"/>
  <c r="AB28" i="1"/>
  <c r="X28" i="1"/>
  <c r="AB13" i="1"/>
  <c r="AB20" i="1" s="1"/>
  <c r="AA20" i="1"/>
  <c r="AA28" i="1"/>
  <c r="Y42" i="12" l="1"/>
  <c r="Z42" i="12"/>
  <c r="C40" i="2"/>
  <c r="R20" i="15"/>
  <c r="S20" i="15" s="1"/>
  <c r="Y39" i="2"/>
  <c r="R5" i="15" s="1"/>
  <c r="S5" i="15" s="1"/>
  <c r="E44" i="8"/>
  <c r="A29" i="3"/>
  <c r="A30" i="3" s="1"/>
  <c r="A31" i="3" s="1"/>
  <c r="A33" i="3" s="1"/>
  <c r="A34" i="3" s="1"/>
  <c r="A35" i="3" s="1"/>
  <c r="A36" i="3" s="1"/>
  <c r="A37" i="3" s="1"/>
  <c r="A38" i="3" s="1"/>
  <c r="A39" i="3" s="1"/>
  <c r="R15" i="15"/>
  <c r="S15" i="15" s="1"/>
  <c r="U42" i="12"/>
  <c r="U40" i="11"/>
  <c r="U41" i="10"/>
  <c r="V42" i="12"/>
  <c r="V40" i="11"/>
  <c r="V41" i="11" s="1"/>
  <c r="C42" i="9"/>
  <c r="R27" i="15"/>
  <c r="S27" i="15" s="1"/>
  <c r="U41" i="8"/>
  <c r="E13" i="13"/>
  <c r="R86" i="15"/>
  <c r="S86" i="15" s="1"/>
  <c r="L13" i="13"/>
  <c r="M43" i="8"/>
  <c r="M44" i="8"/>
  <c r="S21" i="15"/>
  <c r="R31" i="15"/>
  <c r="S36" i="15"/>
  <c r="S81" i="15"/>
  <c r="L10" i="13"/>
  <c r="R10" i="13" s="1"/>
  <c r="V10" i="13" s="1"/>
  <c r="M43" i="5"/>
  <c r="M44" i="5"/>
  <c r="Y41" i="10"/>
  <c r="R13" i="15" s="1"/>
  <c r="S13" i="15" s="1"/>
  <c r="U41" i="9"/>
  <c r="L17" i="13"/>
  <c r="R17" i="13" s="1"/>
  <c r="V17" i="13" s="1"/>
  <c r="M45" i="12"/>
  <c r="M44" i="12"/>
  <c r="M43" i="11"/>
  <c r="M42" i="11"/>
  <c r="Z41" i="9"/>
  <c r="Y41" i="9"/>
  <c r="R12" i="15" s="1"/>
  <c r="S12" i="15" s="1"/>
  <c r="V41" i="9"/>
  <c r="K16" i="14"/>
  <c r="Q29" i="15"/>
  <c r="Q36" i="15"/>
  <c r="Q35" i="15"/>
  <c r="V39" i="2"/>
  <c r="V40" i="2" s="1"/>
  <c r="X41" i="1"/>
  <c r="G44" i="1"/>
  <c r="M16" i="13"/>
  <c r="Q43" i="11"/>
  <c r="Q42" i="11"/>
  <c r="S15" i="13"/>
  <c r="AF41" i="10"/>
  <c r="J19" i="13"/>
  <c r="J20" i="13"/>
  <c r="I20" i="13"/>
  <c r="U41" i="5"/>
  <c r="E11" i="13"/>
  <c r="C11" i="13"/>
  <c r="O11" i="13"/>
  <c r="G12" i="13"/>
  <c r="C12" i="13"/>
  <c r="E12" i="13"/>
  <c r="R13" i="13"/>
  <c r="O13" i="13"/>
  <c r="C42" i="8"/>
  <c r="C13" i="13"/>
  <c r="K13" i="13"/>
  <c r="W42" i="9"/>
  <c r="S14" i="13"/>
  <c r="Q42" i="15"/>
  <c r="O14" i="13"/>
  <c r="E14" i="13"/>
  <c r="K14" i="13"/>
  <c r="T42" i="9"/>
  <c r="P14" i="13"/>
  <c r="R14" i="13" s="1"/>
  <c r="V14" i="13" s="1"/>
  <c r="G14" i="13"/>
  <c r="C14" i="13"/>
  <c r="K15" i="13"/>
  <c r="G15" i="13"/>
  <c r="C15" i="13"/>
  <c r="R15" i="13"/>
  <c r="V15" i="13" s="1"/>
  <c r="O41" i="11"/>
  <c r="Q41" i="11" s="1"/>
  <c r="G17" i="13"/>
  <c r="V41" i="5"/>
  <c r="C10" i="13"/>
  <c r="E10" i="13"/>
  <c r="O10" i="13"/>
  <c r="K10" i="13"/>
  <c r="U41" i="3"/>
  <c r="C9" i="13"/>
  <c r="V41" i="3"/>
  <c r="C8" i="13"/>
  <c r="K8" i="13"/>
  <c r="U39" i="2"/>
  <c r="U40" i="2" s="1"/>
  <c r="Z39" i="2"/>
  <c r="F40" i="2"/>
  <c r="K7" i="13"/>
  <c r="C7" i="13"/>
  <c r="T40" i="2"/>
  <c r="G6" i="13"/>
  <c r="Y42" i="1"/>
  <c r="C44" i="1"/>
  <c r="A35" i="1"/>
  <c r="E6" i="13"/>
  <c r="R6" i="13"/>
  <c r="V6" i="13" s="1"/>
  <c r="C6" i="13"/>
  <c r="F42" i="1"/>
  <c r="O6" i="13"/>
  <c r="O17" i="13"/>
  <c r="C17" i="13"/>
  <c r="E17" i="13"/>
  <c r="K17" i="13"/>
  <c r="W41" i="11"/>
  <c r="S16" i="13"/>
  <c r="D41" i="11"/>
  <c r="D16" i="13"/>
  <c r="N41" i="11"/>
  <c r="L16" i="13"/>
  <c r="F41" i="11"/>
  <c r="F16" i="13"/>
  <c r="H41" i="11"/>
  <c r="H16" i="13"/>
  <c r="X41" i="11"/>
  <c r="T16" i="13"/>
  <c r="T41" i="11"/>
  <c r="P16" i="13"/>
  <c r="G41" i="11"/>
  <c r="G16" i="13"/>
  <c r="E41" i="11"/>
  <c r="E16" i="13"/>
  <c r="K41" i="11"/>
  <c r="K16" i="13"/>
  <c r="S41" i="11"/>
  <c r="O16" i="13"/>
  <c r="K42" i="7"/>
  <c r="K12" i="13"/>
  <c r="R12" i="13"/>
  <c r="V12" i="13" s="1"/>
  <c r="E42" i="3"/>
  <c r="E8" i="13"/>
  <c r="O8" i="13"/>
  <c r="S41" i="2"/>
  <c r="O7" i="13"/>
  <c r="W42" i="2"/>
  <c r="T7" i="13"/>
  <c r="D40" i="2"/>
  <c r="D7" i="13"/>
  <c r="E40" i="2"/>
  <c r="E7" i="13"/>
  <c r="I19" i="13"/>
  <c r="C41" i="11"/>
  <c r="C16" i="13"/>
  <c r="R43" i="12"/>
  <c r="E44" i="10"/>
  <c r="G44" i="10"/>
  <c r="W41" i="8"/>
  <c r="S13" i="13" s="1"/>
  <c r="N42" i="8"/>
  <c r="V41" i="8"/>
  <c r="X41" i="8"/>
  <c r="T13" i="13" s="1"/>
  <c r="Z41" i="8"/>
  <c r="R42" i="5"/>
  <c r="F42" i="10"/>
  <c r="G11" i="13"/>
  <c r="N11" i="13"/>
  <c r="H42" i="9"/>
  <c r="P11" i="13"/>
  <c r="W42" i="11"/>
  <c r="F11" i="13"/>
  <c r="S42" i="8"/>
  <c r="D11" i="13"/>
  <c r="K11" i="13"/>
  <c r="S11" i="13"/>
  <c r="L11" i="13"/>
  <c r="D42" i="8"/>
  <c r="AB36" i="1"/>
  <c r="AB41" i="1" s="1"/>
  <c r="AA36" i="1"/>
  <c r="S42" i="2"/>
  <c r="S40" i="2"/>
  <c r="F42" i="9"/>
  <c r="Y36" i="7"/>
  <c r="W44" i="3"/>
  <c r="C41" i="2"/>
  <c r="G44" i="9"/>
  <c r="K40" i="2"/>
  <c r="C42" i="2"/>
  <c r="N42" i="5"/>
  <c r="H42" i="1"/>
  <c r="W42" i="3"/>
  <c r="C44" i="8"/>
  <c r="F42" i="7"/>
  <c r="G43" i="12"/>
  <c r="F42" i="8"/>
  <c r="X42" i="10"/>
  <c r="G43" i="9"/>
  <c r="E43" i="10"/>
  <c r="H42" i="10"/>
  <c r="G43" i="11"/>
  <c r="F43" i="12"/>
  <c r="C43" i="7"/>
  <c r="G44" i="12"/>
  <c r="W43" i="9"/>
  <c r="H43" i="12"/>
  <c r="N43" i="12"/>
  <c r="G45" i="12"/>
  <c r="K42" i="2"/>
  <c r="G42" i="2"/>
  <c r="G43" i="10"/>
  <c r="Z42" i="1"/>
  <c r="T43" i="12"/>
  <c r="T42" i="3"/>
  <c r="N42" i="7"/>
  <c r="G40" i="2"/>
  <c r="G41" i="2"/>
  <c r="G42" i="10"/>
  <c r="C44" i="9"/>
  <c r="N42" i="10"/>
  <c r="S43" i="11"/>
  <c r="D43" i="12"/>
  <c r="O45" i="12"/>
  <c r="N40" i="2"/>
  <c r="K41" i="2"/>
  <c r="G44" i="7"/>
  <c r="G42" i="8"/>
  <c r="E44" i="9"/>
  <c r="C43" i="8"/>
  <c r="S42" i="5"/>
  <c r="G42" i="7"/>
  <c r="S42" i="11"/>
  <c r="E43" i="11"/>
  <c r="H42" i="3"/>
  <c r="C43" i="9"/>
  <c r="W40" i="2"/>
  <c r="D42" i="9"/>
  <c r="C42" i="10"/>
  <c r="H40" i="2"/>
  <c r="C44" i="7"/>
  <c r="X40" i="2"/>
  <c r="W43" i="11"/>
  <c r="G42" i="11"/>
  <c r="E42" i="11"/>
  <c r="F42" i="3"/>
  <c r="Y43" i="1"/>
  <c r="S44" i="3"/>
  <c r="W41" i="2"/>
  <c r="E41" i="2"/>
  <c r="E42" i="2"/>
  <c r="G43" i="1"/>
  <c r="E45" i="12"/>
  <c r="K43" i="12"/>
  <c r="W45" i="12"/>
  <c r="S44" i="12"/>
  <c r="E43" i="12"/>
  <c r="W43" i="12"/>
  <c r="E44" i="12"/>
  <c r="C45" i="12"/>
  <c r="O43" i="12"/>
  <c r="C43" i="12"/>
  <c r="S45" i="12"/>
  <c r="W44" i="12"/>
  <c r="C44" i="12"/>
  <c r="S43" i="12"/>
  <c r="X43" i="12"/>
  <c r="Z16" i="11"/>
  <c r="Z40" i="11" s="1"/>
  <c r="Y16" i="11"/>
  <c r="C43" i="11"/>
  <c r="C42" i="11"/>
  <c r="E42" i="10"/>
  <c r="K42" i="10"/>
  <c r="W43" i="10"/>
  <c r="D42" i="10"/>
  <c r="Z35" i="10"/>
  <c r="Z41" i="10" s="1"/>
  <c r="W44" i="10"/>
  <c r="W42" i="10"/>
  <c r="W44" i="9"/>
  <c r="E43" i="9"/>
  <c r="X42" i="9"/>
  <c r="S42" i="9"/>
  <c r="S43" i="9"/>
  <c r="N42" i="9"/>
  <c r="E42" i="9"/>
  <c r="K42" i="9"/>
  <c r="S44" i="9"/>
  <c r="G42" i="9"/>
  <c r="S43" i="8"/>
  <c r="T42" i="8"/>
  <c r="G44" i="8"/>
  <c r="G43" i="8"/>
  <c r="S44" i="8"/>
  <c r="H42" i="8"/>
  <c r="K42" i="8"/>
  <c r="E43" i="8"/>
  <c r="E42" i="8"/>
  <c r="H42" i="7"/>
  <c r="W44" i="7"/>
  <c r="G43" i="7"/>
  <c r="W42" i="7"/>
  <c r="W43" i="7"/>
  <c r="E44" i="7"/>
  <c r="C42" i="7"/>
  <c r="S44" i="7"/>
  <c r="E43" i="7"/>
  <c r="X42" i="7"/>
  <c r="D42" i="7"/>
  <c r="E42" i="7"/>
  <c r="K42" i="5"/>
  <c r="W42" i="5"/>
  <c r="O42" i="5"/>
  <c r="C42" i="5"/>
  <c r="T42" i="5"/>
  <c r="S44" i="5"/>
  <c r="S43" i="5"/>
  <c r="F42" i="5"/>
  <c r="H42" i="5"/>
  <c r="D42" i="5"/>
  <c r="S43" i="3"/>
  <c r="E43" i="3"/>
  <c r="G44" i="3"/>
  <c r="E44" i="3"/>
  <c r="K43" i="3"/>
  <c r="D42" i="3"/>
  <c r="Y32" i="3"/>
  <c r="Y41" i="3" s="1"/>
  <c r="R6" i="15" s="1"/>
  <c r="S6" i="15" s="1"/>
  <c r="G42" i="1"/>
  <c r="D42" i="1"/>
  <c r="E43" i="1"/>
  <c r="E44" i="1"/>
  <c r="E42" i="1"/>
  <c r="K11" i="14"/>
  <c r="K12" i="14"/>
  <c r="K10" i="14"/>
  <c r="K15" i="14"/>
  <c r="C44" i="10"/>
  <c r="C43" i="10"/>
  <c r="Y17" i="8"/>
  <c r="Y41" i="8" s="1"/>
  <c r="R11" i="15" s="1"/>
  <c r="S11" i="15" s="1"/>
  <c r="X42" i="5"/>
  <c r="W44" i="5"/>
  <c r="W43" i="5"/>
  <c r="E42" i="5"/>
  <c r="E43" i="5"/>
  <c r="E44" i="5"/>
  <c r="C44" i="5"/>
  <c r="Y10" i="5"/>
  <c r="Y41" i="5" s="1"/>
  <c r="R8" i="15" s="1"/>
  <c r="S8" i="15" s="1"/>
  <c r="C43" i="5"/>
  <c r="Z26" i="5"/>
  <c r="Z41" i="5" s="1"/>
  <c r="W43" i="3"/>
  <c r="X42" i="3"/>
  <c r="C44" i="3"/>
  <c r="G42" i="3"/>
  <c r="G43" i="3"/>
  <c r="Z32" i="3"/>
  <c r="Z41" i="3" s="1"/>
  <c r="K44" i="3"/>
  <c r="C43" i="3"/>
  <c r="C42" i="3"/>
  <c r="N42" i="3"/>
  <c r="C42" i="1"/>
  <c r="C43" i="1"/>
  <c r="Y40" i="11" l="1"/>
  <c r="R14" i="15" s="1"/>
  <c r="S14" i="15" s="1"/>
  <c r="Q17" i="13"/>
  <c r="U17" i="13" s="1"/>
  <c r="Q16" i="13"/>
  <c r="U16" i="13" s="1"/>
  <c r="Q30" i="15"/>
  <c r="Q15" i="15"/>
  <c r="Q45" i="15"/>
  <c r="Q44" i="15"/>
  <c r="Q74" i="15"/>
  <c r="Q13" i="15"/>
  <c r="Q28" i="15"/>
  <c r="Q12" i="15"/>
  <c r="Q27" i="15"/>
  <c r="Q41" i="15"/>
  <c r="Q26" i="15"/>
  <c r="Q25" i="15"/>
  <c r="Q39" i="15"/>
  <c r="Q24" i="15"/>
  <c r="Q9" i="15"/>
  <c r="Y44" i="5"/>
  <c r="Q38" i="15"/>
  <c r="Q23" i="15"/>
  <c r="Q22" i="15"/>
  <c r="Q21" i="15"/>
  <c r="Q20" i="15"/>
  <c r="Q5" i="15"/>
  <c r="Q34" i="15"/>
  <c r="Q19" i="15"/>
  <c r="Q15" i="13"/>
  <c r="U15" i="13" s="1"/>
  <c r="Q13" i="13"/>
  <c r="U13" i="13" s="1"/>
  <c r="P76" i="15"/>
  <c r="M11" i="13"/>
  <c r="Q11" i="13" s="1"/>
  <c r="U11" i="13" s="1"/>
  <c r="Q12" i="13"/>
  <c r="U12" i="13" s="1"/>
  <c r="V13" i="13"/>
  <c r="Q14" i="13"/>
  <c r="U14" i="13" s="1"/>
  <c r="Z41" i="11"/>
  <c r="U41" i="11"/>
  <c r="Q7" i="13"/>
  <c r="U7" i="13" s="1"/>
  <c r="R11" i="13"/>
  <c r="V11" i="13" s="1"/>
  <c r="P31" i="15"/>
  <c r="S31" i="15" s="1"/>
  <c r="R16" i="13"/>
  <c r="V16" i="13" s="1"/>
  <c r="Y41" i="11"/>
  <c r="R7" i="13"/>
  <c r="V7" i="13" s="1"/>
  <c r="Z42" i="10"/>
  <c r="C18" i="13"/>
  <c r="B21" i="14" s="1"/>
  <c r="W42" i="8"/>
  <c r="Z43" i="12"/>
  <c r="Y44" i="12"/>
  <c r="Y43" i="12"/>
  <c r="U44" i="12"/>
  <c r="U43" i="12"/>
  <c r="Y45" i="12"/>
  <c r="U45" i="12"/>
  <c r="V43" i="12"/>
  <c r="U42" i="11"/>
  <c r="U43" i="11"/>
  <c r="U42" i="10"/>
  <c r="U43" i="10"/>
  <c r="Y42" i="10"/>
  <c r="U44" i="10"/>
  <c r="V42" i="10"/>
  <c r="V42" i="9"/>
  <c r="U44" i="9"/>
  <c r="Y44" i="9"/>
  <c r="Z42" i="9"/>
  <c r="Y42" i="9"/>
  <c r="Y43" i="9"/>
  <c r="U43" i="9"/>
  <c r="U42" i="9"/>
  <c r="W43" i="8"/>
  <c r="U43" i="8"/>
  <c r="U42" i="8"/>
  <c r="Z42" i="8"/>
  <c r="X42" i="8"/>
  <c r="W44" i="8"/>
  <c r="U44" i="8"/>
  <c r="V42" i="8"/>
  <c r="U42" i="5"/>
  <c r="U43" i="5"/>
  <c r="U44" i="5"/>
  <c r="V42" i="5"/>
  <c r="V42" i="3"/>
  <c r="Y41" i="2"/>
  <c r="Z40" i="2"/>
  <c r="Y42" i="2"/>
  <c r="Y40" i="2"/>
  <c r="X42" i="1"/>
  <c r="AB42" i="1"/>
  <c r="U42" i="2"/>
  <c r="U41" i="2"/>
  <c r="U43" i="3"/>
  <c r="U42" i="3"/>
  <c r="U44" i="3"/>
  <c r="Q76" i="15" l="1"/>
  <c r="S76" i="15"/>
  <c r="B22" i="14"/>
  <c r="B24" i="14" s="1"/>
  <c r="Q14" i="15"/>
  <c r="Q11" i="15"/>
  <c r="Q69" i="15"/>
  <c r="Q8" i="15"/>
  <c r="Q31" i="15"/>
  <c r="Y42" i="3"/>
  <c r="C19" i="13"/>
  <c r="Z42" i="3"/>
  <c r="Y43" i="3"/>
  <c r="Y43" i="10"/>
  <c r="Y44" i="10"/>
  <c r="Y43" i="11"/>
  <c r="Y44" i="3"/>
  <c r="Y42" i="11"/>
  <c r="Y43" i="8"/>
  <c r="Y42" i="8"/>
  <c r="Y44" i="8"/>
  <c r="Z42" i="5"/>
  <c r="Y42" i="5"/>
  <c r="Y43" i="5"/>
  <c r="R40" i="4"/>
  <c r="S40" i="4"/>
  <c r="R37" i="15" s="1"/>
  <c r="S37" i="15" l="1"/>
  <c r="R46" i="15"/>
  <c r="S46" i="15" s="1"/>
  <c r="Q6" i="15"/>
  <c r="Q42" i="4"/>
  <c r="Q43" i="4"/>
  <c r="O40" i="4"/>
  <c r="T40" i="4"/>
  <c r="P9" i="13" s="1"/>
  <c r="P18" i="13" s="1"/>
  <c r="V40" i="4"/>
  <c r="X40" i="4"/>
  <c r="T9" i="13" s="1"/>
  <c r="T18" i="13" s="1"/>
  <c r="G40" i="4"/>
  <c r="G9" i="13" s="1"/>
  <c r="W40" i="4"/>
  <c r="S9" i="13" s="1"/>
  <c r="S18" i="13" s="1"/>
  <c r="I21" i="14" s="1"/>
  <c r="I22" i="14" s="1"/>
  <c r="I24" i="14" s="1"/>
  <c r="N9" i="13"/>
  <c r="F40" i="4"/>
  <c r="F9" i="13" s="1"/>
  <c r="F18" i="13" s="1"/>
  <c r="H40" i="4"/>
  <c r="H9" i="13" s="1"/>
  <c r="H18" i="13" s="1"/>
  <c r="N40" i="4"/>
  <c r="K40" i="4"/>
  <c r="U40" i="4"/>
  <c r="D40" i="4"/>
  <c r="D9" i="13" s="1"/>
  <c r="Y40" i="4"/>
  <c r="R7" i="15" s="1"/>
  <c r="E40" i="4"/>
  <c r="R82" i="15" s="1"/>
  <c r="Z40" i="4"/>
  <c r="L9" i="13" l="1"/>
  <c r="L18" i="13" s="1"/>
  <c r="M43" i="4"/>
  <c r="M42" i="4"/>
  <c r="S82" i="15"/>
  <c r="R91" i="15"/>
  <c r="S7" i="15"/>
  <c r="Q7" i="15"/>
  <c r="T19" i="13"/>
  <c r="T20" i="13"/>
  <c r="H19" i="13"/>
  <c r="S20" i="13"/>
  <c r="L19" i="13"/>
  <c r="P19" i="13"/>
  <c r="F19" i="13"/>
  <c r="O9" i="13"/>
  <c r="O18" i="13" s="1"/>
  <c r="Q37" i="15"/>
  <c r="K9" i="13"/>
  <c r="E9" i="13"/>
  <c r="E18" i="13" s="1"/>
  <c r="R9" i="13"/>
  <c r="V9" i="13" s="1"/>
  <c r="D18" i="13"/>
  <c r="S19" i="13"/>
  <c r="G41" i="4"/>
  <c r="F41" i="4"/>
  <c r="E43" i="4"/>
  <c r="V41" i="4"/>
  <c r="U43" i="4"/>
  <c r="Z41" i="4"/>
  <c r="Y43" i="4"/>
  <c r="U41" i="4"/>
  <c r="U42" i="4"/>
  <c r="K41" i="4"/>
  <c r="S41" i="4"/>
  <c r="S42" i="4"/>
  <c r="E41" i="4"/>
  <c r="E42" i="4"/>
  <c r="W43" i="4"/>
  <c r="X41" i="4"/>
  <c r="Y41" i="4"/>
  <c r="Y42" i="4"/>
  <c r="R41" i="4"/>
  <c r="D41" i="4"/>
  <c r="C42" i="4"/>
  <c r="C43" i="4"/>
  <c r="W42" i="4"/>
  <c r="W41" i="4"/>
  <c r="T41" i="4"/>
  <c r="S43" i="4"/>
  <c r="G42" i="4"/>
  <c r="G43" i="4"/>
  <c r="H41" i="4"/>
  <c r="N41" i="4"/>
  <c r="O41" i="4"/>
  <c r="E20" i="13" l="1"/>
  <c r="C21" i="14"/>
  <c r="O20" i="13"/>
  <c r="H21" i="14"/>
  <c r="H22" i="14" s="1"/>
  <c r="H24" i="14" s="1"/>
  <c r="D19" i="13"/>
  <c r="D20" i="13"/>
  <c r="C20" i="13"/>
  <c r="F20" i="13"/>
  <c r="P20" i="13"/>
  <c r="Q9" i="13"/>
  <c r="U9" i="13" s="1"/>
  <c r="E19" i="13"/>
  <c r="O19" i="13"/>
  <c r="P91" i="15"/>
  <c r="Q61" i="15"/>
  <c r="S91" i="15" l="1"/>
  <c r="Q91" i="15"/>
  <c r="C22" i="14"/>
  <c r="C24" i="14" s="1"/>
  <c r="O42" i="7" l="1"/>
  <c r="Y12" i="7"/>
  <c r="Y41" i="7" s="1"/>
  <c r="R10" i="15" s="1"/>
  <c r="U12" i="7"/>
  <c r="U41" i="7" s="1"/>
  <c r="S10" i="15" l="1"/>
  <c r="Q10" i="15"/>
  <c r="Y42" i="7" l="1"/>
  <c r="U42" i="7"/>
  <c r="V12" i="7" l="1"/>
  <c r="V41" i="7" s="1"/>
  <c r="Z12" i="7" l="1"/>
  <c r="Z41" i="7" s="1"/>
  <c r="Y44" i="7" l="1"/>
  <c r="Y43" i="7"/>
  <c r="V42" i="7"/>
  <c r="U44" i="7"/>
  <c r="U43" i="7"/>
  <c r="Z42" i="7" l="1"/>
  <c r="R42" i="7" l="1"/>
  <c r="R42" i="3" l="1"/>
  <c r="N8" i="13"/>
  <c r="R8" i="13" s="1"/>
  <c r="N18" i="13" l="1"/>
  <c r="N19" i="13" s="1"/>
  <c r="R18" i="13"/>
  <c r="V8" i="13"/>
  <c r="V18" i="13" s="1"/>
  <c r="P42" i="3"/>
  <c r="O42" i="3"/>
  <c r="Q43" i="3"/>
  <c r="M8" i="13"/>
  <c r="M18" i="13" l="1"/>
  <c r="Q8" i="13"/>
  <c r="U8" i="13" s="1"/>
  <c r="V19" i="13"/>
  <c r="R19" i="13"/>
  <c r="N20" i="13" l="1"/>
  <c r="G21" i="14"/>
  <c r="G22" i="14" s="1"/>
  <c r="G24" i="14" s="1"/>
  <c r="M20" i="13"/>
  <c r="M19" i="13"/>
  <c r="G18" i="5" l="1"/>
  <c r="G41" i="5" s="1"/>
  <c r="G10" i="13" s="1"/>
  <c r="Q10" i="13" s="1"/>
  <c r="U10" i="13" s="1"/>
  <c r="G18" i="13" l="1"/>
  <c r="D21" i="14" s="1"/>
  <c r="G44" i="5"/>
  <c r="G43" i="5"/>
  <c r="G42" i="5"/>
  <c r="D22" i="14" l="1"/>
  <c r="D24" i="14" s="1"/>
  <c r="G20" i="13"/>
  <c r="H20" i="13"/>
  <c r="G19" i="13"/>
  <c r="AH5" i="1" l="1"/>
  <c r="AH43" i="1"/>
  <c r="M12" i="1"/>
  <c r="M41" i="1" s="1"/>
  <c r="O5" i="1"/>
  <c r="O12" i="1" s="1"/>
  <c r="O41" i="1" s="1"/>
  <c r="R49" i="15" s="1"/>
  <c r="S49" i="15" l="1"/>
  <c r="R61" i="15"/>
  <c r="S61" i="15" s="1"/>
  <c r="O44" i="1"/>
  <c r="K6" i="13"/>
  <c r="Q6" i="13" s="1"/>
  <c r="Q18" i="13" s="1"/>
  <c r="W5" i="1"/>
  <c r="K18" i="13"/>
  <c r="M42" i="1"/>
  <c r="M43" i="1"/>
  <c r="P43" i="1"/>
  <c r="L20" i="13" l="1"/>
  <c r="F21" i="14"/>
  <c r="W12" i="1"/>
  <c r="W41" i="1" s="1"/>
  <c r="AA5" i="1"/>
  <c r="AA12" i="1" s="1"/>
  <c r="AA41" i="1" s="1"/>
  <c r="R4" i="15" s="1"/>
  <c r="U6" i="13"/>
  <c r="K20" i="13"/>
  <c r="K19" i="13"/>
  <c r="Q20" i="13"/>
  <c r="R20" i="13"/>
  <c r="Q19" i="13"/>
  <c r="U18" i="13" l="1"/>
  <c r="V20" i="13" s="1"/>
  <c r="S4" i="15"/>
  <c r="R16" i="15"/>
  <c r="S16" i="15" s="1"/>
  <c r="F22" i="14"/>
  <c r="F24" i="14" s="1"/>
  <c r="J21" i="14"/>
  <c r="U19" i="13"/>
  <c r="U20" i="13"/>
  <c r="AA44" i="1"/>
  <c r="W44" i="1"/>
  <c r="AA42" i="1"/>
  <c r="AA43" i="1"/>
  <c r="W43" i="1"/>
  <c r="W42" i="1"/>
  <c r="K21" i="14" l="1"/>
  <c r="J22" i="14"/>
  <c r="J24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Sonne Seehotel Stefan Fuchs</author>
  </authors>
  <commentList>
    <comment ref="C4" authorId="0" guid="{44DFECDF-4871-45CF-9644-5AD7233E5B9E}" shapeId="0" xr:uid="{2D57EA4F-ECBC-4490-85FD-FC1A7ED4613E}">
      <text>
        <r>
          <rPr>
            <b/>
            <sz val="9"/>
            <color indexed="81"/>
            <rFont val="Segoe UI"/>
            <family val="2"/>
          </rPr>
          <t>Sonne Seehotel Stefan Fuchs:</t>
        </r>
        <r>
          <rPr>
            <sz val="9"/>
            <color indexed="81"/>
            <rFont val="Segoe UI"/>
            <family val="2"/>
          </rPr>
          <t xml:space="preserve">
inkl. Keine Gruppierung</t>
        </r>
      </text>
    </comment>
  </commentList>
</comments>
</file>

<file path=xl/sharedStrings.xml><?xml version="1.0" encoding="utf-8"?>
<sst xmlns="http://schemas.openxmlformats.org/spreadsheetml/2006/main" count="2075" uniqueCount="210">
  <si>
    <t>Info's</t>
  </si>
  <si>
    <t xml:space="preserve"> </t>
  </si>
  <si>
    <t>Hotel</t>
  </si>
  <si>
    <t>Wetter</t>
  </si>
  <si>
    <t>Temp.</t>
  </si>
  <si>
    <t>Bemerkung</t>
  </si>
  <si>
    <t>Fr</t>
  </si>
  <si>
    <t>°C</t>
  </si>
  <si>
    <t>Sa</t>
  </si>
  <si>
    <t>So</t>
  </si>
  <si>
    <t>KW</t>
  </si>
  <si>
    <r>
      <rPr>
        <b/>
        <sz val="11"/>
        <rFont val="Calibri"/>
        <family val="2"/>
      </rPr>
      <t>Ø</t>
    </r>
    <r>
      <rPr>
        <b/>
        <sz val="11"/>
        <rFont val="DIN Offc"/>
        <family val="2"/>
      </rPr>
      <t xml:space="preserve"> Temp</t>
    </r>
  </si>
  <si>
    <t>Mo</t>
  </si>
  <si>
    <t>Di</t>
  </si>
  <si>
    <t>Mi</t>
  </si>
  <si>
    <t>Do</t>
  </si>
  <si>
    <t>Umsatz kumuliert</t>
  </si>
  <si>
    <t>Budget pro Tag</t>
  </si>
  <si>
    <t>Diff. zu Budget</t>
  </si>
  <si>
    <t>Index</t>
  </si>
  <si>
    <t>Restaurant</t>
  </si>
  <si>
    <t>Budget</t>
  </si>
  <si>
    <t>IST</t>
  </si>
  <si>
    <t>Terrasse</t>
  </si>
  <si>
    <t>Lounge</t>
  </si>
  <si>
    <t>Bankett</t>
  </si>
  <si>
    <t>Seebad</t>
  </si>
  <si>
    <t>TOTAL Gesamtbetrieb mit Seebad</t>
  </si>
  <si>
    <t>Umsatz pro Tag</t>
  </si>
  <si>
    <r>
      <rPr>
        <b/>
        <sz val="11"/>
        <rFont val="DIN Offc Medium"/>
        <family val="2"/>
      </rPr>
      <t>TOTAL</t>
    </r>
    <r>
      <rPr>
        <sz val="11"/>
        <rFont val="DIN Offc Medium"/>
        <family val="2"/>
      </rPr>
      <t xml:space="preserve"> Gesamtbetrieb ohne Seebad</t>
    </r>
  </si>
  <si>
    <t>Seminar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</si>
  <si>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</si>
  <si>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</si>
  <si>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</si>
  <si>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</si>
  <si>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</si>
  <si>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</si>
  <si>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</si>
  <si>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</si>
  <si>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</si>
  <si>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</si>
  <si>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</si>
  <si>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</si>
  <si>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 xml:space="preserve">Monatsumsätze </t>
  </si>
  <si>
    <r>
      <rPr>
        <sz val="10"/>
        <rFont val="Calibri"/>
        <family val="2"/>
      </rPr>
      <t>Ø</t>
    </r>
    <r>
      <rPr>
        <sz val="10"/>
        <rFont val="DIN Offc"/>
        <family val="2"/>
      </rPr>
      <t xml:space="preserve"> Umsatz pro Monat</t>
    </r>
  </si>
  <si>
    <t>Gesamt</t>
  </si>
  <si>
    <t>Jahr</t>
  </si>
  <si>
    <t>Ist</t>
  </si>
  <si>
    <t>2010</t>
  </si>
  <si>
    <t>INDEX 
in%</t>
  </si>
  <si>
    <t>MA Kosten in%</t>
  </si>
  <si>
    <t>TOTAL</t>
  </si>
  <si>
    <t>2022</t>
  </si>
  <si>
    <t>Pavillon</t>
  </si>
  <si>
    <t xml:space="preserve">Tagesumsätze </t>
  </si>
  <si>
    <t>Tagesumsätze</t>
  </si>
  <si>
    <t>Monats- Umsatzentwicklung Brutto</t>
  </si>
  <si>
    <t>bewölkt</t>
  </si>
  <si>
    <t>sonnig</t>
  </si>
  <si>
    <t>Regen</t>
  </si>
  <si>
    <t>bedeckt</t>
  </si>
  <si>
    <t>Durchschnitt</t>
  </si>
  <si>
    <t>teilweise sonnig</t>
  </si>
  <si>
    <t>Januar - Dezember</t>
  </si>
  <si>
    <t>2021</t>
  </si>
  <si>
    <t>2023</t>
  </si>
  <si>
    <t>Ostersonntag</t>
  </si>
  <si>
    <t>Karfreitag</t>
  </si>
  <si>
    <t>IST/GN</t>
  </si>
  <si>
    <t>IST/ET</t>
  </si>
  <si>
    <t>TOTAL IST</t>
  </si>
  <si>
    <t>TOTAL Gesamtbetrieb ohne Seebad</t>
  </si>
  <si>
    <t>Hochnebel</t>
  </si>
  <si>
    <t>Regenschauer</t>
  </si>
  <si>
    <t>ziemlich sonnig</t>
  </si>
  <si>
    <t>Ø Temp</t>
  </si>
  <si>
    <t>Umsatz-Jahresvergleich brutto</t>
  </si>
  <si>
    <t>Regen, Gewitter</t>
  </si>
  <si>
    <t>bedeckt, sonnig</t>
  </si>
  <si>
    <t>bewölkt, Regenschauer</t>
  </si>
  <si>
    <t>Gegenkontrolle Gastronovi</t>
  </si>
  <si>
    <t>bedeckt, Regenschauer</t>
  </si>
  <si>
    <t>hohe Wolkenfelder</t>
  </si>
  <si>
    <t>Maria Himmelfahrt</t>
  </si>
  <si>
    <t>Maria Empfängnis</t>
  </si>
  <si>
    <t>Differenz zu Budget</t>
  </si>
  <si>
    <t>bewölkt, sonnig</t>
  </si>
  <si>
    <t>sonnig, leichter Regenschauer</t>
  </si>
  <si>
    <t>leichter Regenschauer</t>
  </si>
  <si>
    <t>trockene Abschnitte, Regenschauer</t>
  </si>
  <si>
    <t>Regenschauer, trockene Abschnitte</t>
  </si>
  <si>
    <t>trocken, Regenschauer</t>
  </si>
  <si>
    <t>Zusammenzug 2024</t>
  </si>
  <si>
    <t>Neujahr</t>
  </si>
  <si>
    <t>Berchtoldstag</t>
  </si>
  <si>
    <t>MA Feier ab 15:00 geschlossen</t>
  </si>
  <si>
    <t>bedeckt, teilweise sonnig</t>
  </si>
  <si>
    <t>bedeckt, windig</t>
  </si>
  <si>
    <t>Di.</t>
  </si>
  <si>
    <t>Mi.</t>
  </si>
  <si>
    <t>Do.</t>
  </si>
  <si>
    <t>bedeckt, leichter Schneeschauer</t>
  </si>
  <si>
    <t>bedeckt, ziemlich sonnig</t>
  </si>
  <si>
    <t>bedeckt, hochnebel</t>
  </si>
  <si>
    <t>leichter Regen- oder Schneeschauer</t>
  </si>
  <si>
    <t>leicht Regenschauer</t>
  </si>
  <si>
    <t>Regenschauer mit trockenen Abschnitten</t>
  </si>
  <si>
    <t xml:space="preserve">leicht bewölkt </t>
  </si>
  <si>
    <t>2024</t>
  </si>
  <si>
    <t>sonnig, bedeckt</t>
  </si>
  <si>
    <t xml:space="preserve"> bedeckt, Regenschauer</t>
  </si>
  <si>
    <t>Tageshälfte sonnig</t>
  </si>
  <si>
    <t>Wolkenfelder</t>
  </si>
  <si>
    <t>Valentinstag</t>
  </si>
  <si>
    <t>Tageshälfte bewölkt</t>
  </si>
  <si>
    <t xml:space="preserve"> bewölkt</t>
  </si>
  <si>
    <t>Ostersamstag</t>
  </si>
  <si>
    <t>regenschauer, bedeckt</t>
  </si>
  <si>
    <t>Schnee, Regen</t>
  </si>
  <si>
    <t>OK/SN</t>
  </si>
  <si>
    <t>Zunächst bedeckt</t>
  </si>
  <si>
    <t>neblig, bedeckt</t>
  </si>
  <si>
    <t>Sonnig</t>
  </si>
  <si>
    <t>Fr.</t>
  </si>
  <si>
    <t>Ostermontag</t>
  </si>
  <si>
    <t>Sa.</t>
  </si>
  <si>
    <t>So.</t>
  </si>
  <si>
    <t>Fronleichnam</t>
  </si>
  <si>
    <t>Auffahrt</t>
  </si>
  <si>
    <t>Pfingsten</t>
  </si>
  <si>
    <t>Pfingstmontag</t>
  </si>
  <si>
    <t>Nationalfeiertag</t>
  </si>
  <si>
    <t>Allerheiligen</t>
  </si>
  <si>
    <t>Silvester</t>
  </si>
  <si>
    <t>Heilig Abend</t>
  </si>
  <si>
    <t>Weihnachten</t>
  </si>
  <si>
    <t>Stephanstag</t>
  </si>
  <si>
    <t>Regenschauer, Wind</t>
  </si>
  <si>
    <t>wechselhaft</t>
  </si>
  <si>
    <t>Regenschauner, sonnig</t>
  </si>
  <si>
    <t>Sonnig, hohe Wolkenfelder</t>
  </si>
  <si>
    <t>bedeckt, straker Regen</t>
  </si>
  <si>
    <t>regenschauer, sonnig</t>
  </si>
  <si>
    <t>trocken, etwas Regenschauer</t>
  </si>
  <si>
    <t>Weisser Sonntag</t>
  </si>
  <si>
    <t>bedeckt, windig, regen</t>
  </si>
  <si>
    <t>Regen, bedeckt</t>
  </si>
  <si>
    <t>Schnee, Regenschauer</t>
  </si>
  <si>
    <t>Regenschauer, bedeckt</t>
  </si>
  <si>
    <t>starker Regen- oder Schneeschauer mit trockenen Abschnitten</t>
  </si>
  <si>
    <t>Regen-oder Schneeschauer</t>
  </si>
  <si>
    <t>Regenschauer, sonnig</t>
  </si>
  <si>
    <t>Hotel inkl. Fst</t>
  </si>
  <si>
    <t>regen, bedeckt</t>
  </si>
  <si>
    <t>Muttertag</t>
  </si>
  <si>
    <t>bedeckt, regen</t>
  </si>
  <si>
    <t>bedeckt, starker regenschauer</t>
  </si>
  <si>
    <t>sonnig, abend regen</t>
  </si>
  <si>
    <t>bewölkt, regen</t>
  </si>
  <si>
    <t>regen</t>
  </si>
  <si>
    <t>bedeckt, regenschauer</t>
  </si>
  <si>
    <t>regen, gewitter</t>
  </si>
  <si>
    <t>regenschauer</t>
  </si>
  <si>
    <t>veränderlich</t>
  </si>
  <si>
    <t>sonnig, regenschauer</t>
  </si>
  <si>
    <t>Regenschauer, Hochnebel</t>
  </si>
  <si>
    <t>hochnebel</t>
  </si>
  <si>
    <t xml:space="preserve">bedeckt </t>
  </si>
  <si>
    <t>regenschauer, gewitter</t>
  </si>
  <si>
    <t>starker Regen</t>
  </si>
  <si>
    <t>nachmittag regenschauer</t>
  </si>
  <si>
    <t>sonnig, abends Gewitter</t>
  </si>
  <si>
    <t>bewolkt</t>
  </si>
  <si>
    <t>leichte Regenschauer</t>
  </si>
  <si>
    <t>regen, bewölkt</t>
  </si>
  <si>
    <t>Bewölkt</t>
  </si>
  <si>
    <t>hohe wolkenfelder</t>
  </si>
  <si>
    <t>sonnig, abend regenschauer 22.00 Uhr</t>
  </si>
  <si>
    <t>wechselhaft, gewitter ab nachmittag</t>
  </si>
  <si>
    <t>wechselhaft, ab 19.00 Uhr gewitter</t>
  </si>
  <si>
    <t>vormittag Regenschauer, NM bewölkt</t>
  </si>
  <si>
    <t xml:space="preserve">wechselhaft </t>
  </si>
  <si>
    <t>sonnig und hochnebel am nachmittag</t>
  </si>
  <si>
    <t>bewölkt, Vormittags Regen</t>
  </si>
  <si>
    <t>sonnig, nachmittag gewitter</t>
  </si>
  <si>
    <t>morgens Regen, nachmittags bedeckt</t>
  </si>
  <si>
    <t>wec hselhaft</t>
  </si>
  <si>
    <t>Nachmittags sonnig</t>
  </si>
  <si>
    <t>wechselhaft, Abend Regen</t>
  </si>
  <si>
    <t xml:space="preserve">bewölkt </t>
  </si>
  <si>
    <t>bewélkt</t>
  </si>
  <si>
    <t>sonnig, am Abend Regen</t>
  </si>
  <si>
    <t>nachmittag sonnig</t>
  </si>
  <si>
    <t>hochnebel, regenschauer</t>
  </si>
  <si>
    <t>Hochnbel, sonnig</t>
  </si>
  <si>
    <t>Abend Hochnebel</t>
  </si>
  <si>
    <t>Hochnbebel</t>
  </si>
  <si>
    <t>sonnig, abend regenschauer</t>
  </si>
  <si>
    <t>sonnig, teils bedeckt</t>
  </si>
  <si>
    <t>bedeckt, Schneeschauer</t>
  </si>
  <si>
    <t>regen und schneeschauer</t>
  </si>
  <si>
    <t>Hohe Wolkenfelder</t>
  </si>
  <si>
    <t>NA sonnig, Abend Regen</t>
  </si>
  <si>
    <t>am morgen nebel</t>
  </si>
  <si>
    <t>regen und bedeckt</t>
  </si>
  <si>
    <t>schneeschauer</t>
  </si>
  <si>
    <t>sonnig, leicht bedeckt</t>
  </si>
  <si>
    <t>Schneeschauer</t>
  </si>
  <si>
    <t>bedeckt, Nachmittag sonnig</t>
  </si>
  <si>
    <t>bedeckt, nebel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</si>
</sst>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.0_ ;_ * \-#,##0.0_ ;_ * &quot;-&quot;??_ ;_ @_ "/>
    <numFmt numFmtId="165" formatCode="0.0"/>
    <numFmt numFmtId="166" formatCode="0.00_ ;[Red]\-0.00\ "/>
    <numFmt numFmtId="167" formatCode="mmmm\ yyyy"/>
    <numFmt numFmtId="168" formatCode="_ * #,##0_ ;_ * \-#,##0_ ;_ * &quot;-&quot;??_ ;_ @_ "/>
    <numFmt numFmtId="169" formatCode="#,##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Pluto Bold"/>
      <family val="2"/>
    </font>
    <font>
      <sz val="24"/>
      <color theme="1"/>
      <name val="Pluto Bold"/>
      <family val="2"/>
    </font>
    <font>
      <sz val="24"/>
      <color theme="1"/>
      <name val="DIN Offc Medium"/>
      <family val="2"/>
    </font>
    <font>
      <sz val="14"/>
      <color theme="1"/>
      <name val="DIN Offc Medium"/>
      <family val="2"/>
    </font>
    <font>
      <sz val="10"/>
      <color theme="1"/>
      <name val="DIN Offc"/>
      <family val="2"/>
    </font>
    <font>
      <b/>
      <sz val="14"/>
      <color theme="1"/>
      <name val="DIN Offc Medium"/>
      <family val="2"/>
    </font>
    <font>
      <b/>
      <sz val="14"/>
      <color theme="1"/>
      <name val="DIN Offc"/>
      <family val="2"/>
    </font>
    <font>
      <sz val="11"/>
      <color theme="1"/>
      <name val="DIN Offc"/>
      <family val="2"/>
    </font>
    <font>
      <sz val="11"/>
      <name val="DIN Offc Medium"/>
      <family val="2"/>
    </font>
    <font>
      <b/>
      <sz val="11"/>
      <name val="DIN Offc Medium"/>
      <family val="2"/>
    </font>
    <font>
      <b/>
      <sz val="11"/>
      <name val="Univers LT Std 47 Cn Lt"/>
      <family val="2"/>
    </font>
    <font>
      <sz val="11"/>
      <name val="DIN Offc"/>
      <family val="2"/>
    </font>
    <font>
      <sz val="10"/>
      <name val="DIN Offc"/>
      <family val="2"/>
    </font>
    <font>
      <b/>
      <sz val="11"/>
      <name val="DIN Offc"/>
      <family val="2"/>
    </font>
    <font>
      <b/>
      <sz val="11"/>
      <name val="Calibri"/>
      <family val="2"/>
    </font>
    <font>
      <b/>
      <sz val="11"/>
      <color theme="1"/>
      <name val="DIN Offc"/>
      <family val="2"/>
    </font>
    <font>
      <sz val="9"/>
      <name val="DIN Offc"/>
      <family val="2"/>
    </font>
    <font>
      <sz val="16"/>
      <color theme="1"/>
      <name val="DIN Offc Medium"/>
      <family val="2"/>
    </font>
    <font>
      <sz val="14"/>
      <color theme="1"/>
      <name val="DIN Offc"/>
      <family val="2"/>
    </font>
    <font>
      <b/>
      <sz val="10"/>
      <name val="DIN Offc"/>
      <family val="2"/>
    </font>
    <font>
      <sz val="10"/>
      <name val="Calibri"/>
      <family val="2"/>
    </font>
    <font>
      <b/>
      <sz val="24"/>
      <color theme="1"/>
      <name val="DIN Offc"/>
      <family val="2"/>
    </font>
    <font>
      <sz val="14"/>
      <name val="DIN Offc"/>
      <family val="2"/>
    </font>
    <font>
      <sz val="18"/>
      <color theme="1"/>
      <name val="DIN Offc Medium"/>
      <family val="2"/>
    </font>
    <font>
      <b/>
      <sz val="10"/>
      <color theme="1"/>
      <name val="DIN Offc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0070C0"/>
      <name val="DIN Offc"/>
      <family val="2"/>
    </font>
    <font>
      <b/>
      <sz val="11"/>
      <color rgb="FFFF0000"/>
      <name val="DIN Offc"/>
      <family val="2"/>
    </font>
    <font>
      <b/>
      <sz val="11"/>
      <color rgb="FF00B0F0"/>
      <name val="DIN Offc"/>
      <family val="2"/>
    </font>
    <font>
      <b/>
      <sz val="11"/>
      <color rgb="FFFF0000"/>
      <name val="DIN Offc"/>
      <family val="2"/>
    </font>
    <font>
      <sz val="11"/>
      <color rgb="FFFF0000"/>
      <name val="Calibri"/>
      <family val="2"/>
      <scheme val="minor"/>
    </font>
    <font>
      <sz val="10"/>
      <color rgb="FFFF0000"/>
      <name val="DIN Offc"/>
      <family val="2"/>
    </font>
    <font>
      <b/>
      <sz val="11"/>
      <name val="DIN Offc Medium"/>
      <family val="2"/>
    </font>
    <font>
      <sz val="11"/>
      <color rgb="FF00B050"/>
      <name val="Calibri"/>
      <family val="2"/>
      <scheme val="minor"/>
    </font>
    <font>
      <sz val="11"/>
      <name val="DIN Offc"/>
      <family val="2"/>
    </font>
    <font>
      <b/>
      <sz val="11"/>
      <name val="DIN Offc"/>
      <family val="2"/>
    </font>
    <font>
      <sz val="11"/>
      <color rgb="FF242435"/>
      <name val="Segoe UI"/>
      <family val="2"/>
    </font>
    <font>
      <sz val="10"/>
      <name val="DIN Off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567">
    <xf numFmtId="0" fontId="0" fillId="0" borderId="0" xfId="0"/>
    <xf numFmtId="2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2" fontId="13" fillId="0" borderId="4" xfId="0" applyNumberFormat="1" applyFont="1" applyFill="1" applyBorder="1" applyAlignment="1">
      <alignment horizontal="center" vertical="center"/>
    </xf>
    <xf numFmtId="17" fontId="11" fillId="0" borderId="5" xfId="0" applyNumberFormat="1" applyFont="1" applyFill="1" applyBorder="1" applyAlignment="1">
      <alignment horizontal="center" vertical="center"/>
    </xf>
    <xf numFmtId="43" fontId="12" fillId="0" borderId="6" xfId="1" applyFont="1" applyFill="1" applyBorder="1" applyAlignment="1">
      <alignment horizontal="center" vertical="center"/>
    </xf>
    <xf numFmtId="43" fontId="11" fillId="0" borderId="7" xfId="1" applyFont="1" applyFill="1" applyBorder="1" applyAlignment="1">
      <alignment horizontal="center" vertical="center" wrapText="1"/>
    </xf>
    <xf numFmtId="43" fontId="11" fillId="0" borderId="6" xfId="1" applyFont="1" applyFill="1" applyBorder="1" applyAlignment="1">
      <alignment horizontal="center" vertical="center"/>
    </xf>
    <xf numFmtId="43" fontId="11" fillId="0" borderId="8" xfId="1" applyFont="1" applyFill="1" applyBorder="1" applyAlignment="1">
      <alignment horizontal="center" vertical="center"/>
    </xf>
    <xf numFmtId="43" fontId="14" fillId="0" borderId="7" xfId="1" applyFont="1" applyBorder="1" applyAlignment="1">
      <alignment horizontal="center" vertical="center"/>
    </xf>
    <xf numFmtId="4" fontId="14" fillId="0" borderId="12" xfId="1" applyNumberFormat="1" applyFont="1" applyBorder="1" applyAlignment="1">
      <alignment vertical="center"/>
    </xf>
    <xf numFmtId="4" fontId="14" fillId="0" borderId="13" xfId="1" applyNumberFormat="1" applyFont="1" applyBorder="1" applyAlignment="1">
      <alignment vertical="center"/>
    </xf>
    <xf numFmtId="4" fontId="14" fillId="0" borderId="14" xfId="1" applyNumberFormat="1" applyFont="1" applyBorder="1" applyAlignment="1">
      <alignment vertical="center"/>
    </xf>
    <xf numFmtId="4" fontId="14" fillId="0" borderId="15" xfId="1" applyNumberFormat="1" applyFont="1" applyBorder="1" applyAlignment="1">
      <alignment vertical="center"/>
    </xf>
    <xf numFmtId="4" fontId="14" fillId="0" borderId="12" xfId="1" applyNumberFormat="1" applyFont="1" applyFill="1" applyBorder="1" applyAlignment="1">
      <alignment vertical="center"/>
    </xf>
    <xf numFmtId="49" fontId="15" fillId="0" borderId="17" xfId="1" applyNumberFormat="1" applyFont="1" applyBorder="1" applyAlignment="1">
      <alignment horizontal="center" vertical="center"/>
    </xf>
    <xf numFmtId="49" fontId="15" fillId="0" borderId="8" xfId="1" applyNumberFormat="1" applyFont="1" applyBorder="1" applyAlignment="1">
      <alignment horizontal="center" vertical="center"/>
    </xf>
    <xf numFmtId="1" fontId="14" fillId="4" borderId="12" xfId="1" applyNumberFormat="1" applyFont="1" applyFill="1" applyBorder="1" applyAlignment="1">
      <alignment horizontal="center" vertical="center"/>
    </xf>
    <xf numFmtId="43" fontId="14" fillId="4" borderId="7" xfId="1" applyFont="1" applyFill="1" applyBorder="1" applyAlignment="1">
      <alignment horizontal="center" vertical="center"/>
    </xf>
    <xf numFmtId="4" fontId="14" fillId="4" borderId="12" xfId="1" applyNumberFormat="1" applyFont="1" applyFill="1" applyBorder="1" applyAlignment="1">
      <alignment vertical="center"/>
    </xf>
    <xf numFmtId="4" fontId="14" fillId="4" borderId="13" xfId="1" applyNumberFormat="1" applyFont="1" applyFill="1" applyBorder="1" applyAlignment="1">
      <alignment vertical="center"/>
    </xf>
    <xf numFmtId="4" fontId="14" fillId="4" borderId="14" xfId="1" applyNumberFormat="1" applyFont="1" applyFill="1" applyBorder="1" applyAlignment="1">
      <alignment vertical="center"/>
    </xf>
    <xf numFmtId="4" fontId="14" fillId="4" borderId="15" xfId="1" applyNumberFormat="1" applyFont="1" applyFill="1" applyBorder="1" applyAlignment="1">
      <alignment vertical="center"/>
    </xf>
    <xf numFmtId="43" fontId="15" fillId="4" borderId="15" xfId="1" applyFont="1" applyFill="1" applyBorder="1" applyAlignment="1">
      <alignment horizontal="left" vertical="center"/>
    </xf>
    <xf numFmtId="164" fontId="15" fillId="4" borderId="16" xfId="1" applyNumberFormat="1" applyFont="1" applyFill="1" applyBorder="1" applyAlignment="1">
      <alignment horizontal="left" vertical="center"/>
    </xf>
    <xf numFmtId="49" fontId="15" fillId="4" borderId="17" xfId="1" applyNumberFormat="1" applyFont="1" applyFill="1" applyBorder="1" applyAlignment="1">
      <alignment horizontal="center" vertical="center"/>
    </xf>
    <xf numFmtId="49" fontId="15" fillId="4" borderId="8" xfId="1" applyNumberFormat="1" applyFont="1" applyFill="1" applyBorder="1" applyAlignment="1">
      <alignment horizontal="center" vertical="center"/>
    </xf>
    <xf numFmtId="43" fontId="16" fillId="5" borderId="18" xfId="1" applyFont="1" applyFill="1" applyBorder="1" applyAlignment="1">
      <alignment horizontal="right" vertical="center"/>
    </xf>
    <xf numFmtId="1" fontId="16" fillId="5" borderId="14" xfId="1" applyNumberFormat="1" applyFont="1" applyFill="1" applyBorder="1" applyAlignment="1">
      <alignment horizontal="left" vertical="center"/>
    </xf>
    <xf numFmtId="4" fontId="16" fillId="5" borderId="12" xfId="1" applyNumberFormat="1" applyFont="1" applyFill="1" applyBorder="1" applyAlignment="1">
      <alignment vertical="center"/>
    </xf>
    <xf numFmtId="4" fontId="16" fillId="5" borderId="13" xfId="1" applyNumberFormat="1" applyFont="1" applyFill="1" applyBorder="1" applyAlignment="1">
      <alignment vertical="center"/>
    </xf>
    <xf numFmtId="4" fontId="16" fillId="5" borderId="14" xfId="1" applyNumberFormat="1" applyFont="1" applyFill="1" applyBorder="1" applyAlignment="1">
      <alignment vertical="center"/>
    </xf>
    <xf numFmtId="4" fontId="16" fillId="5" borderId="15" xfId="1" applyNumberFormat="1" applyFont="1" applyFill="1" applyBorder="1" applyAlignment="1">
      <alignment vertical="center"/>
    </xf>
    <xf numFmtId="43" fontId="16" fillId="5" borderId="15" xfId="1" applyFont="1" applyFill="1" applyBorder="1" applyAlignment="1">
      <alignment horizontal="left" vertical="center"/>
    </xf>
    <xf numFmtId="164" fontId="16" fillId="5" borderId="16" xfId="1" applyNumberFormat="1" applyFont="1" applyFill="1" applyBorder="1" applyAlignment="1">
      <alignment horizontal="left" vertical="center"/>
    </xf>
    <xf numFmtId="49" fontId="15" fillId="5" borderId="17" xfId="1" applyNumberFormat="1" applyFont="1" applyFill="1" applyBorder="1" applyAlignment="1">
      <alignment horizontal="center" vertical="center"/>
    </xf>
    <xf numFmtId="49" fontId="15" fillId="5" borderId="14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" fontId="14" fillId="0" borderId="12" xfId="1" applyNumberFormat="1" applyFont="1" applyBorder="1" applyAlignment="1">
      <alignment horizontal="center" vertical="center"/>
    </xf>
    <xf numFmtId="43" fontId="15" fillId="0" borderId="15" xfId="1" applyFont="1" applyBorder="1" applyAlignment="1">
      <alignment horizontal="left" vertical="center"/>
    </xf>
    <xf numFmtId="164" fontId="15" fillId="0" borderId="16" xfId="1" applyNumberFormat="1" applyFont="1" applyBorder="1" applyAlignment="1">
      <alignment horizontal="left" vertical="center"/>
    </xf>
    <xf numFmtId="1" fontId="14" fillId="0" borderId="12" xfId="1" applyNumberFormat="1" applyFont="1" applyFill="1" applyBorder="1" applyAlignment="1">
      <alignment horizontal="center" vertical="center"/>
    </xf>
    <xf numFmtId="4" fontId="14" fillId="0" borderId="18" xfId="1" applyNumberFormat="1" applyFont="1" applyBorder="1" applyAlignment="1">
      <alignment vertical="center"/>
    </xf>
    <xf numFmtId="4" fontId="14" fillId="0" borderId="12" xfId="1" applyNumberFormat="1" applyFont="1" applyBorder="1" applyAlignment="1">
      <alignment horizontal="right" vertical="center"/>
    </xf>
    <xf numFmtId="43" fontId="15" fillId="0" borderId="15" xfId="1" applyFont="1" applyFill="1" applyBorder="1" applyAlignment="1">
      <alignment horizontal="left" vertical="center"/>
    </xf>
    <xf numFmtId="164" fontId="15" fillId="0" borderId="16" xfId="1" applyNumberFormat="1" applyFont="1" applyFill="1" applyBorder="1" applyAlignment="1">
      <alignment horizontal="left" vertical="center"/>
    </xf>
    <xf numFmtId="43" fontId="14" fillId="0" borderId="13" xfId="1" applyFont="1" applyBorder="1" applyAlignment="1">
      <alignment horizontal="center" vertical="center"/>
    </xf>
    <xf numFmtId="43" fontId="14" fillId="4" borderId="13" xfId="1" applyFont="1" applyFill="1" applyBorder="1" applyAlignment="1">
      <alignment horizontal="center" vertical="center"/>
    </xf>
    <xf numFmtId="4" fontId="16" fillId="5" borderId="19" xfId="1" applyNumberFormat="1" applyFont="1" applyFill="1" applyBorder="1" applyAlignment="1">
      <alignment vertical="center"/>
    </xf>
    <xf numFmtId="4" fontId="16" fillId="5" borderId="20" xfId="1" applyNumberFormat="1" applyFont="1" applyFill="1" applyBorder="1" applyAlignment="1">
      <alignment vertical="center"/>
    </xf>
    <xf numFmtId="4" fontId="16" fillId="5" borderId="21" xfId="1" applyNumberFormat="1" applyFont="1" applyFill="1" applyBorder="1" applyAlignment="1">
      <alignment vertical="center"/>
    </xf>
    <xf numFmtId="43" fontId="16" fillId="5" borderId="21" xfId="1" applyFont="1" applyFill="1" applyBorder="1" applyAlignment="1">
      <alignment horizontal="left" vertical="center"/>
    </xf>
    <xf numFmtId="164" fontId="16" fillId="5" borderId="22" xfId="1" applyNumberFormat="1" applyFont="1" applyFill="1" applyBorder="1" applyAlignment="1">
      <alignment horizontal="left" vertical="center"/>
    </xf>
    <xf numFmtId="49" fontId="15" fillId="5" borderId="23" xfId="1" applyNumberFormat="1" applyFont="1" applyFill="1" applyBorder="1" applyAlignment="1">
      <alignment horizontal="center" vertical="center"/>
    </xf>
    <xf numFmtId="49" fontId="15" fillId="5" borderId="24" xfId="1" applyNumberFormat="1" applyFont="1" applyFill="1" applyBorder="1" applyAlignment="1">
      <alignment horizontal="center" vertical="center"/>
    </xf>
    <xf numFmtId="43" fontId="19" fillId="6" borderId="26" xfId="1" applyFont="1" applyFill="1" applyBorder="1" applyAlignment="1">
      <alignment horizontal="center" vertical="center"/>
    </xf>
    <xf numFmtId="43" fontId="16" fillId="6" borderId="25" xfId="1" applyFont="1" applyFill="1" applyBorder="1" applyAlignment="1">
      <alignment horizontal="left" vertical="center"/>
    </xf>
    <xf numFmtId="2" fontId="14" fillId="5" borderId="33" xfId="1" applyNumberFormat="1" applyFont="1" applyFill="1" applyBorder="1" applyAlignment="1">
      <alignment horizontal="left" vertical="center"/>
    </xf>
    <xf numFmtId="43" fontId="19" fillId="5" borderId="34" xfId="1" applyFont="1" applyFill="1" applyBorder="1" applyAlignment="1">
      <alignment horizontal="center" vertical="center"/>
    </xf>
    <xf numFmtId="4" fontId="14" fillId="5" borderId="35" xfId="1" applyNumberFormat="1" applyFont="1" applyFill="1" applyBorder="1" applyAlignment="1">
      <alignment vertical="center"/>
    </xf>
    <xf numFmtId="4" fontId="14" fillId="5" borderId="34" xfId="1" applyNumberFormat="1" applyFont="1" applyFill="1" applyBorder="1" applyAlignment="1">
      <alignment vertical="center"/>
    </xf>
    <xf numFmtId="4" fontId="14" fillId="5" borderId="36" xfId="1" applyNumberFormat="1" applyFont="1" applyFill="1" applyBorder="1" applyAlignment="1">
      <alignment vertical="center"/>
    </xf>
    <xf numFmtId="4" fontId="16" fillId="5" borderId="35" xfId="1" applyNumberFormat="1" applyFont="1" applyFill="1" applyBorder="1" applyAlignment="1">
      <alignment vertical="center"/>
    </xf>
    <xf numFmtId="43" fontId="14" fillId="5" borderId="33" xfId="1" applyFont="1" applyFill="1" applyBorder="1" applyAlignment="1">
      <alignment horizontal="left" vertical="center"/>
    </xf>
    <xf numFmtId="4" fontId="16" fillId="5" borderId="37" xfId="1" applyNumberFormat="1" applyFont="1" applyFill="1" applyBorder="1" applyAlignment="1">
      <alignment vertical="center"/>
    </xf>
    <xf numFmtId="4" fontId="16" fillId="5" borderId="36" xfId="1" applyNumberFormat="1" applyFont="1" applyFill="1" applyBorder="1" applyAlignment="1">
      <alignment vertical="center"/>
    </xf>
    <xf numFmtId="2" fontId="18" fillId="0" borderId="18" xfId="0" applyNumberFormat="1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4" fontId="0" fillId="0" borderId="12" xfId="0" applyNumberFormat="1" applyBorder="1" applyAlignment="1">
      <alignment vertical="center"/>
    </xf>
    <xf numFmtId="4" fontId="0" fillId="0" borderId="13" xfId="0" applyNumberFormat="1" applyBorder="1" applyAlignment="1">
      <alignment vertical="center"/>
    </xf>
    <xf numFmtId="2" fontId="18" fillId="0" borderId="33" xfId="0" applyNumberFormat="1" applyFont="1" applyBorder="1" applyAlignment="1">
      <alignment horizontal="left" vertical="center"/>
    </xf>
    <xf numFmtId="0" fontId="0" fillId="0" borderId="36" xfId="0" applyBorder="1" applyAlignment="1">
      <alignment vertical="center"/>
    </xf>
    <xf numFmtId="2" fontId="0" fillId="0" borderId="34" xfId="0" applyNumberForma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4" fontId="14" fillId="0" borderId="17" xfId="1" applyNumberFormat="1" applyFont="1" applyBorder="1" applyAlignment="1">
      <alignment vertical="center"/>
    </xf>
    <xf numFmtId="4" fontId="14" fillId="4" borderId="17" xfId="1" applyNumberFormat="1" applyFont="1" applyFill="1" applyBorder="1" applyAlignment="1">
      <alignment vertical="center"/>
    </xf>
    <xf numFmtId="4" fontId="16" fillId="5" borderId="17" xfId="1" applyNumberFormat="1" applyFont="1" applyFill="1" applyBorder="1" applyAlignment="1">
      <alignment vertical="center"/>
    </xf>
    <xf numFmtId="4" fontId="14" fillId="5" borderId="37" xfId="1" applyNumberFormat="1" applyFont="1" applyFill="1" applyBorder="1" applyAlignment="1">
      <alignment vertical="center"/>
    </xf>
    <xf numFmtId="43" fontId="12" fillId="0" borderId="11" xfId="1" applyFont="1" applyFill="1" applyBorder="1" applyAlignment="1">
      <alignment horizontal="center" vertical="center"/>
    </xf>
    <xf numFmtId="4" fontId="14" fillId="0" borderId="13" xfId="1" applyNumberFormat="1" applyFont="1" applyBorder="1" applyAlignment="1">
      <alignment horizontal="right" vertical="center"/>
    </xf>
    <xf numFmtId="4" fontId="14" fillId="4" borderId="13" xfId="1" applyNumberFormat="1" applyFont="1" applyFill="1" applyBorder="1" applyAlignment="1">
      <alignment horizontal="right" vertical="center"/>
    </xf>
    <xf numFmtId="2" fontId="0" fillId="0" borderId="44" xfId="0" applyNumberFormat="1" applyBorder="1" applyAlignment="1">
      <alignment vertical="center"/>
    </xf>
    <xf numFmtId="4" fontId="14" fillId="2" borderId="13" xfId="1" applyNumberFormat="1" applyFont="1" applyFill="1" applyBorder="1" applyAlignment="1">
      <alignment vertical="center"/>
    </xf>
    <xf numFmtId="43" fontId="14" fillId="0" borderId="43" xfId="1" applyFont="1" applyBorder="1" applyAlignment="1">
      <alignment horizontal="center" vertical="center"/>
    </xf>
    <xf numFmtId="43" fontId="14" fillId="4" borderId="43" xfId="1" applyFont="1" applyFill="1" applyBorder="1" applyAlignment="1">
      <alignment horizontal="center" vertical="center"/>
    </xf>
    <xf numFmtId="43" fontId="14" fillId="0" borderId="12" xfId="1" applyFont="1" applyBorder="1" applyAlignment="1">
      <alignment horizontal="center" vertical="center"/>
    </xf>
    <xf numFmtId="43" fontId="14" fillId="4" borderId="6" xfId="1" applyFont="1" applyFill="1" applyBorder="1" applyAlignment="1">
      <alignment vertical="center"/>
    </xf>
    <xf numFmtId="43" fontId="16" fillId="5" borderId="17" xfId="1" applyFont="1" applyFill="1" applyBorder="1" applyAlignment="1">
      <alignment horizontal="left" vertical="center"/>
    </xf>
    <xf numFmtId="43" fontId="14" fillId="4" borderId="7" xfId="1" applyFont="1" applyFill="1" applyBorder="1" applyAlignment="1">
      <alignment vertical="center"/>
    </xf>
    <xf numFmtId="165" fontId="0" fillId="0" borderId="35" xfId="0" applyNumberFormat="1" applyBorder="1" applyAlignment="1">
      <alignment vertical="center"/>
    </xf>
    <xf numFmtId="4" fontId="2" fillId="0" borderId="12" xfId="0" applyNumberFormat="1" applyFont="1" applyBorder="1" applyAlignment="1">
      <alignment vertical="center"/>
    </xf>
    <xf numFmtId="165" fontId="2" fillId="0" borderId="35" xfId="0" applyNumberFormat="1" applyFont="1" applyBorder="1" applyAlignment="1">
      <alignment vertical="center"/>
    </xf>
    <xf numFmtId="43" fontId="19" fillId="5" borderId="42" xfId="1" applyFont="1" applyFill="1" applyBorder="1" applyAlignment="1">
      <alignment horizontal="center" vertical="center"/>
    </xf>
    <xf numFmtId="4" fontId="16" fillId="5" borderId="39" xfId="1" applyNumberFormat="1" applyFont="1" applyFill="1" applyBorder="1" applyAlignment="1">
      <alignment vertical="center"/>
    </xf>
    <xf numFmtId="4" fontId="16" fillId="5" borderId="40" xfId="1" applyNumberFormat="1" applyFont="1" applyFill="1" applyBorder="1" applyAlignment="1">
      <alignment vertical="center"/>
    </xf>
    <xf numFmtId="43" fontId="19" fillId="6" borderId="32" xfId="1" applyFont="1" applyFill="1" applyBorder="1" applyAlignment="1">
      <alignment horizontal="center" vertical="center"/>
    </xf>
    <xf numFmtId="4" fontId="14" fillId="6" borderId="49" xfId="1" applyNumberFormat="1" applyFont="1" applyFill="1" applyBorder="1" applyAlignment="1">
      <alignment vertical="center"/>
    </xf>
    <xf numFmtId="4" fontId="14" fillId="6" borderId="2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" fontId="13" fillId="0" borderId="4" xfId="0" applyNumberFormat="1" applyFont="1" applyFill="1" applyBorder="1" applyAlignment="1">
      <alignment horizontal="center" vertical="center"/>
    </xf>
    <xf numFmtId="43" fontId="12" fillId="7" borderId="11" xfId="1" applyFont="1" applyFill="1" applyBorder="1" applyAlignment="1">
      <alignment horizontal="center" vertical="center"/>
    </xf>
    <xf numFmtId="43" fontId="11" fillId="7" borderId="7" xfId="1" applyFont="1" applyFill="1" applyBorder="1" applyAlignment="1">
      <alignment horizontal="center" vertical="center" wrapText="1"/>
    </xf>
    <xf numFmtId="43" fontId="14" fillId="7" borderId="6" xfId="1" applyFont="1" applyFill="1" applyBorder="1" applyAlignment="1">
      <alignment vertical="center"/>
    </xf>
    <xf numFmtId="43" fontId="14" fillId="7" borderId="13" xfId="1" applyFont="1" applyFill="1" applyBorder="1" applyAlignment="1">
      <alignment vertical="center"/>
    </xf>
    <xf numFmtId="4" fontId="2" fillId="7" borderId="12" xfId="0" applyNumberFormat="1" applyFont="1" applyFill="1" applyBorder="1" applyAlignment="1">
      <alignment vertical="center"/>
    </xf>
    <xf numFmtId="4" fontId="0" fillId="7" borderId="13" xfId="0" applyNumberFormat="1" applyFill="1" applyBorder="1" applyAlignment="1">
      <alignment vertical="center"/>
    </xf>
    <xf numFmtId="165" fontId="2" fillId="7" borderId="35" xfId="0" applyNumberFormat="1" applyFont="1" applyFill="1" applyBorder="1" applyAlignment="1">
      <alignment vertical="center"/>
    </xf>
    <xf numFmtId="2" fontId="0" fillId="7" borderId="34" xfId="0" applyNumberFormat="1" applyFill="1" applyBorder="1" applyAlignment="1">
      <alignment vertical="center"/>
    </xf>
    <xf numFmtId="4" fontId="16" fillId="6" borderId="4" xfId="1" applyNumberFormat="1" applyFont="1" applyFill="1" applyBorder="1" applyAlignment="1">
      <alignment vertical="center"/>
    </xf>
    <xf numFmtId="4" fontId="16" fillId="6" borderId="49" xfId="1" applyNumberFormat="1" applyFont="1" applyFill="1" applyBorder="1" applyAlignment="1">
      <alignment vertical="center"/>
    </xf>
    <xf numFmtId="4" fontId="14" fillId="7" borderId="12" xfId="1" applyNumberFormat="1" applyFont="1" applyFill="1" applyBorder="1" applyAlignment="1">
      <alignment vertical="center"/>
    </xf>
    <xf numFmtId="4" fontId="16" fillId="5" borderId="34" xfId="1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" fontId="14" fillId="0" borderId="17" xfId="1" applyNumberFormat="1" applyFont="1" applyFill="1" applyBorder="1" applyAlignment="1">
      <alignment vertical="center"/>
    </xf>
    <xf numFmtId="4" fontId="14" fillId="3" borderId="12" xfId="1" applyNumberFormat="1" applyFont="1" applyFill="1" applyBorder="1" applyAlignment="1">
      <alignment vertical="center"/>
    </xf>
    <xf numFmtId="43" fontId="11" fillId="4" borderId="7" xfId="1" applyFont="1" applyFill="1" applyBorder="1" applyAlignment="1">
      <alignment horizontal="center" vertical="center" wrapText="1"/>
    </xf>
    <xf numFmtId="4" fontId="14" fillId="3" borderId="35" xfId="1" applyNumberFormat="1" applyFont="1" applyFill="1" applyBorder="1" applyAlignment="1">
      <alignment vertical="center"/>
    </xf>
    <xf numFmtId="43" fontId="16" fillId="6" borderId="4" xfId="1" applyFont="1" applyFill="1" applyBorder="1" applyAlignment="1">
      <alignment horizontal="left" vertical="center"/>
    </xf>
    <xf numFmtId="43" fontId="19" fillId="6" borderId="5" xfId="1" applyFont="1" applyFill="1" applyBorder="1" applyAlignment="1">
      <alignment horizontal="center" vertical="center"/>
    </xf>
    <xf numFmtId="4" fontId="16" fillId="6" borderId="5" xfId="1" applyNumberFormat="1" applyFont="1" applyFill="1" applyBorder="1" applyAlignment="1">
      <alignment vertical="center"/>
    </xf>
    <xf numFmtId="43" fontId="15" fillId="6" borderId="18" xfId="1" applyFont="1" applyFill="1" applyBorder="1" applyAlignment="1">
      <alignment horizontal="left" vertical="center"/>
    </xf>
    <xf numFmtId="43" fontId="19" fillId="6" borderId="14" xfId="1" applyFont="1" applyFill="1" applyBorder="1" applyAlignment="1">
      <alignment horizontal="center" vertical="center"/>
    </xf>
    <xf numFmtId="4" fontId="14" fillId="6" borderId="12" xfId="1" applyNumberFormat="1" applyFont="1" applyFill="1" applyBorder="1" applyAlignment="1">
      <alignment vertical="center"/>
    </xf>
    <xf numFmtId="4" fontId="14" fillId="6" borderId="17" xfId="1" applyNumberFormat="1" applyFont="1" applyFill="1" applyBorder="1" applyAlignment="1">
      <alignment vertical="center"/>
    </xf>
    <xf numFmtId="4" fontId="0" fillId="0" borderId="17" xfId="0" applyNumberFormat="1" applyBorder="1" applyAlignment="1">
      <alignment vertical="center"/>
    </xf>
    <xf numFmtId="4" fontId="14" fillId="7" borderId="35" xfId="1" applyNumberFormat="1" applyFont="1" applyFill="1" applyBorder="1" applyAlignment="1">
      <alignment vertical="center"/>
    </xf>
    <xf numFmtId="4" fontId="14" fillId="4" borderId="37" xfId="1" applyNumberFormat="1" applyFont="1" applyFill="1" applyBorder="1" applyAlignment="1">
      <alignment vertical="center"/>
    </xf>
    <xf numFmtId="43" fontId="12" fillId="7" borderId="6" xfId="1" applyFont="1" applyFill="1" applyBorder="1" applyAlignment="1">
      <alignment horizontal="center" vertical="center"/>
    </xf>
    <xf numFmtId="4" fontId="14" fillId="7" borderId="14" xfId="1" applyNumberFormat="1" applyFont="1" applyFill="1" applyBorder="1" applyAlignment="1">
      <alignment vertical="center"/>
    </xf>
    <xf numFmtId="4" fontId="16" fillId="6" borderId="2" xfId="1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3" fontId="16" fillId="0" borderId="0" xfId="1" applyFont="1" applyFill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1" applyFont="1" applyFill="1" applyAlignment="1">
      <alignment vertical="center"/>
    </xf>
    <xf numFmtId="43" fontId="14" fillId="0" borderId="0" xfId="1" applyFont="1" applyAlignment="1">
      <alignment vertical="center"/>
    </xf>
    <xf numFmtId="0" fontId="14" fillId="0" borderId="0" xfId="0" applyFont="1" applyBorder="1" applyAlignment="1">
      <alignment horizontal="left" vertical="center"/>
    </xf>
    <xf numFmtId="43" fontId="16" fillId="0" borderId="0" xfId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Alignment="1">
      <alignment vertical="center"/>
    </xf>
    <xf numFmtId="4" fontId="14" fillId="0" borderId="0" xfId="0" applyNumberFormat="1" applyFont="1" applyAlignment="1">
      <alignment vertical="center"/>
    </xf>
    <xf numFmtId="0" fontId="14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17" fontId="16" fillId="5" borderId="28" xfId="0" applyNumberFormat="1" applyFont="1" applyFill="1" applyBorder="1" applyAlignment="1">
      <alignment horizontal="center" vertical="center"/>
    </xf>
    <xf numFmtId="17" fontId="16" fillId="5" borderId="9" xfId="0" applyNumberFormat="1" applyFont="1" applyFill="1" applyBorder="1" applyAlignment="1">
      <alignment horizontal="center" vertical="center"/>
    </xf>
    <xf numFmtId="43" fontId="14" fillId="0" borderId="8" xfId="1" applyFont="1" applyBorder="1" applyAlignment="1">
      <alignment horizontal="left" vertical="center"/>
    </xf>
    <xf numFmtId="43" fontId="14" fillId="0" borderId="14" xfId="1" applyFont="1" applyBorder="1" applyAlignment="1">
      <alignment horizontal="left" vertical="center"/>
    </xf>
    <xf numFmtId="43" fontId="14" fillId="0" borderId="29" xfId="1" applyFont="1" applyBorder="1" applyAlignment="1">
      <alignment horizontal="left" vertical="center"/>
    </xf>
    <xf numFmtId="4" fontId="14" fillId="0" borderId="11" xfId="1" applyNumberFormat="1" applyFont="1" applyBorder="1" applyAlignment="1">
      <alignment vertical="center"/>
    </xf>
    <xf numFmtId="43" fontId="16" fillId="7" borderId="11" xfId="1" applyFont="1" applyFill="1" applyBorder="1" applyAlignment="1">
      <alignment vertical="center"/>
    </xf>
    <xf numFmtId="43" fontId="16" fillId="6" borderId="38" xfId="1" applyFont="1" applyFill="1" applyBorder="1" applyAlignment="1">
      <alignment horizontal="center" vertical="center" wrapText="1"/>
    </xf>
    <xf numFmtId="3" fontId="16" fillId="6" borderId="31" xfId="1" applyNumberFormat="1" applyFont="1" applyFill="1" applyBorder="1" applyAlignment="1">
      <alignment vertical="center"/>
    </xf>
    <xf numFmtId="3" fontId="16" fillId="6" borderId="53" xfId="1" applyNumberFormat="1" applyFont="1" applyFill="1" applyBorder="1" applyAlignment="1">
      <alignment vertical="center"/>
    </xf>
    <xf numFmtId="43" fontId="14" fillId="3" borderId="31" xfId="1" applyFont="1" applyFill="1" applyBorder="1" applyAlignment="1">
      <alignment vertical="center"/>
    </xf>
    <xf numFmtId="4" fontId="16" fillId="4" borderId="17" xfId="1" applyNumberFormat="1" applyFont="1" applyFill="1" applyBorder="1" applyAlignment="1">
      <alignment vertical="center"/>
    </xf>
    <xf numFmtId="4" fontId="16" fillId="4" borderId="15" xfId="1" applyNumberFormat="1" applyFont="1" applyFill="1" applyBorder="1" applyAlignment="1">
      <alignment vertical="center"/>
    </xf>
    <xf numFmtId="49" fontId="16" fillId="5" borderId="12" xfId="1" applyNumberFormat="1" applyFont="1" applyFill="1" applyBorder="1" applyAlignment="1">
      <alignment horizontal="center" vertical="center"/>
    </xf>
    <xf numFmtId="49" fontId="16" fillId="5" borderId="6" xfId="1" applyNumberFormat="1" applyFont="1" applyFill="1" applyBorder="1" applyAlignment="1">
      <alignment horizontal="center" vertical="center"/>
    </xf>
    <xf numFmtId="4" fontId="14" fillId="0" borderId="23" xfId="1" applyNumberFormat="1" applyFont="1" applyBorder="1" applyAlignment="1">
      <alignment vertical="center"/>
    </xf>
    <xf numFmtId="4" fontId="14" fillId="0" borderId="21" xfId="1" applyNumberFormat="1" applyFont="1" applyBorder="1" applyAlignment="1">
      <alignment vertical="center"/>
    </xf>
    <xf numFmtId="43" fontId="14" fillId="0" borderId="24" xfId="1" applyFont="1" applyBorder="1" applyAlignment="1">
      <alignment horizontal="left" vertical="center"/>
    </xf>
    <xf numFmtId="2" fontId="16" fillId="6" borderId="4" xfId="1" applyNumberFormat="1" applyFont="1" applyFill="1" applyBorder="1" applyAlignment="1">
      <alignment horizontal="left" vertical="center"/>
    </xf>
    <xf numFmtId="43" fontId="14" fillId="5" borderId="54" xfId="1" applyFont="1" applyFill="1" applyBorder="1" applyAlignment="1">
      <alignment horizontal="left" vertical="center"/>
    </xf>
    <xf numFmtId="2" fontId="14" fillId="5" borderId="54" xfId="1" applyNumberFormat="1" applyFont="1" applyFill="1" applyBorder="1" applyAlignment="1">
      <alignment horizontal="left" vertical="center"/>
    </xf>
    <xf numFmtId="43" fontId="19" fillId="5" borderId="55" xfId="1" applyFont="1" applyFill="1" applyBorder="1" applyAlignment="1">
      <alignment horizontal="center" vertical="center"/>
    </xf>
    <xf numFmtId="4" fontId="14" fillId="5" borderId="41" xfId="1" applyNumberFormat="1" applyFont="1" applyFill="1" applyBorder="1" applyAlignment="1">
      <alignment vertical="center"/>
    </xf>
    <xf numFmtId="4" fontId="14" fillId="5" borderId="55" xfId="1" applyNumberFormat="1" applyFont="1" applyFill="1" applyBorder="1" applyAlignment="1">
      <alignment vertical="center"/>
    </xf>
    <xf numFmtId="43" fontId="16" fillId="6" borderId="17" xfId="1" applyFont="1" applyFill="1" applyBorder="1" applyAlignment="1">
      <alignment vertical="center"/>
    </xf>
    <xf numFmtId="43" fontId="16" fillId="6" borderId="11" xfId="1" applyFont="1" applyFill="1" applyBorder="1" applyAlignment="1">
      <alignment vertical="center"/>
    </xf>
    <xf numFmtId="43" fontId="14" fillId="4" borderId="12" xfId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4" fillId="0" borderId="0" xfId="2" applyFont="1" applyAlignment="1">
      <alignment vertical="center"/>
    </xf>
    <xf numFmtId="0" fontId="10" fillId="0" borderId="0" xfId="2" applyAlignment="1">
      <alignment vertical="center"/>
    </xf>
    <xf numFmtId="14" fontId="10" fillId="0" borderId="0" xfId="2" applyNumberFormat="1" applyAlignment="1">
      <alignment horizontal="center" vertical="center"/>
    </xf>
    <xf numFmtId="0" fontId="10" fillId="0" borderId="0" xfId="2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168" fontId="14" fillId="3" borderId="57" xfId="2" applyNumberFormat="1" applyFont="1" applyFill="1" applyBorder="1" applyAlignment="1">
      <alignment vertical="center"/>
    </xf>
    <xf numFmtId="4" fontId="15" fillId="0" borderId="14" xfId="3" applyNumberFormat="1" applyFont="1" applyFill="1" applyBorder="1" applyAlignment="1">
      <alignment vertical="center"/>
    </xf>
    <xf numFmtId="0" fontId="18" fillId="0" borderId="0" xfId="2" applyFont="1" applyAlignment="1">
      <alignment vertical="center"/>
    </xf>
    <xf numFmtId="168" fontId="14" fillId="0" borderId="57" xfId="2" applyNumberFormat="1" applyFont="1" applyFill="1" applyBorder="1" applyAlignment="1">
      <alignment vertical="center"/>
    </xf>
    <xf numFmtId="168" fontId="14" fillId="0" borderId="59" xfId="2" applyNumberFormat="1" applyFont="1" applyFill="1" applyBorder="1" applyAlignment="1">
      <alignment vertical="center"/>
    </xf>
    <xf numFmtId="4" fontId="15" fillId="0" borderId="51" xfId="3" applyNumberFormat="1" applyFont="1" applyFill="1" applyBorder="1" applyAlignment="1">
      <alignment vertical="center"/>
    </xf>
    <xf numFmtId="43" fontId="16" fillId="6" borderId="4" xfId="3" applyFont="1" applyFill="1" applyBorder="1" applyAlignment="1">
      <alignment horizontal="left" vertical="center"/>
    </xf>
    <xf numFmtId="43" fontId="19" fillId="6" borderId="32" xfId="3" applyFont="1" applyFill="1" applyBorder="1" applyAlignment="1">
      <alignment horizontal="center" vertical="center"/>
    </xf>
    <xf numFmtId="4" fontId="14" fillId="6" borderId="60" xfId="3" applyNumberFormat="1" applyFont="1" applyFill="1" applyBorder="1" applyAlignment="1">
      <alignment vertical="center"/>
    </xf>
    <xf numFmtId="4" fontId="22" fillId="6" borderId="2" xfId="3" applyNumberFormat="1" applyFont="1" applyFill="1" applyBorder="1" applyAlignment="1">
      <alignment vertical="center"/>
    </xf>
    <xf numFmtId="0" fontId="18" fillId="5" borderId="56" xfId="2" applyFont="1" applyFill="1" applyBorder="1" applyAlignment="1">
      <alignment horizontal="center" vertical="center"/>
    </xf>
    <xf numFmtId="0" fontId="18" fillId="5" borderId="4" xfId="2" applyFont="1" applyFill="1" applyBorder="1" applyAlignment="1">
      <alignment horizontal="center" vertical="center"/>
    </xf>
    <xf numFmtId="0" fontId="27" fillId="5" borderId="27" xfId="2" applyFont="1" applyFill="1" applyBorder="1" applyAlignment="1">
      <alignment horizontal="center" vertical="center"/>
    </xf>
    <xf numFmtId="3" fontId="14" fillId="0" borderId="57" xfId="3" applyNumberFormat="1" applyFont="1" applyFill="1" applyBorder="1" applyAlignment="1">
      <alignment vertical="center"/>
    </xf>
    <xf numFmtId="3" fontId="14" fillId="0" borderId="12" xfId="3" applyNumberFormat="1" applyFont="1" applyFill="1" applyBorder="1" applyAlignment="1">
      <alignment vertical="center"/>
    </xf>
    <xf numFmtId="3" fontId="14" fillId="0" borderId="61" xfId="3" applyNumberFormat="1" applyFont="1" applyFill="1" applyBorder="1" applyAlignment="1">
      <alignment vertical="center"/>
    </xf>
    <xf numFmtId="43" fontId="16" fillId="6" borderId="38" xfId="3" applyFont="1" applyFill="1" applyBorder="1" applyAlignment="1">
      <alignment horizontal="left" vertical="center"/>
    </xf>
    <xf numFmtId="43" fontId="19" fillId="6" borderId="30" xfId="3" applyFont="1" applyFill="1" applyBorder="1" applyAlignment="1">
      <alignment horizontal="center" vertical="center"/>
    </xf>
    <xf numFmtId="4" fontId="14" fillId="6" borderId="62" xfId="3" applyNumberFormat="1" applyFont="1" applyFill="1" applyBorder="1" applyAlignment="1">
      <alignment vertical="center"/>
    </xf>
    <xf numFmtId="4" fontId="22" fillId="6" borderId="29" xfId="3" applyNumberFormat="1" applyFont="1" applyFill="1" applyBorder="1" applyAlignment="1">
      <alignment vertical="center"/>
    </xf>
    <xf numFmtId="43" fontId="16" fillId="0" borderId="0" xfId="3" applyFont="1" applyFill="1" applyBorder="1" applyAlignment="1">
      <alignment horizontal="left" vertical="center"/>
    </xf>
    <xf numFmtId="43" fontId="19" fillId="0" borderId="0" xfId="3" applyFont="1" applyFill="1" applyBorder="1" applyAlignment="1">
      <alignment horizontal="center" vertical="center"/>
    </xf>
    <xf numFmtId="4" fontId="14" fillId="0" borderId="0" xfId="3" applyNumberFormat="1" applyFont="1" applyFill="1" applyBorder="1" applyAlignment="1">
      <alignment vertical="center"/>
    </xf>
    <xf numFmtId="4" fontId="22" fillId="0" borderId="0" xfId="3" applyNumberFormat="1" applyFont="1" applyFill="1" applyBorder="1" applyAlignment="1">
      <alignment vertical="center"/>
    </xf>
    <xf numFmtId="43" fontId="14" fillId="0" borderId="0" xfId="1" applyFont="1" applyFill="1" applyAlignment="1">
      <alignment horizontal="center" vertical="center"/>
    </xf>
    <xf numFmtId="4" fontId="14" fillId="0" borderId="13" xfId="1" applyNumberFormat="1" applyFont="1" applyFill="1" applyBorder="1" applyAlignment="1">
      <alignment vertical="center"/>
    </xf>
    <xf numFmtId="4" fontId="14" fillId="0" borderId="14" xfId="1" applyNumberFormat="1" applyFont="1" applyFill="1" applyBorder="1" applyAlignment="1">
      <alignment vertical="center"/>
    </xf>
    <xf numFmtId="43" fontId="14" fillId="0" borderId="12" xfId="1" applyFont="1" applyFill="1" applyBorder="1" applyAlignment="1">
      <alignment horizontal="center" vertical="center"/>
    </xf>
    <xf numFmtId="43" fontId="14" fillId="0" borderId="43" xfId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3" fontId="16" fillId="13" borderId="31" xfId="1" applyNumberFormat="1" applyFont="1" applyFill="1" applyBorder="1" applyAlignment="1">
      <alignment vertical="center"/>
    </xf>
    <xf numFmtId="4" fontId="18" fillId="0" borderId="0" xfId="0" applyNumberFormat="1" applyFont="1" applyAlignment="1">
      <alignment vertical="center"/>
    </xf>
    <xf numFmtId="4" fontId="14" fillId="0" borderId="0" xfId="0" applyNumberFormat="1" applyFont="1" applyBorder="1" applyAlignment="1">
      <alignment vertical="center"/>
    </xf>
    <xf numFmtId="43" fontId="14" fillId="0" borderId="7" xfId="1" applyFont="1" applyFill="1" applyBorder="1" applyAlignment="1">
      <alignment horizontal="center" vertical="center"/>
    </xf>
    <xf numFmtId="4" fontId="14" fillId="0" borderId="15" xfId="1" applyNumberFormat="1" applyFont="1" applyFill="1" applyBorder="1" applyAlignment="1">
      <alignment vertical="center"/>
    </xf>
    <xf numFmtId="4" fontId="14" fillId="0" borderId="13" xfId="1" applyNumberFormat="1" applyFont="1" applyFill="1" applyBorder="1" applyAlignment="1">
      <alignment horizontal="right" vertical="center"/>
    </xf>
    <xf numFmtId="49" fontId="15" fillId="0" borderId="17" xfId="1" applyNumberFormat="1" applyFont="1" applyFill="1" applyBorder="1" applyAlignment="1">
      <alignment horizontal="center" vertical="center"/>
    </xf>
    <xf numFmtId="49" fontId="15" fillId="0" borderId="8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9" fontId="15" fillId="0" borderId="8" xfId="1" applyNumberFormat="1" applyFont="1" applyBorder="1" applyAlignment="1">
      <alignment horizontal="left" vertical="center"/>
    </xf>
    <xf numFmtId="49" fontId="15" fillId="4" borderId="8" xfId="1" applyNumberFormat="1" applyFont="1" applyFill="1" applyBorder="1" applyAlignment="1">
      <alignment horizontal="left" vertical="center"/>
    </xf>
    <xf numFmtId="4" fontId="14" fillId="0" borderId="12" xfId="1" applyNumberFormat="1" applyFont="1" applyFill="1" applyBorder="1" applyAlignment="1">
      <alignment horizontal="right" vertical="center"/>
    </xf>
    <xf numFmtId="43" fontId="14" fillId="4" borderId="13" xfId="1" applyFont="1" applyFill="1" applyBorder="1" applyAlignment="1">
      <alignment vertical="center"/>
    </xf>
    <xf numFmtId="0" fontId="0" fillId="4" borderId="0" xfId="0" applyFill="1" applyAlignment="1">
      <alignment vertical="center"/>
    </xf>
    <xf numFmtId="43" fontId="14" fillId="0" borderId="8" xfId="1" applyFont="1" applyBorder="1" applyAlignment="1">
      <alignment horizontal="center" vertical="center"/>
    </xf>
    <xf numFmtId="43" fontId="12" fillId="0" borderId="43" xfId="1" applyFont="1" applyFill="1" applyBorder="1" applyAlignment="1">
      <alignment horizontal="center" vertical="center"/>
    </xf>
    <xf numFmtId="4" fontId="14" fillId="0" borderId="47" xfId="1" applyNumberFormat="1" applyFont="1" applyBorder="1" applyAlignment="1">
      <alignment vertical="center"/>
    </xf>
    <xf numFmtId="4" fontId="14" fillId="4" borderId="47" xfId="1" applyNumberFormat="1" applyFont="1" applyFill="1" applyBorder="1" applyAlignment="1">
      <alignment vertical="center"/>
    </xf>
    <xf numFmtId="4" fontId="14" fillId="5" borderId="44" xfId="1" applyNumberFormat="1" applyFont="1" applyFill="1" applyBorder="1" applyAlignment="1">
      <alignment vertical="center"/>
    </xf>
    <xf numFmtId="4" fontId="0" fillId="0" borderId="47" xfId="0" applyNumberFormat="1" applyBorder="1" applyAlignment="1">
      <alignment vertical="center"/>
    </xf>
    <xf numFmtId="165" fontId="0" fillId="0" borderId="44" xfId="0" applyNumberFormat="1" applyBorder="1" applyAlignment="1">
      <alignment vertical="center"/>
    </xf>
    <xf numFmtId="43" fontId="12" fillId="0" borderId="15" xfId="1" applyFont="1" applyFill="1" applyBorder="1" applyAlignment="1">
      <alignment horizontal="center" vertical="center"/>
    </xf>
    <xf numFmtId="4" fontId="16" fillId="6" borderId="64" xfId="1" applyNumberFormat="1" applyFont="1" applyFill="1" applyBorder="1" applyAlignment="1">
      <alignment vertical="center"/>
    </xf>
    <xf numFmtId="4" fontId="14" fillId="5" borderId="63" xfId="1" applyNumberFormat="1" applyFont="1" applyFill="1" applyBorder="1" applyAlignment="1">
      <alignment vertical="center"/>
    </xf>
    <xf numFmtId="4" fontId="0" fillId="0" borderId="15" xfId="0" applyNumberFormat="1" applyBorder="1" applyAlignment="1">
      <alignment vertical="center"/>
    </xf>
    <xf numFmtId="165" fontId="0" fillId="0" borderId="63" xfId="0" applyNumberFormat="1" applyBorder="1" applyAlignment="1">
      <alignment vertical="center"/>
    </xf>
    <xf numFmtId="2" fontId="0" fillId="0" borderId="31" xfId="0" applyNumberFormat="1" applyBorder="1" applyAlignment="1">
      <alignment vertical="center"/>
    </xf>
    <xf numFmtId="2" fontId="0" fillId="0" borderId="53" xfId="0" applyNumberFormat="1" applyBorder="1" applyAlignment="1">
      <alignment vertical="center"/>
    </xf>
    <xf numFmtId="4" fontId="14" fillId="0" borderId="47" xfId="1" applyNumberFormat="1" applyFont="1" applyFill="1" applyBorder="1" applyAlignment="1">
      <alignment vertical="center"/>
    </xf>
    <xf numFmtId="4" fontId="0" fillId="5" borderId="12" xfId="0" applyNumberFormat="1" applyFill="1" applyBorder="1" applyAlignment="1">
      <alignment vertical="center"/>
    </xf>
    <xf numFmtId="0" fontId="0" fillId="14" borderId="0" xfId="0" applyFill="1" applyAlignment="1">
      <alignment vertical="center"/>
    </xf>
    <xf numFmtId="43" fontId="14" fillId="0" borderId="6" xfId="1" applyFont="1" applyFill="1" applyBorder="1" applyAlignment="1">
      <alignment vertical="center"/>
    </xf>
    <xf numFmtId="43" fontId="14" fillId="0" borderId="7" xfId="1" applyFont="1" applyFill="1" applyBorder="1" applyAlignment="1">
      <alignment vertical="center"/>
    </xf>
    <xf numFmtId="43" fontId="12" fillId="0" borderId="7" xfId="1" applyFont="1" applyFill="1" applyBorder="1" applyAlignment="1">
      <alignment horizontal="center" vertical="center" wrapText="1"/>
    </xf>
    <xf numFmtId="43" fontId="11" fillId="0" borderId="8" xfId="1" applyFont="1" applyFill="1" applyBorder="1" applyAlignment="1">
      <alignment horizontal="center" vertical="center" wrapText="1"/>
    </xf>
    <xf numFmtId="165" fontId="0" fillId="0" borderId="37" xfId="0" applyNumberFormat="1" applyBorder="1" applyAlignment="1">
      <alignment vertical="center"/>
    </xf>
    <xf numFmtId="43" fontId="12" fillId="0" borderId="13" xfId="1" applyFont="1" applyFill="1" applyBorder="1" applyAlignment="1">
      <alignment horizontal="center" vertical="center"/>
    </xf>
    <xf numFmtId="4" fontId="0" fillId="0" borderId="57" xfId="0" applyNumberFormat="1" applyFill="1" applyBorder="1" applyAlignment="1">
      <alignment vertical="center"/>
    </xf>
    <xf numFmtId="165" fontId="0" fillId="0" borderId="59" xfId="0" applyNumberFormat="1" applyBorder="1" applyAlignment="1">
      <alignment vertical="center"/>
    </xf>
    <xf numFmtId="4" fontId="16" fillId="5" borderId="57" xfId="1" applyNumberFormat="1" applyFont="1" applyFill="1" applyBorder="1" applyAlignment="1">
      <alignment vertical="center"/>
    </xf>
    <xf numFmtId="4" fontId="16" fillId="5" borderId="59" xfId="1" applyNumberFormat="1" applyFont="1" applyFill="1" applyBorder="1" applyAlignment="1">
      <alignment vertical="center"/>
    </xf>
    <xf numFmtId="4" fontId="16" fillId="6" borderId="60" xfId="1" applyNumberFormat="1" applyFont="1" applyFill="1" applyBorder="1" applyAlignment="1">
      <alignment vertical="center"/>
    </xf>
    <xf numFmtId="4" fontId="14" fillId="5" borderId="33" xfId="1" applyNumberFormat="1" applyFont="1" applyFill="1" applyBorder="1" applyAlignment="1">
      <alignment vertical="center"/>
    </xf>
    <xf numFmtId="4" fontId="14" fillId="3" borderId="13" xfId="1" applyNumberFormat="1" applyFont="1" applyFill="1" applyBorder="1" applyAlignment="1">
      <alignment vertical="center"/>
    </xf>
    <xf numFmtId="4" fontId="16" fillId="5" borderId="18" xfId="1" applyNumberFormat="1" applyFont="1" applyFill="1" applyBorder="1" applyAlignment="1">
      <alignment vertical="center"/>
    </xf>
    <xf numFmtId="4" fontId="14" fillId="7" borderId="6" xfId="1" applyNumberFormat="1" applyFont="1" applyFill="1" applyBorder="1" applyAlignment="1">
      <alignment vertical="center"/>
    </xf>
    <xf numFmtId="43" fontId="30" fillId="7" borderId="17" xfId="1" applyFont="1" applyFill="1" applyBorder="1" applyAlignment="1">
      <alignment vertical="center"/>
    </xf>
    <xf numFmtId="43" fontId="31" fillId="7" borderId="17" xfId="1" applyFont="1" applyFill="1" applyBorder="1" applyAlignment="1">
      <alignment vertical="center"/>
    </xf>
    <xf numFmtId="43" fontId="32" fillId="7" borderId="17" xfId="1" applyFont="1" applyFill="1" applyBorder="1" applyAlignment="1">
      <alignment vertical="center"/>
    </xf>
    <xf numFmtId="169" fontId="16" fillId="6" borderId="4" xfId="1" applyNumberFormat="1" applyFont="1" applyFill="1" applyBorder="1" applyAlignment="1">
      <alignment vertical="center"/>
    </xf>
    <xf numFmtId="4" fontId="16" fillId="5" borderId="6" xfId="1" applyNumberFormat="1" applyFont="1" applyFill="1" applyBorder="1" applyAlignment="1">
      <alignment vertical="center"/>
    </xf>
    <xf numFmtId="4" fontId="16" fillId="5" borderId="11" xfId="1" applyNumberFormat="1" applyFont="1" applyFill="1" applyBorder="1" applyAlignment="1">
      <alignment vertical="center"/>
    </xf>
    <xf numFmtId="4" fontId="16" fillId="0" borderId="11" xfId="1" applyNumberFormat="1" applyFont="1" applyFill="1" applyBorder="1" applyAlignment="1">
      <alignment vertical="center"/>
    </xf>
    <xf numFmtId="165" fontId="0" fillId="0" borderId="41" xfId="0" applyNumberFormat="1" applyBorder="1" applyAlignment="1">
      <alignment vertical="center"/>
    </xf>
    <xf numFmtId="2" fontId="0" fillId="0" borderId="65" xfId="0" applyNumberFormat="1" applyBorder="1" applyAlignment="1">
      <alignment vertical="center"/>
    </xf>
    <xf numFmtId="2" fontId="0" fillId="0" borderId="39" xfId="0" applyNumberFormat="1" applyBorder="1" applyAlignment="1">
      <alignment vertical="center"/>
    </xf>
    <xf numFmtId="2" fontId="0" fillId="0" borderId="66" xfId="0" applyNumberFormat="1" applyBorder="1" applyAlignment="1">
      <alignment vertical="center"/>
    </xf>
    <xf numFmtId="165" fontId="0" fillId="0" borderId="4" xfId="0" applyNumberFormat="1" applyBorder="1" applyAlignment="1">
      <alignment vertical="center"/>
    </xf>
    <xf numFmtId="165" fontId="0" fillId="0" borderId="3" xfId="0" applyNumberFormat="1" applyBorder="1" applyAlignment="1">
      <alignment vertical="center"/>
    </xf>
    <xf numFmtId="165" fontId="0" fillId="0" borderId="64" xfId="0" applyNumberFormat="1" applyBorder="1" applyAlignment="1">
      <alignment vertical="center"/>
    </xf>
    <xf numFmtId="2" fontId="0" fillId="0" borderId="5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4" fontId="14" fillId="0" borderId="0" xfId="1" applyNumberFormat="1" applyFont="1" applyBorder="1" applyAlignment="1">
      <alignment vertical="center"/>
    </xf>
    <xf numFmtId="4" fontId="14" fillId="0" borderId="6" xfId="1" applyNumberFormat="1" applyFont="1" applyFill="1" applyBorder="1" applyAlignment="1">
      <alignment vertical="center"/>
    </xf>
    <xf numFmtId="4" fontId="14" fillId="0" borderId="11" xfId="1" applyNumberFormat="1" applyFont="1" applyFill="1" applyBorder="1" applyAlignment="1">
      <alignment vertical="center"/>
    </xf>
    <xf numFmtId="49" fontId="15" fillId="5" borderId="14" xfId="1" applyNumberFormat="1" applyFont="1" applyFill="1" applyBorder="1" applyAlignment="1">
      <alignment horizontal="left" vertical="center"/>
    </xf>
    <xf numFmtId="49" fontId="15" fillId="0" borderId="8" xfId="1" applyNumberFormat="1" applyFont="1" applyFill="1" applyBorder="1" applyAlignment="1">
      <alignment horizontal="left" vertical="center"/>
    </xf>
    <xf numFmtId="49" fontId="15" fillId="5" borderId="34" xfId="1" applyNumberFormat="1" applyFont="1" applyFill="1" applyBorder="1" applyAlignment="1">
      <alignment horizontal="center" vertical="center"/>
    </xf>
    <xf numFmtId="4" fontId="16" fillId="5" borderId="16" xfId="1" applyNumberFormat="1" applyFont="1" applyFill="1" applyBorder="1" applyAlignment="1">
      <alignment vertical="center"/>
    </xf>
    <xf numFmtId="4" fontId="0" fillId="0" borderId="64" xfId="0" applyNumberFormat="1" applyBorder="1" applyAlignment="1">
      <alignment vertical="center"/>
    </xf>
    <xf numFmtId="0" fontId="0" fillId="0" borderId="67" xfId="0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NumberFormat="1" applyFont="1" applyBorder="1"/>
    <xf numFmtId="4" fontId="16" fillId="5" borderId="47" xfId="1" applyNumberFormat="1" applyFont="1" applyFill="1" applyBorder="1" applyAlignment="1">
      <alignment vertical="center"/>
    </xf>
    <xf numFmtId="4" fontId="16" fillId="5" borderId="43" xfId="1" applyNumberFormat="1" applyFont="1" applyFill="1" applyBorder="1" applyAlignment="1">
      <alignment vertical="center"/>
    </xf>
    <xf numFmtId="49" fontId="22" fillId="5" borderId="11" xfId="1" applyNumberFormat="1" applyFont="1" applyFill="1" applyBorder="1" applyAlignment="1">
      <alignment horizontal="center" vertical="center"/>
    </xf>
    <xf numFmtId="49" fontId="22" fillId="5" borderId="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3" xfId="0" applyBorder="1" applyAlignment="1">
      <alignment vertical="center"/>
    </xf>
    <xf numFmtId="4" fontId="16" fillId="5" borderId="33" xfId="1" applyNumberFormat="1" applyFont="1" applyFill="1" applyBorder="1" applyAlignment="1">
      <alignment vertical="center"/>
    </xf>
    <xf numFmtId="4" fontId="16" fillId="6" borderId="3" xfId="1" applyNumberFormat="1" applyFont="1" applyFill="1" applyBorder="1" applyAlignment="1">
      <alignment vertical="center"/>
    </xf>
    <xf numFmtId="43" fontId="22" fillId="5" borderId="35" xfId="1" applyFont="1" applyFill="1" applyBorder="1" applyAlignment="1">
      <alignment horizontal="left" vertical="center"/>
    </xf>
    <xf numFmtId="4" fontId="16" fillId="5" borderId="63" xfId="1" applyNumberFormat="1" applyFont="1" applyFill="1" applyBorder="1" applyAlignment="1">
      <alignment vertical="center"/>
    </xf>
    <xf numFmtId="164" fontId="15" fillId="0" borderId="15" xfId="1" applyNumberFormat="1" applyFont="1" applyFill="1" applyBorder="1" applyAlignment="1">
      <alignment horizontal="left" vertical="center"/>
    </xf>
    <xf numFmtId="164" fontId="15" fillId="0" borderId="15" xfId="1" applyNumberFormat="1" applyFont="1" applyBorder="1" applyAlignment="1">
      <alignment horizontal="left" vertical="center"/>
    </xf>
    <xf numFmtId="164" fontId="15" fillId="4" borderId="15" xfId="1" applyNumberFormat="1" applyFont="1" applyFill="1" applyBorder="1" applyAlignment="1">
      <alignment horizontal="left" vertical="center"/>
    </xf>
    <xf numFmtId="164" fontId="16" fillId="5" borderId="15" xfId="1" applyNumberFormat="1" applyFont="1" applyFill="1" applyBorder="1" applyAlignment="1">
      <alignment horizontal="left" vertical="center"/>
    </xf>
    <xf numFmtId="164" fontId="22" fillId="5" borderId="65" xfId="1" applyNumberFormat="1" applyFont="1" applyFill="1" applyBorder="1" applyAlignment="1">
      <alignment horizontal="left" vertical="center"/>
    </xf>
    <xf numFmtId="165" fontId="0" fillId="0" borderId="68" xfId="0" applyNumberFormat="1" applyBorder="1" applyAlignment="1">
      <alignment vertical="center"/>
    </xf>
    <xf numFmtId="4" fontId="14" fillId="3" borderId="52" xfId="1" applyNumberFormat="1" applyFont="1" applyFill="1" applyBorder="1" applyAlignment="1">
      <alignment vertical="center"/>
    </xf>
    <xf numFmtId="4" fontId="14" fillId="3" borderId="4" xfId="1" applyNumberFormat="1" applyFont="1" applyFill="1" applyBorder="1" applyAlignment="1">
      <alignment vertical="center"/>
    </xf>
    <xf numFmtId="4" fontId="14" fillId="4" borderId="11" xfId="1" applyNumberFormat="1" applyFont="1" applyFill="1" applyBorder="1" applyAlignment="1">
      <alignment vertical="center"/>
    </xf>
    <xf numFmtId="4" fontId="14" fillId="4" borderId="34" xfId="1" applyNumberFormat="1" applyFont="1" applyFill="1" applyBorder="1" applyAlignment="1">
      <alignment vertical="center"/>
    </xf>
    <xf numFmtId="4" fontId="14" fillId="7" borderId="8" xfId="1" applyNumberFormat="1" applyFont="1" applyFill="1" applyBorder="1" applyAlignment="1">
      <alignment vertical="center"/>
    </xf>
    <xf numFmtId="4" fontId="14" fillId="7" borderId="34" xfId="1" applyNumberFormat="1" applyFont="1" applyFill="1" applyBorder="1" applyAlignment="1">
      <alignment vertical="center"/>
    </xf>
    <xf numFmtId="0" fontId="27" fillId="5" borderId="67" xfId="2" applyFont="1" applyFill="1" applyBorder="1" applyAlignment="1">
      <alignment horizontal="center" vertical="center"/>
    </xf>
    <xf numFmtId="4" fontId="22" fillId="6" borderId="69" xfId="3" applyNumberFormat="1" applyFont="1" applyFill="1" applyBorder="1" applyAlignment="1">
      <alignment vertical="center"/>
    </xf>
    <xf numFmtId="1" fontId="14" fillId="3" borderId="12" xfId="1" applyNumberFormat="1" applyFont="1" applyFill="1" applyBorder="1" applyAlignment="1">
      <alignment horizontal="center" vertical="center"/>
    </xf>
    <xf numFmtId="43" fontId="14" fillId="3" borderId="7" xfId="1" applyFont="1" applyFill="1" applyBorder="1" applyAlignment="1">
      <alignment horizontal="center" vertical="center"/>
    </xf>
    <xf numFmtId="4" fontId="14" fillId="3" borderId="14" xfId="1" applyNumberFormat="1" applyFont="1" applyFill="1" applyBorder="1" applyAlignment="1">
      <alignment vertical="center"/>
    </xf>
    <xf numFmtId="4" fontId="14" fillId="3" borderId="15" xfId="1" applyNumberFormat="1" applyFont="1" applyFill="1" applyBorder="1" applyAlignment="1">
      <alignment vertical="center"/>
    </xf>
    <xf numFmtId="4" fontId="14" fillId="3" borderId="47" xfId="1" applyNumberFormat="1" applyFont="1" applyFill="1" applyBorder="1" applyAlignment="1">
      <alignment vertical="center"/>
    </xf>
    <xf numFmtId="43" fontId="14" fillId="3" borderId="12" xfId="1" applyFont="1" applyFill="1" applyBorder="1" applyAlignment="1">
      <alignment horizontal="center" vertical="center"/>
    </xf>
    <xf numFmtId="43" fontId="14" fillId="3" borderId="43" xfId="1" applyFont="1" applyFill="1" applyBorder="1" applyAlignment="1">
      <alignment horizontal="center" vertical="center"/>
    </xf>
    <xf numFmtId="4" fontId="0" fillId="0" borderId="0" xfId="0" applyNumberFormat="1"/>
    <xf numFmtId="4" fontId="0" fillId="0" borderId="15" xfId="0" applyNumberFormat="1" applyBorder="1"/>
    <xf numFmtId="43" fontId="14" fillId="7" borderId="9" xfId="1" applyNumberFormat="1" applyFont="1" applyFill="1" applyBorder="1" applyAlignment="1">
      <alignment vertical="center"/>
    </xf>
    <xf numFmtId="4" fontId="10" fillId="0" borderId="0" xfId="0" applyNumberFormat="1" applyFont="1"/>
    <xf numFmtId="43" fontId="14" fillId="4" borderId="11" xfId="1" applyFont="1" applyFill="1" applyBorder="1" applyAlignment="1">
      <alignment vertical="center"/>
    </xf>
    <xf numFmtId="43" fontId="14" fillId="4" borderId="12" xfId="1" applyFont="1" applyFill="1" applyBorder="1" applyAlignment="1">
      <alignment vertical="center"/>
    </xf>
    <xf numFmtId="0" fontId="33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4" fontId="16" fillId="6" borderId="1" xfId="1" applyNumberFormat="1" applyFont="1" applyFill="1" applyBorder="1" applyAlignment="1">
      <alignment vertical="center"/>
    </xf>
    <xf numFmtId="4" fontId="16" fillId="5" borderId="44" xfId="1" applyNumberFormat="1" applyFont="1" applyFill="1" applyBorder="1" applyAlignment="1">
      <alignment vertical="center"/>
    </xf>
    <xf numFmtId="4" fontId="0" fillId="0" borderId="18" xfId="0" applyNumberFormat="1" applyBorder="1" applyAlignment="1">
      <alignment vertical="center"/>
    </xf>
    <xf numFmtId="4" fontId="16" fillId="5" borderId="70" xfId="1" applyNumberFormat="1" applyFont="1" applyFill="1" applyBorder="1" applyAlignment="1">
      <alignment vertical="center"/>
    </xf>
    <xf numFmtId="4" fontId="0" fillId="0" borderId="32" xfId="0" applyNumberFormat="1" applyFill="1" applyBorder="1" applyAlignment="1">
      <alignment vertical="center"/>
    </xf>
    <xf numFmtId="4" fontId="0" fillId="0" borderId="64" xfId="0" applyNumberFormat="1" applyFill="1" applyBorder="1" applyAlignment="1">
      <alignment vertical="center"/>
    </xf>
    <xf numFmtId="4" fontId="0" fillId="0" borderId="5" xfId="0" applyNumberFormat="1" applyBorder="1" applyAlignment="1">
      <alignment vertical="center"/>
    </xf>
    <xf numFmtId="0" fontId="34" fillId="0" borderId="0" xfId="0" applyFont="1" applyAlignment="1">
      <alignment vertical="center"/>
    </xf>
    <xf numFmtId="4" fontId="34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3" fontId="12" fillId="7" borderId="2" xfId="1" applyFont="1" applyFill="1" applyBorder="1" applyAlignment="1">
      <alignment horizontal="center" vertical="center" wrapText="1"/>
    </xf>
    <xf numFmtId="43" fontId="11" fillId="0" borderId="10" xfId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4" fontId="10" fillId="4" borderId="12" xfId="1" applyNumberFormat="1" applyFont="1" applyFill="1" applyBorder="1" applyAlignment="1">
      <alignment vertical="center"/>
    </xf>
    <xf numFmtId="0" fontId="6" fillId="0" borderId="66" xfId="0" applyFont="1" applyBorder="1" applyAlignment="1">
      <alignment horizontal="center" vertical="center"/>
    </xf>
    <xf numFmtId="0" fontId="0" fillId="0" borderId="66" xfId="0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14" borderId="0" xfId="0" applyFont="1" applyFill="1" applyAlignment="1">
      <alignment vertical="center"/>
    </xf>
    <xf numFmtId="43" fontId="36" fillId="0" borderId="1" xfId="1" applyFont="1" applyFill="1" applyBorder="1" applyAlignment="1">
      <alignment horizontal="center" vertical="center" wrapText="1"/>
    </xf>
    <xf numFmtId="43" fontId="36" fillId="0" borderId="2" xfId="1" applyFont="1" applyFill="1" applyBorder="1" applyAlignment="1">
      <alignment horizontal="center" vertical="center" wrapText="1"/>
    </xf>
    <xf numFmtId="4" fontId="0" fillId="0" borderId="0" xfId="0" applyNumberFormat="1" applyFill="1" applyAlignment="1">
      <alignment vertical="center"/>
    </xf>
    <xf numFmtId="0" fontId="7" fillId="0" borderId="0" xfId="0" applyFont="1" applyFill="1" applyAlignment="1">
      <alignment vertical="center"/>
    </xf>
    <xf numFmtId="4" fontId="7" fillId="0" borderId="0" xfId="0" applyNumberFormat="1" applyFont="1" applyAlignment="1">
      <alignment vertical="center"/>
    </xf>
    <xf numFmtId="4" fontId="0" fillId="5" borderId="17" xfId="0" applyNumberFormat="1" applyFill="1" applyBorder="1" applyAlignment="1">
      <alignment vertical="center"/>
    </xf>
    <xf numFmtId="4" fontId="0" fillId="5" borderId="15" xfId="0" applyNumberFormat="1" applyFill="1" applyBorder="1" applyAlignment="1">
      <alignment vertical="center"/>
    </xf>
    <xf numFmtId="4" fontId="16" fillId="0" borderId="13" xfId="1" applyNumberFormat="1" applyFont="1" applyFill="1" applyBorder="1" applyAlignment="1">
      <alignment vertical="center"/>
    </xf>
    <xf numFmtId="43" fontId="14" fillId="7" borderId="7" xfId="1" applyFont="1" applyFill="1" applyBorder="1" applyAlignment="1">
      <alignment vertical="center"/>
    </xf>
    <xf numFmtId="4" fontId="0" fillId="0" borderId="49" xfId="0" applyNumberFormat="1" applyBorder="1" applyAlignment="1">
      <alignment vertical="center"/>
    </xf>
    <xf numFmtId="4" fontId="14" fillId="6" borderId="13" xfId="1" applyNumberFormat="1" applyFont="1" applyFill="1" applyBorder="1" applyAlignment="1">
      <alignment vertical="center"/>
    </xf>
    <xf numFmtId="0" fontId="0" fillId="6" borderId="63" xfId="0" applyFill="1" applyBorder="1" applyAlignment="1">
      <alignment horizontal="left" vertical="center"/>
    </xf>
    <xf numFmtId="0" fontId="0" fillId="6" borderId="34" xfId="0" applyFill="1" applyBorder="1" applyAlignment="1">
      <alignment horizontal="left" vertical="center"/>
    </xf>
    <xf numFmtId="4" fontId="14" fillId="6" borderId="57" xfId="1" applyNumberFormat="1" applyFont="1" applyFill="1" applyBorder="1" applyAlignment="1">
      <alignment vertical="center"/>
    </xf>
    <xf numFmtId="4" fontId="14" fillId="6" borderId="18" xfId="1" applyNumberFormat="1" applyFont="1" applyFill="1" applyBorder="1" applyAlignment="1">
      <alignment vertical="center"/>
    </xf>
    <xf numFmtId="0" fontId="10" fillId="0" borderId="0" xfId="2" applyBorder="1" applyAlignment="1">
      <alignment vertical="center"/>
    </xf>
    <xf numFmtId="0" fontId="7" fillId="0" borderId="66" xfId="2" applyFont="1" applyBorder="1" applyAlignment="1">
      <alignment vertical="center"/>
    </xf>
    <xf numFmtId="0" fontId="27" fillId="5" borderId="60" xfId="2" applyFont="1" applyFill="1" applyBorder="1" applyAlignment="1">
      <alignment horizontal="center" vertical="center"/>
    </xf>
    <xf numFmtId="4" fontId="14" fillId="6" borderId="71" xfId="3" applyNumberFormat="1" applyFont="1" applyFill="1" applyBorder="1" applyAlignment="1">
      <alignment vertical="center"/>
    </xf>
    <xf numFmtId="4" fontId="22" fillId="6" borderId="62" xfId="3" applyNumberFormat="1" applyFont="1" applyFill="1" applyBorder="1" applyAlignment="1">
      <alignment vertical="center"/>
    </xf>
    <xf numFmtId="4" fontId="14" fillId="6" borderId="69" xfId="3" applyNumberFormat="1" applyFont="1" applyFill="1" applyBorder="1" applyAlignment="1">
      <alignment vertical="center"/>
    </xf>
    <xf numFmtId="0" fontId="18" fillId="5" borderId="1" xfId="2" applyFont="1" applyFill="1" applyBorder="1" applyAlignment="1">
      <alignment horizontal="center" vertical="center"/>
    </xf>
    <xf numFmtId="165" fontId="0" fillId="0" borderId="35" xfId="0" applyNumberFormat="1" applyFont="1" applyBorder="1" applyAlignment="1">
      <alignment vertical="center"/>
    </xf>
    <xf numFmtId="4" fontId="0" fillId="0" borderId="12" xfId="0" applyNumberFormat="1" applyFont="1" applyBorder="1" applyAlignment="1">
      <alignment vertical="center"/>
    </xf>
    <xf numFmtId="4" fontId="0" fillId="7" borderId="12" xfId="0" applyNumberFormat="1" applyFont="1" applyFill="1" applyBorder="1" applyAlignment="1">
      <alignment vertical="center"/>
    </xf>
    <xf numFmtId="165" fontId="0" fillId="7" borderId="35" xfId="0" applyNumberFormat="1" applyFont="1" applyFill="1" applyBorder="1" applyAlignment="1">
      <alignment vertical="center"/>
    </xf>
    <xf numFmtId="4" fontId="14" fillId="6" borderId="35" xfId="1" applyNumberFormat="1" applyFont="1" applyFill="1" applyBorder="1" applyAlignment="1">
      <alignment vertical="center"/>
    </xf>
    <xf numFmtId="4" fontId="14" fillId="6" borderId="52" xfId="1" applyNumberFormat="1" applyFont="1" applyFill="1" applyBorder="1" applyAlignment="1">
      <alignment vertical="center"/>
    </xf>
    <xf numFmtId="4" fontId="0" fillId="0" borderId="67" xfId="0" applyNumberFormat="1" applyBorder="1" applyAlignment="1">
      <alignment vertical="center"/>
    </xf>
    <xf numFmtId="4" fontId="10" fillId="6" borderId="34" xfId="0" applyNumberFormat="1" applyFont="1" applyFill="1" applyBorder="1" applyAlignment="1">
      <alignment vertical="center"/>
    </xf>
    <xf numFmtId="4" fontId="14" fillId="6" borderId="33" xfId="1" applyNumberFormat="1" applyFont="1" applyFill="1" applyBorder="1" applyAlignment="1">
      <alignment vertical="center"/>
    </xf>
    <xf numFmtId="4" fontId="10" fillId="6" borderId="59" xfId="0" applyNumberFormat="1" applyFont="1" applyFill="1" applyBorder="1" applyAlignment="1">
      <alignment vertical="center"/>
    </xf>
    <xf numFmtId="4" fontId="18" fillId="0" borderId="0" xfId="0" applyNumberFormat="1" applyFont="1" applyFill="1" applyAlignment="1">
      <alignment vertical="center"/>
    </xf>
    <xf numFmtId="0" fontId="37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4" fontId="0" fillId="3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164" fontId="14" fillId="0" borderId="16" xfId="1" applyNumberFormat="1" applyFont="1" applyFill="1" applyBorder="1" applyAlignment="1">
      <alignment horizontal="left" vertical="center"/>
    </xf>
    <xf numFmtId="43" fontId="14" fillId="0" borderId="15" xfId="1" applyFont="1" applyFill="1" applyBorder="1" applyAlignment="1">
      <alignment horizontal="left" vertical="center"/>
    </xf>
    <xf numFmtId="4" fontId="39" fillId="5" borderId="13" xfId="1" applyNumberFormat="1" applyFont="1" applyFill="1" applyBorder="1" applyAlignment="1">
      <alignment vertical="center"/>
    </xf>
    <xf numFmtId="4" fontId="39" fillId="5" borderId="14" xfId="1" applyNumberFormat="1" applyFont="1" applyFill="1" applyBorder="1" applyAlignment="1">
      <alignment vertical="center"/>
    </xf>
    <xf numFmtId="4" fontId="39" fillId="5" borderId="17" xfId="1" applyNumberFormat="1" applyFont="1" applyFill="1" applyBorder="1" applyAlignment="1">
      <alignment vertical="center"/>
    </xf>
    <xf numFmtId="0" fontId="9" fillId="14" borderId="0" xfId="0" applyFont="1" applyFill="1" applyAlignment="1">
      <alignment vertical="center" wrapText="1"/>
    </xf>
    <xf numFmtId="43" fontId="16" fillId="5" borderId="6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43" fontId="14" fillId="0" borderId="13" xfId="1" applyFont="1" applyFill="1" applyBorder="1" applyAlignment="1">
      <alignment horizontal="center" vertical="center"/>
    </xf>
    <xf numFmtId="4" fontId="16" fillId="5" borderId="72" xfId="1" applyNumberFormat="1" applyFont="1" applyFill="1" applyBorder="1" applyAlignment="1">
      <alignment vertical="center"/>
    </xf>
    <xf numFmtId="165" fontId="2" fillId="0" borderId="35" xfId="0" applyNumberFormat="1" applyFont="1" applyFill="1" applyBorder="1" applyAlignment="1">
      <alignment vertical="center"/>
    </xf>
    <xf numFmtId="2" fontId="0" fillId="0" borderId="34" xfId="0" applyNumberFormat="1" applyFill="1" applyBorder="1" applyAlignment="1">
      <alignment vertical="center"/>
    </xf>
    <xf numFmtId="167" fontId="26" fillId="0" borderId="0" xfId="0" applyNumberFormat="1" applyFont="1" applyAlignment="1">
      <alignment horizontal="center" vertical="center"/>
    </xf>
    <xf numFmtId="4" fontId="16" fillId="5" borderId="0" xfId="1" applyNumberFormat="1" applyFont="1" applyFill="1" applyBorder="1" applyAlignment="1">
      <alignment vertical="center"/>
    </xf>
    <xf numFmtId="43" fontId="11" fillId="0" borderId="7" xfId="1" applyFont="1" applyFill="1" applyBorder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49" fontId="16" fillId="5" borderId="19" xfId="1" applyNumberFormat="1" applyFont="1" applyFill="1" applyBorder="1" applyAlignment="1">
      <alignment horizontal="center" vertical="center"/>
    </xf>
    <xf numFmtId="43" fontId="14" fillId="0" borderId="13" xfId="1" applyFont="1" applyBorder="1" applyAlignment="1">
      <alignment horizontal="left" vertical="center"/>
    </xf>
    <xf numFmtId="4" fontId="14" fillId="6" borderId="3" xfId="3" applyNumberFormat="1" applyFont="1" applyFill="1" applyBorder="1" applyAlignment="1">
      <alignment vertical="center"/>
    </xf>
    <xf numFmtId="0" fontId="18" fillId="5" borderId="67" xfId="2" applyFont="1" applyFill="1" applyBorder="1" applyAlignment="1">
      <alignment horizontal="center" vertical="center"/>
    </xf>
    <xf numFmtId="4" fontId="14" fillId="6" borderId="29" xfId="3" applyNumberFormat="1" applyFont="1" applyFill="1" applyBorder="1" applyAlignment="1">
      <alignment vertical="center"/>
    </xf>
    <xf numFmtId="4" fontId="40" fillId="0" borderId="0" xfId="0" applyNumberFormat="1" applyFont="1"/>
    <xf numFmtId="43" fontId="12" fillId="0" borderId="12" xfId="1" applyFont="1" applyFill="1" applyBorder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4" fontId="14" fillId="4" borderId="12" xfId="1" applyNumberFormat="1" applyFont="1" applyFill="1" applyBorder="1" applyAlignment="1">
      <alignment horizontal="right" vertical="center"/>
    </xf>
    <xf numFmtId="4" fontId="16" fillId="5" borderId="41" xfId="1" applyNumberFormat="1" applyFont="1" applyFill="1" applyBorder="1" applyAlignment="1">
      <alignment vertical="center"/>
    </xf>
    <xf numFmtId="4" fontId="16" fillId="5" borderId="66" xfId="1" applyNumberFormat="1" applyFont="1" applyFill="1" applyBorder="1" applyAlignment="1">
      <alignment vertical="center"/>
    </xf>
    <xf numFmtId="4" fontId="16" fillId="5" borderId="65" xfId="1" applyNumberFormat="1" applyFont="1" applyFill="1" applyBorder="1" applyAlignment="1">
      <alignment vertical="center"/>
    </xf>
    <xf numFmtId="4" fontId="16" fillId="5" borderId="55" xfId="1" applyNumberFormat="1" applyFont="1" applyFill="1" applyBorder="1" applyAlignment="1">
      <alignment vertical="center"/>
    </xf>
    <xf numFmtId="4" fontId="14" fillId="4" borderId="12" xfId="0" applyNumberFormat="1" applyFont="1" applyFill="1" applyBorder="1"/>
    <xf numFmtId="4" fontId="14" fillId="4" borderId="18" xfId="1" applyNumberFormat="1" applyFont="1" applyFill="1" applyBorder="1" applyAlignment="1">
      <alignment vertical="center"/>
    </xf>
    <xf numFmtId="43" fontId="14" fillId="4" borderId="47" xfId="1" applyFont="1" applyFill="1" applyBorder="1" applyAlignment="1">
      <alignment horizontal="center" vertical="center"/>
    </xf>
    <xf numFmtId="49" fontId="15" fillId="4" borderId="14" xfId="1" applyNumberFormat="1" applyFont="1" applyFill="1" applyBorder="1" applyAlignment="1">
      <alignment horizontal="center" vertical="center"/>
    </xf>
    <xf numFmtId="164" fontId="15" fillId="0" borderId="47" xfId="1" applyNumberFormat="1" applyFont="1" applyBorder="1" applyAlignment="1">
      <alignment horizontal="left" vertical="center"/>
    </xf>
    <xf numFmtId="43" fontId="15" fillId="0" borderId="12" xfId="1" applyFont="1" applyBorder="1" applyAlignment="1">
      <alignment horizontal="left" vertical="center"/>
    </xf>
    <xf numFmtId="167" fontId="26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167" fontId="26" fillId="0" borderId="0" xfId="0" applyNumberFormat="1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" fontId="38" fillId="0" borderId="17" xfId="1" applyNumberFormat="1" applyFont="1" applyFill="1" applyBorder="1" applyAlignment="1">
      <alignment vertical="center"/>
    </xf>
    <xf numFmtId="4" fontId="10" fillId="4" borderId="47" xfId="1" applyNumberFormat="1" applyFont="1" applyFill="1" applyBorder="1" applyAlignment="1">
      <alignment vertical="center"/>
    </xf>
    <xf numFmtId="4" fontId="10" fillId="4" borderId="15" xfId="1" applyNumberFormat="1" applyFont="1" applyFill="1" applyBorder="1" applyAlignment="1">
      <alignment vertical="center"/>
    </xf>
    <xf numFmtId="1" fontId="16" fillId="5" borderId="8" xfId="1" applyNumberFormat="1" applyFont="1" applyFill="1" applyBorder="1" applyAlignment="1">
      <alignment horizontal="left" vertical="center"/>
    </xf>
    <xf numFmtId="49" fontId="15" fillId="5" borderId="8" xfId="1" applyNumberFormat="1" applyFont="1" applyFill="1" applyBorder="1" applyAlignment="1">
      <alignment horizontal="center" vertical="center"/>
    </xf>
    <xf numFmtId="4" fontId="0" fillId="0" borderId="14" xfId="0" applyNumberFormat="1" applyBorder="1" applyAlignment="1">
      <alignment vertical="center"/>
    </xf>
    <xf numFmtId="2" fontId="0" fillId="0" borderId="36" xfId="0" applyNumberFormat="1" applyBorder="1" applyAlignment="1">
      <alignment vertical="center"/>
    </xf>
    <xf numFmtId="4" fontId="0" fillId="0" borderId="43" xfId="0" applyNumberFormat="1" applyBorder="1" applyAlignment="1">
      <alignment vertical="center"/>
    </xf>
    <xf numFmtId="43" fontId="12" fillId="0" borderId="17" xfId="1" applyFont="1" applyFill="1" applyBorder="1" applyAlignment="1">
      <alignment horizontal="center" vertical="center"/>
    </xf>
    <xf numFmtId="4" fontId="0" fillId="0" borderId="11" xfId="0" applyNumberFormat="1" applyBorder="1" applyAlignment="1">
      <alignment vertical="center"/>
    </xf>
    <xf numFmtId="43" fontId="14" fillId="4" borderId="8" xfId="1" applyFont="1" applyFill="1" applyBorder="1" applyAlignment="1">
      <alignment horizontal="center" vertical="center"/>
    </xf>
    <xf numFmtId="4" fontId="14" fillId="4" borderId="52" xfId="1" applyNumberFormat="1" applyFont="1" applyFill="1" applyBorder="1" applyAlignment="1">
      <alignment vertical="center"/>
    </xf>
    <xf numFmtId="43" fontId="16" fillId="5" borderId="45" xfId="1" applyFont="1" applyFill="1" applyBorder="1" applyAlignment="1">
      <alignment horizontal="right" vertical="center"/>
    </xf>
    <xf numFmtId="4" fontId="16" fillId="5" borderId="23" xfId="1" applyNumberFormat="1" applyFont="1" applyFill="1" applyBorder="1" applyAlignment="1">
      <alignment vertical="center"/>
    </xf>
    <xf numFmtId="43" fontId="16" fillId="5" borderId="11" xfId="1" applyFont="1" applyFill="1" applyBorder="1" applyAlignment="1">
      <alignment horizontal="left" vertical="center"/>
    </xf>
    <xf numFmtId="164" fontId="16" fillId="5" borderId="10" xfId="1" applyNumberFormat="1" applyFont="1" applyFill="1" applyBorder="1" applyAlignment="1">
      <alignment horizontal="left" vertical="center"/>
    </xf>
    <xf numFmtId="49" fontId="15" fillId="5" borderId="11" xfId="1" applyNumberFormat="1" applyFont="1" applyFill="1" applyBorder="1" applyAlignment="1">
      <alignment horizontal="center" vertical="center"/>
    </xf>
    <xf numFmtId="1" fontId="14" fillId="0" borderId="17" xfId="1" applyNumberFormat="1" applyFont="1" applyFill="1" applyBorder="1" applyAlignment="1">
      <alignment horizontal="center" vertical="center"/>
    </xf>
    <xf numFmtId="49" fontId="15" fillId="0" borderId="11" xfId="1" applyNumberFormat="1" applyFont="1" applyFill="1" applyBorder="1" applyAlignment="1">
      <alignment horizontal="center" vertical="center"/>
    </xf>
    <xf numFmtId="4" fontId="0" fillId="0" borderId="4" xfId="0" applyNumberFormat="1" applyBorder="1" applyAlignment="1">
      <alignment vertical="center"/>
    </xf>
    <xf numFmtId="43" fontId="14" fillId="0" borderId="17" xfId="1" applyFont="1" applyFill="1" applyBorder="1" applyAlignment="1">
      <alignment horizontal="left" vertical="center"/>
    </xf>
    <xf numFmtId="43" fontId="16" fillId="3" borderId="11" xfId="1" applyFont="1" applyFill="1" applyBorder="1" applyAlignment="1">
      <alignment horizontal="left" vertical="center"/>
    </xf>
    <xf numFmtId="49" fontId="15" fillId="3" borderId="8" xfId="1" applyNumberFormat="1" applyFont="1" applyFill="1" applyBorder="1" applyAlignment="1">
      <alignment horizontal="center" vertical="center"/>
    </xf>
    <xf numFmtId="4" fontId="16" fillId="3" borderId="6" xfId="1" applyNumberFormat="1" applyFont="1" applyFill="1" applyBorder="1" applyAlignment="1">
      <alignment vertical="center"/>
    </xf>
    <xf numFmtId="4" fontId="16" fillId="3" borderId="11" xfId="1" applyNumberFormat="1" applyFont="1" applyFill="1" applyBorder="1" applyAlignment="1">
      <alignment vertical="center"/>
    </xf>
    <xf numFmtId="1" fontId="14" fillId="0" borderId="6" xfId="1" applyNumberFormat="1" applyFont="1" applyFill="1" applyBorder="1" applyAlignment="1">
      <alignment horizontal="center" vertical="center"/>
    </xf>
    <xf numFmtId="4" fontId="14" fillId="3" borderId="17" xfId="1" applyNumberFormat="1" applyFont="1" applyFill="1" applyBorder="1" applyAlignment="1">
      <alignment vertical="center"/>
    </xf>
    <xf numFmtId="43" fontId="15" fillId="3" borderId="15" xfId="1" applyFont="1" applyFill="1" applyBorder="1" applyAlignment="1">
      <alignment horizontal="left" vertical="center"/>
    </xf>
    <xf numFmtId="164" fontId="15" fillId="3" borderId="16" xfId="1" applyNumberFormat="1" applyFont="1" applyFill="1" applyBorder="1" applyAlignment="1">
      <alignment horizontal="left" vertical="center"/>
    </xf>
    <xf numFmtId="49" fontId="15" fillId="3" borderId="17" xfId="1" applyNumberFormat="1" applyFont="1" applyFill="1" applyBorder="1" applyAlignment="1">
      <alignment horizontal="center" vertical="center"/>
    </xf>
    <xf numFmtId="1" fontId="14" fillId="4" borderId="6" xfId="1" applyNumberFormat="1" applyFont="1" applyFill="1" applyBorder="1" applyAlignment="1">
      <alignment horizontal="center" vertical="center"/>
    </xf>
    <xf numFmtId="4" fontId="16" fillId="4" borderId="6" xfId="1" applyNumberFormat="1" applyFont="1" applyFill="1" applyBorder="1" applyAlignment="1">
      <alignment vertical="center"/>
    </xf>
    <xf numFmtId="4" fontId="16" fillId="4" borderId="11" xfId="1" applyNumberFormat="1" applyFont="1" applyFill="1" applyBorder="1" applyAlignment="1">
      <alignment vertical="center"/>
    </xf>
    <xf numFmtId="43" fontId="16" fillId="4" borderId="11" xfId="1" applyFont="1" applyFill="1" applyBorder="1" applyAlignment="1">
      <alignment horizontal="left" vertical="center"/>
    </xf>
    <xf numFmtId="4" fontId="16" fillId="3" borderId="5" xfId="1" applyNumberFormat="1" applyFont="1" applyFill="1" applyBorder="1" applyAlignment="1">
      <alignment vertical="center"/>
    </xf>
    <xf numFmtId="4" fontId="16" fillId="4" borderId="7" xfId="1" applyNumberFormat="1" applyFont="1" applyFill="1" applyBorder="1" applyAlignment="1">
      <alignment vertical="center"/>
    </xf>
    <xf numFmtId="43" fontId="14" fillId="4" borderId="9" xfId="1" applyNumberFormat="1" applyFont="1" applyFill="1" applyBorder="1" applyAlignment="1">
      <alignment vertical="center"/>
    </xf>
    <xf numFmtId="4" fontId="16" fillId="7" borderId="6" xfId="1" applyNumberFormat="1" applyFont="1" applyFill="1" applyBorder="1" applyAlignment="1">
      <alignment vertical="center"/>
    </xf>
    <xf numFmtId="4" fontId="16" fillId="7" borderId="5" xfId="1" applyNumberFormat="1" applyFont="1" applyFill="1" applyBorder="1" applyAlignment="1">
      <alignment vertical="center"/>
    </xf>
    <xf numFmtId="4" fontId="0" fillId="4" borderId="0" xfId="0" applyNumberFormat="1" applyFill="1"/>
    <xf numFmtId="4" fontId="16" fillId="4" borderId="12" xfId="1" applyNumberFormat="1" applyFont="1" applyFill="1" applyBorder="1" applyAlignment="1">
      <alignment vertical="center"/>
    </xf>
    <xf numFmtId="4" fontId="22" fillId="6" borderId="60" xfId="3" applyNumberFormat="1" applyFont="1" applyFill="1" applyBorder="1" applyAlignment="1">
      <alignment vertical="center"/>
    </xf>
    <xf numFmtId="4" fontId="14" fillId="6" borderId="1" xfId="3" applyNumberFormat="1" applyFont="1" applyFill="1" applyBorder="1" applyAlignment="1">
      <alignment vertical="center"/>
    </xf>
    <xf numFmtId="0" fontId="18" fillId="5" borderId="60" xfId="2" applyFont="1" applyFill="1" applyBorder="1" applyAlignment="1">
      <alignment horizontal="center" vertical="center"/>
    </xf>
    <xf numFmtId="0" fontId="18" fillId="5" borderId="27" xfId="2" applyFont="1" applyFill="1" applyBorder="1" applyAlignment="1">
      <alignment horizontal="center" vertical="center"/>
    </xf>
    <xf numFmtId="0" fontId="18" fillId="5" borderId="2" xfId="2" applyFont="1" applyFill="1" applyBorder="1" applyAlignment="1">
      <alignment horizontal="center" vertical="center"/>
    </xf>
    <xf numFmtId="4" fontId="14" fillId="6" borderId="54" xfId="3" applyNumberFormat="1" applyFont="1" applyFill="1" applyBorder="1" applyAlignment="1">
      <alignment vertical="center"/>
    </xf>
    <xf numFmtId="3" fontId="14" fillId="0" borderId="59" xfId="3" applyNumberFormat="1" applyFont="1" applyFill="1" applyBorder="1" applyAlignment="1">
      <alignment vertical="center"/>
    </xf>
    <xf numFmtId="3" fontId="14" fillId="0" borderId="57" xfId="2" applyNumberFormat="1" applyFont="1" applyFill="1" applyBorder="1" applyAlignment="1">
      <alignment horizontal="right" vertical="center"/>
    </xf>
    <xf numFmtId="3" fontId="14" fillId="0" borderId="57" xfId="2" applyNumberFormat="1" applyFont="1" applyFill="1" applyBorder="1" applyAlignment="1">
      <alignment vertical="center"/>
    </xf>
    <xf numFmtId="3" fontId="14" fillId="0" borderId="59" xfId="2" applyNumberFormat="1" applyFont="1" applyFill="1" applyBorder="1" applyAlignment="1">
      <alignment vertical="center"/>
    </xf>
    <xf numFmtId="3" fontId="14" fillId="0" borderId="59" xfId="2" applyNumberFormat="1" applyFont="1" applyFill="1" applyBorder="1" applyAlignment="1">
      <alignment horizontal="right" vertical="center"/>
    </xf>
    <xf numFmtId="43" fontId="12" fillId="7" borderId="4" xfId="1" applyFont="1" applyFill="1" applyBorder="1" applyAlignment="1">
      <alignment horizontal="center" vertical="center" wrapText="1"/>
    </xf>
    <xf numFmtId="4" fontId="14" fillId="0" borderId="18" xfId="1" applyNumberFormat="1" applyFont="1" applyFill="1" applyBorder="1" applyAlignment="1">
      <alignment vertical="center"/>
    </xf>
    <xf numFmtId="43" fontId="41" fillId="0" borderId="15" xfId="1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43" fontId="0" fillId="0" borderId="0" xfId="0" applyNumberFormat="1" applyAlignment="1">
      <alignment vertical="center"/>
    </xf>
    <xf numFmtId="43" fontId="14" fillId="13" borderId="6" xfId="1" applyFont="1" applyFill="1" applyBorder="1" applyAlignment="1">
      <alignment vertical="center"/>
    </xf>
    <xf numFmtId="4" fontId="14" fillId="0" borderId="8" xfId="1" applyNumberFormat="1" applyFont="1" applyFill="1" applyBorder="1" applyAlignment="1">
      <alignment vertical="center"/>
    </xf>
    <xf numFmtId="4" fontId="14" fillId="7" borderId="43" xfId="1" applyNumberFormat="1" applyFont="1" applyFill="1" applyBorder="1" applyAlignment="1">
      <alignment vertical="center"/>
    </xf>
    <xf numFmtId="43" fontId="14" fillId="0" borderId="12" xfId="1" applyFont="1" applyFill="1" applyBorder="1" applyAlignment="1">
      <alignment horizontal="left" vertical="center"/>
    </xf>
    <xf numFmtId="164" fontId="14" fillId="0" borderId="10" xfId="1" applyNumberFormat="1" applyFont="1" applyFill="1" applyBorder="1" applyAlignment="1">
      <alignment horizontal="left" vertical="center"/>
    </xf>
    <xf numFmtId="43" fontId="11" fillId="0" borderId="16" xfId="1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14" fontId="0" fillId="0" borderId="0" xfId="0" applyNumberFormat="1" applyFill="1" applyAlignment="1">
      <alignment vertical="center"/>
    </xf>
    <xf numFmtId="4" fontId="25" fillId="0" borderId="0" xfId="0" applyNumberFormat="1" applyFont="1" applyFill="1" applyBorder="1" applyAlignment="1">
      <alignment vertical="center"/>
    </xf>
    <xf numFmtId="43" fontId="14" fillId="0" borderId="0" xfId="0" applyNumberFormat="1" applyFont="1" applyBorder="1" applyAlignment="1">
      <alignment vertical="center"/>
    </xf>
    <xf numFmtId="43" fontId="14" fillId="0" borderId="0" xfId="0" applyNumberFormat="1" applyFont="1" applyAlignment="1">
      <alignment vertical="center"/>
    </xf>
    <xf numFmtId="4" fontId="14" fillId="14" borderId="23" xfId="1" applyNumberFormat="1" applyFont="1" applyFill="1" applyBorder="1" applyAlignment="1">
      <alignment vertical="center"/>
    </xf>
    <xf numFmtId="43" fontId="16" fillId="14" borderId="11" xfId="1" applyFont="1" applyFill="1" applyBorder="1" applyAlignment="1">
      <alignment vertical="center"/>
    </xf>
    <xf numFmtId="43" fontId="14" fillId="14" borderId="24" xfId="1" applyFont="1" applyFill="1" applyBorder="1" applyAlignment="1">
      <alignment horizontal="left" vertical="center"/>
    </xf>
    <xf numFmtId="4" fontId="14" fillId="14" borderId="17" xfId="1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43" fontId="11" fillId="0" borderId="10" xfId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43" fontId="11" fillId="0" borderId="1" xfId="1" applyFont="1" applyFill="1" applyBorder="1" applyAlignment="1">
      <alignment horizontal="center" vertical="center" wrapText="1"/>
    </xf>
    <xf numFmtId="43" fontId="11" fillId="0" borderId="2" xfId="1" applyFont="1" applyFill="1" applyBorder="1" applyAlignment="1">
      <alignment horizontal="center" vertical="center" wrapText="1"/>
    </xf>
    <xf numFmtId="43" fontId="12" fillId="7" borderId="1" xfId="1" applyFont="1" applyFill="1" applyBorder="1" applyAlignment="1">
      <alignment horizontal="center" vertical="center" wrapText="1"/>
    </xf>
    <xf numFmtId="43" fontId="12" fillId="7" borderId="2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 wrapText="1"/>
    </xf>
    <xf numFmtId="43" fontId="12" fillId="0" borderId="2" xfId="1" applyFont="1" applyFill="1" applyBorder="1" applyAlignment="1">
      <alignment horizontal="center" vertical="center" wrapText="1"/>
    </xf>
    <xf numFmtId="43" fontId="16" fillId="0" borderId="18" xfId="1" applyFont="1" applyFill="1" applyBorder="1" applyAlignment="1">
      <alignment horizontal="left" vertical="center"/>
    </xf>
    <xf numFmtId="43" fontId="16" fillId="0" borderId="14" xfId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7" fontId="13" fillId="0" borderId="1" xfId="0" applyNumberFormat="1" applyFont="1" applyFill="1" applyBorder="1" applyAlignment="1">
      <alignment horizontal="center" vertical="center"/>
    </xf>
    <xf numFmtId="17" fontId="13" fillId="0" borderId="2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43" fontId="16" fillId="0" borderId="33" xfId="1" applyFont="1" applyFill="1" applyBorder="1" applyAlignment="1">
      <alignment horizontal="left" vertical="center"/>
    </xf>
    <xf numFmtId="43" fontId="16" fillId="0" borderId="36" xfId="1" applyFont="1" applyFill="1" applyBorder="1" applyAlignment="1">
      <alignment horizontal="left" vertical="center"/>
    </xf>
    <xf numFmtId="43" fontId="16" fillId="0" borderId="50" xfId="1" applyFont="1" applyFill="1" applyBorder="1" applyAlignment="1">
      <alignment horizontal="left" vertical="center"/>
    </xf>
    <xf numFmtId="43" fontId="16" fillId="0" borderId="51" xfId="1" applyFont="1" applyFill="1" applyBorder="1" applyAlignment="1">
      <alignment horizontal="left" vertical="center"/>
    </xf>
    <xf numFmtId="43" fontId="16" fillId="0" borderId="45" xfId="1" applyFont="1" applyFill="1" applyBorder="1" applyAlignment="1">
      <alignment horizontal="left" vertical="center"/>
    </xf>
    <xf numFmtId="43" fontId="16" fillId="0" borderId="8" xfId="1" applyFont="1" applyFill="1" applyBorder="1" applyAlignment="1">
      <alignment horizontal="left" vertical="center"/>
    </xf>
    <xf numFmtId="17" fontId="16" fillId="0" borderId="46" xfId="0" applyNumberFormat="1" applyFont="1" applyFill="1" applyBorder="1" applyAlignment="1">
      <alignment horizontal="center" vertical="center"/>
    </xf>
    <xf numFmtId="17" fontId="16" fillId="0" borderId="45" xfId="0" applyNumberFormat="1" applyFont="1" applyFill="1" applyBorder="1" applyAlignment="1">
      <alignment horizontal="center" vertical="center"/>
    </xf>
    <xf numFmtId="43" fontId="16" fillId="7" borderId="48" xfId="1" applyFont="1" applyFill="1" applyBorder="1" applyAlignment="1">
      <alignment horizontal="center" vertical="center" wrapText="1"/>
    </xf>
    <xf numFmtId="43" fontId="16" fillId="7" borderId="11" xfId="1" applyFont="1" applyFill="1" applyBorder="1" applyAlignment="1">
      <alignment horizontal="center" vertical="center" wrapText="1"/>
    </xf>
    <xf numFmtId="17" fontId="16" fillId="0" borderId="27" xfId="0" applyNumberFormat="1" applyFont="1" applyFill="1" applyBorder="1" applyAlignment="1">
      <alignment horizontal="center" vertical="center" wrapText="1"/>
    </xf>
    <xf numFmtId="17" fontId="16" fillId="0" borderId="8" xfId="0" applyNumberFormat="1" applyFont="1" applyFill="1" applyBorder="1" applyAlignment="1">
      <alignment horizontal="center" vertical="center" wrapText="1"/>
    </xf>
    <xf numFmtId="43" fontId="16" fillId="0" borderId="18" xfId="3" applyFont="1" applyFill="1" applyBorder="1" applyAlignment="1">
      <alignment horizontal="left" vertical="center"/>
    </xf>
    <xf numFmtId="43" fontId="16" fillId="0" borderId="47" xfId="3" applyFont="1" applyFill="1" applyBorder="1" applyAlignment="1">
      <alignment horizontal="left" vertical="center"/>
    </xf>
    <xf numFmtId="43" fontId="16" fillId="0" borderId="50" xfId="3" applyFont="1" applyFill="1" applyBorder="1" applyAlignment="1">
      <alignment horizontal="left" vertical="center"/>
    </xf>
    <xf numFmtId="43" fontId="16" fillId="0" borderId="58" xfId="3" applyFont="1" applyFill="1" applyBorder="1" applyAlignment="1">
      <alignment horizontal="left" vertical="center"/>
    </xf>
    <xf numFmtId="0" fontId="9" fillId="5" borderId="1" xfId="2" applyFont="1" applyFill="1" applyBorder="1" applyAlignment="1">
      <alignment horizontal="left" vertical="center"/>
    </xf>
    <xf numFmtId="0" fontId="9" fillId="5" borderId="3" xfId="2" applyFont="1" applyFill="1" applyBorder="1" applyAlignment="1">
      <alignment horizontal="left" vertical="center"/>
    </xf>
    <xf numFmtId="43" fontId="16" fillId="0" borderId="45" xfId="3" applyFont="1" applyFill="1" applyBorder="1" applyAlignment="1">
      <alignment horizontal="left" vertical="center"/>
    </xf>
    <xf numFmtId="43" fontId="16" fillId="0" borderId="43" xfId="3" applyFont="1" applyFill="1" applyBorder="1" applyAlignment="1">
      <alignment horizontal="left" vertical="center"/>
    </xf>
    <xf numFmtId="43" fontId="16" fillId="0" borderId="14" xfId="3" applyFont="1" applyFill="1" applyBorder="1" applyAlignment="1">
      <alignment horizontal="left" vertical="center"/>
    </xf>
    <xf numFmtId="0" fontId="9" fillId="5" borderId="2" xfId="2" applyFont="1" applyFill="1" applyBorder="1" applyAlignment="1">
      <alignment horizontal="left" vertical="center"/>
    </xf>
  </cellXfs>
  <cellStyles count="4">
    <cellStyle name="Komma" xfId="1" builtinId="3"/>
    <cellStyle name="Komma 2" xfId="3" xr:uid="{00000000-0005-0000-0000-000001000000}"/>
    <cellStyle name="Standard" xfId="0" builtinId="0"/>
    <cellStyle name="Standard 2" xfId="2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revisionHeaders" Target="revisions/revisionHeader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usernames" Target="revisions/userNam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ESCH&#196;FTSLEITUNG\BUCHHALTUNG\BUDGET_KENNZAHLEN\2023\SON%20Tagesums&#228;tz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_23"/>
      <sheetName val="02_23"/>
      <sheetName val="03_23"/>
      <sheetName val="04_23"/>
      <sheetName val="05_23"/>
      <sheetName val="06_23"/>
      <sheetName val="07_23"/>
      <sheetName val="08_23"/>
      <sheetName val="09_23"/>
      <sheetName val="10_23"/>
      <sheetName val="11_23"/>
      <sheetName val="12_23"/>
      <sheetName val="Jahresumsatz Monat 2023"/>
      <sheetName val="Jahresvergleich"/>
      <sheetName val="Monatsentwicklung"/>
    </sheetNames>
    <sheetDataSet>
      <sheetData sheetId="0">
        <row r="42">
          <cell r="E42">
            <v>2304.6999999999998</v>
          </cell>
          <cell r="K42">
            <v>57322.799999999996</v>
          </cell>
          <cell r="O42">
            <v>70347.3</v>
          </cell>
          <cell r="Q42">
            <v>93773.15</v>
          </cell>
        </row>
      </sheetData>
      <sheetData sheetId="1">
        <row r="38">
          <cell r="E38">
            <v>13637</v>
          </cell>
          <cell r="K38">
            <v>38484.6</v>
          </cell>
          <cell r="O38">
            <v>31725.8</v>
          </cell>
          <cell r="Q38">
            <v>74800.5</v>
          </cell>
        </row>
      </sheetData>
      <sheetData sheetId="2">
        <row r="41">
          <cell r="E41">
            <v>13333.4</v>
          </cell>
          <cell r="K41">
            <v>54062.3</v>
          </cell>
          <cell r="O41">
            <v>103832.09999999999</v>
          </cell>
          <cell r="Q41">
            <v>111699</v>
          </cell>
        </row>
      </sheetData>
      <sheetData sheetId="3">
        <row r="40">
          <cell r="E40">
            <v>22135.201000000001</v>
          </cell>
          <cell r="K40">
            <v>104357.4</v>
          </cell>
          <cell r="O40">
            <v>58604.599999999991</v>
          </cell>
          <cell r="Q40">
            <v>161692.66999999998</v>
          </cell>
        </row>
      </sheetData>
      <sheetData sheetId="4">
        <row r="41">
          <cell r="E41">
            <v>170970.75</v>
          </cell>
          <cell r="K41">
            <v>159984.79999999999</v>
          </cell>
          <cell r="O41">
            <v>113407.6</v>
          </cell>
          <cell r="Q41">
            <v>201559.67999999999</v>
          </cell>
        </row>
      </sheetData>
      <sheetData sheetId="5">
        <row r="40">
          <cell r="E40">
            <v>450268.60000000003</v>
          </cell>
          <cell r="K40">
            <v>181457.90000000002</v>
          </cell>
          <cell r="O40">
            <v>129826.3</v>
          </cell>
          <cell r="Q40">
            <v>254903.6</v>
          </cell>
        </row>
      </sheetData>
      <sheetData sheetId="6">
        <row r="42">
          <cell r="E42">
            <v>391307.85000000003</v>
          </cell>
          <cell r="K42">
            <v>163340</v>
          </cell>
          <cell r="O42">
            <v>51511.35</v>
          </cell>
          <cell r="Q42">
            <v>259888.52</v>
          </cell>
        </row>
      </sheetData>
      <sheetData sheetId="7">
        <row r="41">
          <cell r="E41">
            <v>302379.90000000002</v>
          </cell>
          <cell r="K41">
            <v>157321.9</v>
          </cell>
          <cell r="O41">
            <v>64503.5</v>
          </cell>
          <cell r="Q41">
            <v>254901.55000000002</v>
          </cell>
        </row>
      </sheetData>
      <sheetData sheetId="8">
        <row r="40">
          <cell r="E40">
            <v>294369.60000000003</v>
          </cell>
          <cell r="K40">
            <v>210663.5</v>
          </cell>
          <cell r="O40">
            <v>139672.1</v>
          </cell>
          <cell r="Q40">
            <v>247641.69999999995</v>
          </cell>
        </row>
      </sheetData>
      <sheetData sheetId="9">
        <row r="42">
          <cell r="E42">
            <v>112605.50000000001</v>
          </cell>
          <cell r="K42">
            <v>113436.70000000001</v>
          </cell>
          <cell r="O42">
            <v>91583.1</v>
          </cell>
          <cell r="Q42">
            <v>152849.65000000002</v>
          </cell>
        </row>
      </sheetData>
      <sheetData sheetId="10">
        <row r="40">
          <cell r="E40">
            <v>373.40000000000003</v>
          </cell>
          <cell r="K40">
            <v>57620.000000000007</v>
          </cell>
          <cell r="O40">
            <v>124284.7</v>
          </cell>
          <cell r="Q40">
            <v>125500.34999999999</v>
          </cell>
        </row>
      </sheetData>
      <sheetData sheetId="11">
        <row r="41">
          <cell r="E41">
            <v>1328.1</v>
          </cell>
          <cell r="K41">
            <v>90547.9</v>
          </cell>
          <cell r="O41">
            <v>30247.499999999996</v>
          </cell>
          <cell r="Q41">
            <v>92696.6</v>
          </cell>
        </row>
      </sheetData>
      <sheetData sheetId="12"/>
      <sheetData sheetId="13"/>
      <sheetData sheetId="14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988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30FA755-7C68-45FE-829F-7CBA7CF3ECFF}" diskRevisions="1" revisionId="25069" version="3">
  <header guid="{D30FA755-7C68-45FE-829F-7CBA7CF3ECFF}" dateTime="2025-06-04T10:16:58" maxSheetId="16" userName="Balance Familie Felix Suhner" r:id="rId9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12075D7-6EE7-4EEF-842F-09AF15E6D8B5}" action="delete"/>
  <rdn rId="0" localSheetId="1" customView="1" name="Z_512075D7_6EE7_4EEF_842F_09AF15E6D8B5_.wvu.PrintArea" hidden="1" oldHidden="1">
    <formula>'01_24'!$A$1:$X$44</formula>
    <oldFormula>'01_24'!$A$1:$X$44</oldFormula>
  </rdn>
  <rdn rId="0" localSheetId="2" customView="1" name="Z_512075D7_6EE7_4EEF_842F_09AF15E6D8B5_.wvu.PrintArea" hidden="1" oldHidden="1">
    <formula>'02_24'!$A$1:$V$42</formula>
    <oldFormula>'02_24'!$A$1:$V$42</oldFormula>
  </rdn>
  <rdn rId="0" localSheetId="3" customView="1" name="Z_512075D7_6EE7_4EEF_842F_09AF15E6D8B5_.wvu.PrintArea" hidden="1" oldHidden="1">
    <formula>'03_24'!$A$1:$Z$44</formula>
    <oldFormula>'03_24'!$A$1:$Z$44</oldFormula>
  </rdn>
  <rdn rId="0" localSheetId="4" customView="1" name="Z_512075D7_6EE7_4EEF_842F_09AF15E6D8B5_.wvu.PrintArea" hidden="1" oldHidden="1">
    <formula>'04_24'!$A$1:$Z$43</formula>
    <oldFormula>'04_24'!$A$1:$Z$43</oldFormula>
  </rdn>
  <rdn rId="0" localSheetId="5" customView="1" name="Z_512075D7_6EE7_4EEF_842F_09AF15E6D8B5_.wvu.PrintArea" hidden="1" oldHidden="1">
    <formula>'05_24'!$A$1:$Z$44</formula>
    <oldFormula>'05_24'!$A$1:$Z$44</oldFormula>
  </rdn>
  <rdn rId="0" localSheetId="6" customView="1" name="Z_512075D7_6EE7_4EEF_842F_09AF15E6D8B5_.wvu.PrintArea" hidden="1" oldHidden="1">
    <formula>'06_24'!$A$1:$Z$43</formula>
    <oldFormula>'06_24'!$A$1:$Z$43</oldFormula>
  </rdn>
  <rdn rId="0" localSheetId="7" customView="1" name="Z_512075D7_6EE7_4EEF_842F_09AF15E6D8B5_.wvu.PrintArea" hidden="1" oldHidden="1">
    <formula>'07_24'!$A$1:$Z$44</formula>
    <oldFormula>'07_24'!$A$1:$Z$44</oldFormula>
  </rdn>
  <rdn rId="0" localSheetId="8" customView="1" name="Z_512075D7_6EE7_4EEF_842F_09AF15E6D8B5_.wvu.PrintArea" hidden="1" oldHidden="1">
    <formula>'08_24'!$A$1:$Z$44</formula>
    <oldFormula>'08_24'!$A$1:$Z$44</oldFormula>
  </rdn>
  <rdn rId="0" localSheetId="9" customView="1" name="Z_512075D7_6EE7_4EEF_842F_09AF15E6D8B5_.wvu.PrintArea" hidden="1" oldHidden="1">
    <formula>'09_24'!$A$1:$Z$44</formula>
    <oldFormula>'09_24'!$A$1:$Z$44</oldFormula>
  </rdn>
  <rdn rId="0" localSheetId="10" customView="1" name="Z_512075D7_6EE7_4EEF_842F_09AF15E6D8B5_.wvu.PrintArea" hidden="1" oldHidden="1">
    <formula>'10_24'!$A$1:$Z$44</formula>
    <oldFormula>'10_24'!$A$1:$Z$44</oldFormula>
  </rdn>
  <rdn rId="0" localSheetId="11" customView="1" name="Z_512075D7_6EE7_4EEF_842F_09AF15E6D8B5_.wvu.PrintArea" hidden="1" oldHidden="1">
    <formula>'11_24'!$A$1:$Z$43</formula>
    <oldFormula>'11_24'!$A$1:$Z$43</oldFormula>
  </rdn>
  <rdn rId="0" localSheetId="12" customView="1" name="Z_512075D7_6EE7_4EEF_842F_09AF15E6D8B5_.wvu.PrintArea" hidden="1" oldHidden="1">
    <formula>'12_24'!$A$1:$Z$45</formula>
    <oldFormula>'12_24'!$A$1:$Z$45</oldFormula>
  </rdn>
  <rcv guid="{512075D7-6EE7-4EEF-842F-09AF15E6D8B5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.bin"/><Relationship Id="rId13" Type="http://schemas.openxmlformats.org/officeDocument/2006/relationships/vmlDrawing" Target="../drawings/vmlDrawing2.vml"/><Relationship Id="rId3" Type="http://schemas.openxmlformats.org/officeDocument/2006/relationships/printerSettings" Target="../printerSettings/printerSettings15.bin"/><Relationship Id="rId7" Type="http://schemas.openxmlformats.org/officeDocument/2006/relationships/printerSettings" Target="../printerSettings/printerSettings19.bin"/><Relationship Id="rId12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11" Type="http://schemas.openxmlformats.org/officeDocument/2006/relationships/printerSettings" Target="../printerSettings/printerSettings23.bin"/><Relationship Id="rId5" Type="http://schemas.openxmlformats.org/officeDocument/2006/relationships/printerSettings" Target="../printerSettings/printerSettings17.bin"/><Relationship Id="rId10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16.bin"/><Relationship Id="rId9" Type="http://schemas.openxmlformats.org/officeDocument/2006/relationships/printerSettings" Target="../printerSettings/printerSettings2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2.bin"/><Relationship Id="rId13" Type="http://schemas.openxmlformats.org/officeDocument/2006/relationships/vmlDrawing" Target="../drawings/vmlDrawing3.vml"/><Relationship Id="rId3" Type="http://schemas.openxmlformats.org/officeDocument/2006/relationships/printerSettings" Target="../printerSettings/printerSettings27.bin"/><Relationship Id="rId7" Type="http://schemas.openxmlformats.org/officeDocument/2006/relationships/printerSettings" Target="../printerSettings/printerSettings31.bin"/><Relationship Id="rId12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openxmlformats.org/officeDocument/2006/relationships/printerSettings" Target="../printerSettings/printerSettings30.bin"/><Relationship Id="rId11" Type="http://schemas.openxmlformats.org/officeDocument/2006/relationships/printerSettings" Target="../printerSettings/printerSettings35.bin"/><Relationship Id="rId5" Type="http://schemas.openxmlformats.org/officeDocument/2006/relationships/printerSettings" Target="../printerSettings/printerSettings29.bin"/><Relationship Id="rId10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28.bin"/><Relationship Id="rId9" Type="http://schemas.openxmlformats.org/officeDocument/2006/relationships/printerSettings" Target="../printerSettings/printerSettings3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4.bin"/><Relationship Id="rId13" Type="http://schemas.openxmlformats.org/officeDocument/2006/relationships/vmlDrawing" Target="../drawings/vmlDrawing4.vml"/><Relationship Id="rId3" Type="http://schemas.openxmlformats.org/officeDocument/2006/relationships/printerSettings" Target="../printerSettings/printerSettings39.bin"/><Relationship Id="rId7" Type="http://schemas.openxmlformats.org/officeDocument/2006/relationships/printerSettings" Target="../printerSettings/printerSettings43.bin"/><Relationship Id="rId12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6" Type="http://schemas.openxmlformats.org/officeDocument/2006/relationships/printerSettings" Target="../printerSettings/printerSettings42.bin"/><Relationship Id="rId11" Type="http://schemas.openxmlformats.org/officeDocument/2006/relationships/printerSettings" Target="../printerSettings/printerSettings47.bin"/><Relationship Id="rId5" Type="http://schemas.openxmlformats.org/officeDocument/2006/relationships/printerSettings" Target="../printerSettings/printerSettings41.bin"/><Relationship Id="rId10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0.bin"/><Relationship Id="rId9" Type="http://schemas.openxmlformats.org/officeDocument/2006/relationships/printerSettings" Target="../printerSettings/printerSettings45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6.bin"/><Relationship Id="rId13" Type="http://schemas.openxmlformats.org/officeDocument/2006/relationships/vmlDrawing" Target="../drawings/vmlDrawing5.vml"/><Relationship Id="rId3" Type="http://schemas.openxmlformats.org/officeDocument/2006/relationships/printerSettings" Target="../printerSettings/printerSettings51.bin"/><Relationship Id="rId7" Type="http://schemas.openxmlformats.org/officeDocument/2006/relationships/printerSettings" Target="../printerSettings/printerSettings55.bin"/><Relationship Id="rId12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6" Type="http://schemas.openxmlformats.org/officeDocument/2006/relationships/printerSettings" Target="../printerSettings/printerSettings54.bin"/><Relationship Id="rId11" Type="http://schemas.openxmlformats.org/officeDocument/2006/relationships/printerSettings" Target="../printerSettings/printerSettings59.bin"/><Relationship Id="rId5" Type="http://schemas.openxmlformats.org/officeDocument/2006/relationships/printerSettings" Target="../printerSettings/printerSettings53.bin"/><Relationship Id="rId15" Type="http://schemas.openxmlformats.org/officeDocument/2006/relationships/comments" Target="../comments1.xml"/><Relationship Id="rId10" Type="http://schemas.openxmlformats.org/officeDocument/2006/relationships/printerSettings" Target="../printerSettings/printerSettings58.bin"/><Relationship Id="rId4" Type="http://schemas.openxmlformats.org/officeDocument/2006/relationships/printerSettings" Target="../printerSettings/printerSettings52.bin"/><Relationship Id="rId9" Type="http://schemas.openxmlformats.org/officeDocument/2006/relationships/printerSettings" Target="../printerSettings/printerSettings57.bin"/><Relationship Id="rId14" Type="http://schemas.openxmlformats.org/officeDocument/2006/relationships/vmlDrawing" Target="../drawings/vmlDrawing6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8.bin"/><Relationship Id="rId13" Type="http://schemas.openxmlformats.org/officeDocument/2006/relationships/vmlDrawing" Target="../drawings/vmlDrawing7.vml"/><Relationship Id="rId3" Type="http://schemas.openxmlformats.org/officeDocument/2006/relationships/printerSettings" Target="../printerSettings/printerSettings63.bin"/><Relationship Id="rId7" Type="http://schemas.openxmlformats.org/officeDocument/2006/relationships/printerSettings" Target="../printerSettings/printerSettings67.bin"/><Relationship Id="rId12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6" Type="http://schemas.openxmlformats.org/officeDocument/2006/relationships/printerSettings" Target="../printerSettings/printerSettings66.bin"/><Relationship Id="rId11" Type="http://schemas.openxmlformats.org/officeDocument/2006/relationships/printerSettings" Target="../printerSettings/printerSettings71.bin"/><Relationship Id="rId5" Type="http://schemas.openxmlformats.org/officeDocument/2006/relationships/printerSettings" Target="../printerSettings/printerSettings65.bin"/><Relationship Id="rId10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64.bin"/><Relationship Id="rId9" Type="http://schemas.openxmlformats.org/officeDocument/2006/relationships/printerSettings" Target="../printerSettings/printerSettings6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0.bin"/><Relationship Id="rId13" Type="http://schemas.openxmlformats.org/officeDocument/2006/relationships/vmlDrawing" Target="../drawings/vmlDrawing8.vml"/><Relationship Id="rId3" Type="http://schemas.openxmlformats.org/officeDocument/2006/relationships/printerSettings" Target="../printerSettings/printerSettings75.bin"/><Relationship Id="rId7" Type="http://schemas.openxmlformats.org/officeDocument/2006/relationships/printerSettings" Target="../printerSettings/printerSettings79.bin"/><Relationship Id="rId12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Relationship Id="rId6" Type="http://schemas.openxmlformats.org/officeDocument/2006/relationships/printerSettings" Target="../printerSettings/printerSettings78.bin"/><Relationship Id="rId11" Type="http://schemas.openxmlformats.org/officeDocument/2006/relationships/printerSettings" Target="../printerSettings/printerSettings83.bin"/><Relationship Id="rId5" Type="http://schemas.openxmlformats.org/officeDocument/2006/relationships/printerSettings" Target="../printerSettings/printerSettings77.bin"/><Relationship Id="rId10" Type="http://schemas.openxmlformats.org/officeDocument/2006/relationships/printerSettings" Target="../printerSettings/printerSettings82.bin"/><Relationship Id="rId4" Type="http://schemas.openxmlformats.org/officeDocument/2006/relationships/printerSettings" Target="../printerSettings/printerSettings76.bin"/><Relationship Id="rId9" Type="http://schemas.openxmlformats.org/officeDocument/2006/relationships/printerSettings" Target="../printerSettings/printerSettings81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2.bin"/><Relationship Id="rId13" Type="http://schemas.openxmlformats.org/officeDocument/2006/relationships/vmlDrawing" Target="../drawings/vmlDrawing9.vml"/><Relationship Id="rId3" Type="http://schemas.openxmlformats.org/officeDocument/2006/relationships/printerSettings" Target="../printerSettings/printerSettings87.bin"/><Relationship Id="rId7" Type="http://schemas.openxmlformats.org/officeDocument/2006/relationships/printerSettings" Target="../printerSettings/printerSettings91.bin"/><Relationship Id="rId12" Type="http://schemas.openxmlformats.org/officeDocument/2006/relationships/printerSettings" Target="../printerSettings/printerSettings96.bin"/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Relationship Id="rId6" Type="http://schemas.openxmlformats.org/officeDocument/2006/relationships/printerSettings" Target="../printerSettings/printerSettings90.bin"/><Relationship Id="rId11" Type="http://schemas.openxmlformats.org/officeDocument/2006/relationships/printerSettings" Target="../printerSettings/printerSettings95.bin"/><Relationship Id="rId5" Type="http://schemas.openxmlformats.org/officeDocument/2006/relationships/printerSettings" Target="../printerSettings/printerSettings89.bin"/><Relationship Id="rId10" Type="http://schemas.openxmlformats.org/officeDocument/2006/relationships/printerSettings" Target="../printerSettings/printerSettings94.bin"/><Relationship Id="rId4" Type="http://schemas.openxmlformats.org/officeDocument/2006/relationships/printerSettings" Target="../printerSettings/printerSettings88.bin"/><Relationship Id="rId9" Type="http://schemas.openxmlformats.org/officeDocument/2006/relationships/printerSettings" Target="../printerSettings/printerSettings9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4.bin"/><Relationship Id="rId13" Type="http://schemas.openxmlformats.org/officeDocument/2006/relationships/vmlDrawing" Target="../drawings/vmlDrawing10.vml"/><Relationship Id="rId3" Type="http://schemas.openxmlformats.org/officeDocument/2006/relationships/printerSettings" Target="../printerSettings/printerSettings99.bin"/><Relationship Id="rId7" Type="http://schemas.openxmlformats.org/officeDocument/2006/relationships/printerSettings" Target="../printerSettings/printerSettings103.bin"/><Relationship Id="rId12" Type="http://schemas.openxmlformats.org/officeDocument/2006/relationships/printerSettings" Target="../printerSettings/printerSettings108.bin"/><Relationship Id="rId2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97.bin"/><Relationship Id="rId6" Type="http://schemas.openxmlformats.org/officeDocument/2006/relationships/printerSettings" Target="../printerSettings/printerSettings102.bin"/><Relationship Id="rId11" Type="http://schemas.openxmlformats.org/officeDocument/2006/relationships/printerSettings" Target="../printerSettings/printerSettings107.bin"/><Relationship Id="rId5" Type="http://schemas.openxmlformats.org/officeDocument/2006/relationships/printerSettings" Target="../printerSettings/printerSettings101.bin"/><Relationship Id="rId10" Type="http://schemas.openxmlformats.org/officeDocument/2006/relationships/printerSettings" Target="../printerSettings/printerSettings106.bin"/><Relationship Id="rId4" Type="http://schemas.openxmlformats.org/officeDocument/2006/relationships/printerSettings" Target="../printerSettings/printerSettings100.bin"/><Relationship Id="rId9" Type="http://schemas.openxmlformats.org/officeDocument/2006/relationships/printerSettings" Target="../printerSettings/printerSettings105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6.bin"/><Relationship Id="rId13" Type="http://schemas.openxmlformats.org/officeDocument/2006/relationships/vmlDrawing" Target="../drawings/vmlDrawing11.vml"/><Relationship Id="rId3" Type="http://schemas.openxmlformats.org/officeDocument/2006/relationships/printerSettings" Target="../printerSettings/printerSettings111.bin"/><Relationship Id="rId7" Type="http://schemas.openxmlformats.org/officeDocument/2006/relationships/printerSettings" Target="../printerSettings/printerSettings115.bin"/><Relationship Id="rId12" Type="http://schemas.openxmlformats.org/officeDocument/2006/relationships/printerSettings" Target="../printerSettings/printerSettings120.bin"/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Relationship Id="rId6" Type="http://schemas.openxmlformats.org/officeDocument/2006/relationships/printerSettings" Target="../printerSettings/printerSettings114.bin"/><Relationship Id="rId11" Type="http://schemas.openxmlformats.org/officeDocument/2006/relationships/printerSettings" Target="../printerSettings/printerSettings119.bin"/><Relationship Id="rId5" Type="http://schemas.openxmlformats.org/officeDocument/2006/relationships/printerSettings" Target="../printerSettings/printerSettings113.bin"/><Relationship Id="rId10" Type="http://schemas.openxmlformats.org/officeDocument/2006/relationships/printerSettings" Target="../printerSettings/printerSettings118.bin"/><Relationship Id="rId4" Type="http://schemas.openxmlformats.org/officeDocument/2006/relationships/printerSettings" Target="../printerSettings/printerSettings112.bin"/><Relationship Id="rId9" Type="http://schemas.openxmlformats.org/officeDocument/2006/relationships/printerSettings" Target="../printerSettings/printerSettings117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8.bin"/><Relationship Id="rId13" Type="http://schemas.openxmlformats.org/officeDocument/2006/relationships/vmlDrawing" Target="../drawings/vmlDrawing12.vml"/><Relationship Id="rId3" Type="http://schemas.openxmlformats.org/officeDocument/2006/relationships/printerSettings" Target="../printerSettings/printerSettings123.bin"/><Relationship Id="rId7" Type="http://schemas.openxmlformats.org/officeDocument/2006/relationships/printerSettings" Target="../printerSettings/printerSettings127.bin"/><Relationship Id="rId12" Type="http://schemas.openxmlformats.org/officeDocument/2006/relationships/printerSettings" Target="../printerSettings/printerSettings132.bin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Relationship Id="rId6" Type="http://schemas.openxmlformats.org/officeDocument/2006/relationships/printerSettings" Target="../printerSettings/printerSettings126.bin"/><Relationship Id="rId11" Type="http://schemas.openxmlformats.org/officeDocument/2006/relationships/printerSettings" Target="../printerSettings/printerSettings131.bin"/><Relationship Id="rId5" Type="http://schemas.openxmlformats.org/officeDocument/2006/relationships/printerSettings" Target="../printerSettings/printerSettings125.bin"/><Relationship Id="rId10" Type="http://schemas.openxmlformats.org/officeDocument/2006/relationships/printerSettings" Target="../printerSettings/printerSettings130.bin"/><Relationship Id="rId4" Type="http://schemas.openxmlformats.org/officeDocument/2006/relationships/printerSettings" Target="../printerSettings/printerSettings124.bin"/><Relationship Id="rId9" Type="http://schemas.openxmlformats.org/officeDocument/2006/relationships/printerSettings" Target="../printerSettings/printerSettings12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0.bin"/><Relationship Id="rId13" Type="http://schemas.openxmlformats.org/officeDocument/2006/relationships/vmlDrawing" Target="../drawings/vmlDrawing13.vml"/><Relationship Id="rId3" Type="http://schemas.openxmlformats.org/officeDocument/2006/relationships/printerSettings" Target="../printerSettings/printerSettings135.bin"/><Relationship Id="rId7" Type="http://schemas.openxmlformats.org/officeDocument/2006/relationships/printerSettings" Target="../printerSettings/printerSettings139.bin"/><Relationship Id="rId12" Type="http://schemas.openxmlformats.org/officeDocument/2006/relationships/printerSettings" Target="../printerSettings/printerSettings144.bin"/><Relationship Id="rId2" Type="http://schemas.openxmlformats.org/officeDocument/2006/relationships/printerSettings" Target="../printerSettings/printerSettings134.bin"/><Relationship Id="rId1" Type="http://schemas.openxmlformats.org/officeDocument/2006/relationships/printerSettings" Target="../printerSettings/printerSettings133.bin"/><Relationship Id="rId6" Type="http://schemas.openxmlformats.org/officeDocument/2006/relationships/printerSettings" Target="../printerSettings/printerSettings138.bin"/><Relationship Id="rId11" Type="http://schemas.openxmlformats.org/officeDocument/2006/relationships/printerSettings" Target="../printerSettings/printerSettings143.bin"/><Relationship Id="rId5" Type="http://schemas.openxmlformats.org/officeDocument/2006/relationships/printerSettings" Target="../printerSettings/printerSettings137.bin"/><Relationship Id="rId10" Type="http://schemas.openxmlformats.org/officeDocument/2006/relationships/printerSettings" Target="../printerSettings/printerSettings142.bin"/><Relationship Id="rId4" Type="http://schemas.openxmlformats.org/officeDocument/2006/relationships/printerSettings" Target="../printerSettings/printerSettings136.bin"/><Relationship Id="rId9" Type="http://schemas.openxmlformats.org/officeDocument/2006/relationships/printerSettings" Target="../printerSettings/printerSettings141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2.bin"/><Relationship Id="rId13" Type="http://schemas.openxmlformats.org/officeDocument/2006/relationships/vmlDrawing" Target="../drawings/vmlDrawing14.vml"/><Relationship Id="rId3" Type="http://schemas.openxmlformats.org/officeDocument/2006/relationships/printerSettings" Target="../printerSettings/printerSettings147.bin"/><Relationship Id="rId7" Type="http://schemas.openxmlformats.org/officeDocument/2006/relationships/printerSettings" Target="../printerSettings/printerSettings151.bin"/><Relationship Id="rId12" Type="http://schemas.openxmlformats.org/officeDocument/2006/relationships/printerSettings" Target="../printerSettings/printerSettings156.bin"/><Relationship Id="rId2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145.bin"/><Relationship Id="rId6" Type="http://schemas.openxmlformats.org/officeDocument/2006/relationships/printerSettings" Target="../printerSettings/printerSettings150.bin"/><Relationship Id="rId11" Type="http://schemas.openxmlformats.org/officeDocument/2006/relationships/printerSettings" Target="../printerSettings/printerSettings155.bin"/><Relationship Id="rId5" Type="http://schemas.openxmlformats.org/officeDocument/2006/relationships/printerSettings" Target="../printerSettings/printerSettings149.bin"/><Relationship Id="rId10" Type="http://schemas.openxmlformats.org/officeDocument/2006/relationships/printerSettings" Target="../printerSettings/printerSettings154.bin"/><Relationship Id="rId4" Type="http://schemas.openxmlformats.org/officeDocument/2006/relationships/printerSettings" Target="../printerSettings/printerSettings148.bin"/><Relationship Id="rId9" Type="http://schemas.openxmlformats.org/officeDocument/2006/relationships/printerSettings" Target="../printerSettings/printerSettings153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4.bin"/><Relationship Id="rId13" Type="http://schemas.openxmlformats.org/officeDocument/2006/relationships/vmlDrawing" Target="../drawings/vmlDrawing15.vml"/><Relationship Id="rId3" Type="http://schemas.openxmlformats.org/officeDocument/2006/relationships/printerSettings" Target="../printerSettings/printerSettings159.bin"/><Relationship Id="rId7" Type="http://schemas.openxmlformats.org/officeDocument/2006/relationships/printerSettings" Target="../printerSettings/printerSettings163.bin"/><Relationship Id="rId12" Type="http://schemas.openxmlformats.org/officeDocument/2006/relationships/printerSettings" Target="../printerSettings/printerSettings168.bin"/><Relationship Id="rId2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57.bin"/><Relationship Id="rId6" Type="http://schemas.openxmlformats.org/officeDocument/2006/relationships/printerSettings" Target="../printerSettings/printerSettings162.bin"/><Relationship Id="rId11" Type="http://schemas.openxmlformats.org/officeDocument/2006/relationships/printerSettings" Target="../printerSettings/printerSettings167.bin"/><Relationship Id="rId5" Type="http://schemas.openxmlformats.org/officeDocument/2006/relationships/printerSettings" Target="../printerSettings/printerSettings161.bin"/><Relationship Id="rId10" Type="http://schemas.openxmlformats.org/officeDocument/2006/relationships/printerSettings" Target="../printerSettings/printerSettings166.bin"/><Relationship Id="rId4" Type="http://schemas.openxmlformats.org/officeDocument/2006/relationships/printerSettings" Target="../printerSettings/printerSettings160.bin"/><Relationship Id="rId9" Type="http://schemas.openxmlformats.org/officeDocument/2006/relationships/printerSettings" Target="../printerSettings/printerSettings165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6.bin"/><Relationship Id="rId13" Type="http://schemas.openxmlformats.org/officeDocument/2006/relationships/vmlDrawing" Target="../drawings/vmlDrawing16.vml"/><Relationship Id="rId3" Type="http://schemas.openxmlformats.org/officeDocument/2006/relationships/printerSettings" Target="../printerSettings/printerSettings171.bin"/><Relationship Id="rId7" Type="http://schemas.openxmlformats.org/officeDocument/2006/relationships/printerSettings" Target="../printerSettings/printerSettings175.bin"/><Relationship Id="rId12" Type="http://schemas.openxmlformats.org/officeDocument/2006/relationships/printerSettings" Target="../printerSettings/printerSettings180.bin"/><Relationship Id="rId2" Type="http://schemas.openxmlformats.org/officeDocument/2006/relationships/printerSettings" Target="../printerSettings/printerSettings170.bin"/><Relationship Id="rId1" Type="http://schemas.openxmlformats.org/officeDocument/2006/relationships/printerSettings" Target="../printerSettings/printerSettings169.bin"/><Relationship Id="rId6" Type="http://schemas.openxmlformats.org/officeDocument/2006/relationships/printerSettings" Target="../printerSettings/printerSettings174.bin"/><Relationship Id="rId11" Type="http://schemas.openxmlformats.org/officeDocument/2006/relationships/printerSettings" Target="../printerSettings/printerSettings179.bin"/><Relationship Id="rId5" Type="http://schemas.openxmlformats.org/officeDocument/2006/relationships/printerSettings" Target="../printerSettings/printerSettings173.bin"/><Relationship Id="rId10" Type="http://schemas.openxmlformats.org/officeDocument/2006/relationships/printerSettings" Target="../printerSettings/printerSettings178.bin"/><Relationship Id="rId4" Type="http://schemas.openxmlformats.org/officeDocument/2006/relationships/printerSettings" Target="../printerSettings/printerSettings172.bin"/><Relationship Id="rId9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8"/>
  <sheetViews>
    <sheetView zoomScale="80" zoomScaleNormal="80" workbookViewId="0">
      <pane ySplit="4" topLeftCell="A14" activePane="bottomLeft" state="frozen"/>
      <selection pane="bottomLeft" activeCell="U52" sqref="U52"/>
    </sheetView>
  </sheetViews>
  <sheetFormatPr baseColWidth="10" defaultColWidth="11.42578125" defaultRowHeight="15" x14ac:dyDescent="0.25"/>
  <cols>
    <col min="1" max="1" width="9.28515625" style="79" customWidth="1"/>
    <col min="2" max="2" width="9.140625" style="2" customWidth="1"/>
    <col min="3" max="3" width="14.42578125" style="2" bestFit="1" customWidth="1"/>
    <col min="4" max="4" width="14.85546875" style="2" bestFit="1" customWidth="1"/>
    <col min="5" max="6" width="11.7109375" style="2" customWidth="1"/>
    <col min="7" max="8" width="11.7109375" style="6" customWidth="1"/>
    <col min="9" max="11" width="11.7109375" style="2" customWidth="1"/>
    <col min="12" max="12" width="11.7109375" style="6" customWidth="1"/>
    <col min="13" max="13" width="13" style="2" bestFit="1" customWidth="1"/>
    <col min="14" max="14" width="11.7109375" style="2" customWidth="1"/>
    <col min="15" max="15" width="16.85546875" style="2" bestFit="1" customWidth="1"/>
    <col min="16" max="16" width="13.42578125" style="2" bestFit="1" customWidth="1"/>
    <col min="17" max="17" width="12.5703125" style="2" bestFit="1" customWidth="1"/>
    <col min="18" max="18" width="13" style="2" bestFit="1" customWidth="1"/>
    <col min="19" max="19" width="14.28515625" style="2" customWidth="1"/>
    <col min="20" max="20" width="13.42578125" style="2" bestFit="1" customWidth="1"/>
    <col min="21" max="21" width="16.85546875" style="2" bestFit="1" customWidth="1"/>
    <col min="22" max="22" width="13.42578125" style="2" bestFit="1" customWidth="1"/>
    <col min="23" max="23" width="15.42578125" style="2" bestFit="1" customWidth="1"/>
    <col min="24" max="24" width="14.42578125" style="2" customWidth="1"/>
    <col min="25" max="26" width="9.7109375" style="2" bestFit="1" customWidth="1"/>
    <col min="27" max="27" width="15.42578125" style="4" bestFit="1" customWidth="1"/>
    <col min="28" max="28" width="14.42578125" style="4" bestFit="1" customWidth="1"/>
    <col min="29" max="29" width="35.28515625" style="2" customWidth="1"/>
    <col min="30" max="30" width="8" style="2" bestFit="1" customWidth="1"/>
    <col min="31" max="31" width="5.5703125" style="2" bestFit="1" customWidth="1"/>
    <col min="32" max="32" width="28.85546875" style="2" bestFit="1" customWidth="1"/>
    <col min="33" max="33" width="11.42578125" style="2"/>
    <col min="34" max="34" width="34.85546875" style="2" bestFit="1" customWidth="1"/>
    <col min="35" max="16384" width="11.42578125" style="2"/>
  </cols>
  <sheetData>
    <row r="1" spans="1:34" ht="34.15" customHeight="1" x14ac:dyDescent="0.25">
      <c r="A1" s="1" t="s">
        <v>54</v>
      </c>
      <c r="G1" s="2"/>
      <c r="H1" s="521">
        <v>45292</v>
      </c>
      <c r="I1" s="521"/>
      <c r="J1" s="521"/>
      <c r="K1" s="521"/>
      <c r="L1" s="521"/>
      <c r="M1" s="521"/>
      <c r="N1" s="521"/>
      <c r="O1" s="521"/>
      <c r="P1" s="521"/>
    </row>
    <row r="2" spans="1:34" ht="21" thickBot="1" x14ac:dyDescent="0.3">
      <c r="A2" s="5"/>
    </row>
    <row r="3" spans="1:34" s="8" customFormat="1" ht="61.5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5" t="s">
        <v>53</v>
      </c>
      <c r="J3" s="515"/>
      <c r="K3" s="515"/>
      <c r="L3" s="514"/>
      <c r="M3" s="410" t="s">
        <v>25</v>
      </c>
      <c r="N3" s="411"/>
      <c r="O3" s="411"/>
      <c r="P3" s="412"/>
      <c r="Q3" s="516" t="s">
        <v>30</v>
      </c>
      <c r="R3" s="517"/>
      <c r="S3" s="517"/>
      <c r="T3" s="518"/>
      <c r="U3" s="513" t="s">
        <v>2</v>
      </c>
      <c r="V3" s="514"/>
      <c r="W3" s="522" t="s">
        <v>29</v>
      </c>
      <c r="X3" s="523"/>
      <c r="Y3" s="513" t="s">
        <v>26</v>
      </c>
      <c r="Z3" s="514"/>
      <c r="AA3" s="524" t="s">
        <v>27</v>
      </c>
      <c r="AB3" s="525"/>
      <c r="AC3" s="513" t="s">
        <v>0</v>
      </c>
      <c r="AD3" s="515"/>
      <c r="AE3" s="515"/>
      <c r="AF3" s="514"/>
      <c r="AH3" s="356" t="s">
        <v>80</v>
      </c>
    </row>
    <row r="4" spans="1:34" s="4" customFormat="1" ht="18.600000000000001" customHeight="1" x14ac:dyDescent="0.25">
      <c r="A4" s="9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68</v>
      </c>
      <c r="J4" s="237" t="s">
        <v>69</v>
      </c>
      <c r="K4" s="243" t="s">
        <v>70</v>
      </c>
      <c r="L4" s="12" t="s">
        <v>21</v>
      </c>
      <c r="M4" s="11" t="s">
        <v>68</v>
      </c>
      <c r="N4" s="237" t="s">
        <v>69</v>
      </c>
      <c r="O4" s="243" t="s">
        <v>70</v>
      </c>
      <c r="P4" s="12" t="s">
        <v>21</v>
      </c>
      <c r="Q4" s="11" t="s">
        <v>68</v>
      </c>
      <c r="R4" s="237" t="s">
        <v>69</v>
      </c>
      <c r="S4" s="243" t="s">
        <v>70</v>
      </c>
      <c r="T4" s="12" t="s">
        <v>21</v>
      </c>
      <c r="U4" s="84" t="s">
        <v>70</v>
      </c>
      <c r="V4" s="12" t="s">
        <v>21</v>
      </c>
      <c r="W4" s="84" t="s">
        <v>22</v>
      </c>
      <c r="X4" s="12" t="s">
        <v>21</v>
      </c>
      <c r="Y4" s="11" t="s">
        <v>22</v>
      </c>
      <c r="Z4" s="12" t="s">
        <v>21</v>
      </c>
      <c r="AA4" s="107" t="s">
        <v>22</v>
      </c>
      <c r="AB4" s="108" t="s">
        <v>21</v>
      </c>
      <c r="AC4" s="13" t="s">
        <v>3</v>
      </c>
      <c r="AD4" s="519" t="s">
        <v>4</v>
      </c>
      <c r="AE4" s="520"/>
      <c r="AF4" s="14" t="s">
        <v>5</v>
      </c>
    </row>
    <row r="5" spans="1:34" ht="18.600000000000001" customHeight="1" x14ac:dyDescent="0.25">
      <c r="A5" s="44">
        <v>1</v>
      </c>
      <c r="B5" s="15" t="s">
        <v>12</v>
      </c>
      <c r="C5" s="25">
        <v>9138.9</v>
      </c>
      <c r="D5" s="26">
        <v>6451.6129000000001</v>
      </c>
      <c r="E5" s="25">
        <v>0</v>
      </c>
      <c r="F5" s="27">
        <v>80.645160000000004</v>
      </c>
      <c r="G5" s="28">
        <v>0</v>
      </c>
      <c r="H5" s="27">
        <v>32.25806</v>
      </c>
      <c r="I5" s="25">
        <v>0</v>
      </c>
      <c r="J5" s="239">
        <v>0</v>
      </c>
      <c r="K5" s="28">
        <f t="shared" ref="K5:K11" si="0">I5+J5</f>
        <v>0</v>
      </c>
      <c r="L5" s="27"/>
      <c r="M5" s="25">
        <f>0</f>
        <v>0</v>
      </c>
      <c r="N5" s="239">
        <v>0</v>
      </c>
      <c r="O5" s="28">
        <f t="shared" ref="O5:O11" si="1">M5+N5</f>
        <v>0</v>
      </c>
      <c r="P5" s="26">
        <v>1935.48387</v>
      </c>
      <c r="Q5" s="25">
        <v>0</v>
      </c>
      <c r="R5" s="239">
        <v>0</v>
      </c>
      <c r="S5" s="28">
        <f t="shared" ref="S5:S13" si="2">Q5+R5</f>
        <v>0</v>
      </c>
      <c r="T5" s="26">
        <v>2258.0645199999999</v>
      </c>
      <c r="U5" s="25">
        <v>3768.51</v>
      </c>
      <c r="V5" s="26">
        <v>3116.1290300000001</v>
      </c>
      <c r="W5" s="183">
        <f t="shared" ref="W5:X11" si="3">SUM(C5+E5+G5+K5+O5+S5+U5)</f>
        <v>12907.41</v>
      </c>
      <c r="X5" s="90">
        <f t="shared" si="3"/>
        <v>13874.19354</v>
      </c>
      <c r="Y5" s="25">
        <v>0</v>
      </c>
      <c r="Z5" s="26"/>
      <c r="AA5" s="92">
        <f t="shared" ref="AA5:AA35" si="4">SUM(W5+Y5)</f>
        <v>12907.41</v>
      </c>
      <c r="AB5" s="234">
        <f t="shared" ref="AB5:AB35" si="5">SUM(X5+Z5)</f>
        <v>13874.19354</v>
      </c>
      <c r="AC5" s="29" t="s">
        <v>96</v>
      </c>
      <c r="AD5" s="309">
        <v>8</v>
      </c>
      <c r="AE5" s="31" t="s">
        <v>7</v>
      </c>
      <c r="AF5" s="32" t="s">
        <v>93</v>
      </c>
      <c r="AH5" s="221">
        <f>C5+E5+G5+I5+M5+Q5+Y5</f>
        <v>9138.9</v>
      </c>
    </row>
    <row r="6" spans="1:34" ht="18.600000000000001" customHeight="1" x14ac:dyDescent="0.25">
      <c r="A6" s="47">
        <f t="shared" ref="A6:A11" si="6">SUM(A5+1)</f>
        <v>2</v>
      </c>
      <c r="B6" s="15" t="s">
        <v>13</v>
      </c>
      <c r="C6" s="25">
        <v>11308.66</v>
      </c>
      <c r="D6" s="26">
        <v>6451.6129000000001</v>
      </c>
      <c r="E6" s="25">
        <v>0</v>
      </c>
      <c r="F6" s="27">
        <v>80.645160000000004</v>
      </c>
      <c r="G6" s="28">
        <v>0</v>
      </c>
      <c r="H6" s="27">
        <v>32.25806</v>
      </c>
      <c r="I6" s="25">
        <v>0</v>
      </c>
      <c r="J6" s="239"/>
      <c r="K6" s="28">
        <f t="shared" si="0"/>
        <v>0</v>
      </c>
      <c r="L6" s="27"/>
      <c r="M6" s="25">
        <v>0</v>
      </c>
      <c r="N6" s="239">
        <v>0</v>
      </c>
      <c r="O6" s="28">
        <f t="shared" si="1"/>
        <v>0</v>
      </c>
      <c r="P6" s="26">
        <v>1935.48387</v>
      </c>
      <c r="Q6" s="25">
        <v>0</v>
      </c>
      <c r="R6" s="239">
        <v>0</v>
      </c>
      <c r="S6" s="28">
        <f t="shared" si="2"/>
        <v>0</v>
      </c>
      <c r="T6" s="26">
        <v>2258.0645199999999</v>
      </c>
      <c r="U6" s="25">
        <v>1885.4</v>
      </c>
      <c r="V6" s="26">
        <v>3116.1290300000001</v>
      </c>
      <c r="W6" s="183">
        <f t="shared" si="3"/>
        <v>13194.06</v>
      </c>
      <c r="X6" s="90">
        <f t="shared" si="3"/>
        <v>13874.19354</v>
      </c>
      <c r="Y6" s="25">
        <v>0</v>
      </c>
      <c r="Z6" s="26"/>
      <c r="AA6" s="92">
        <f t="shared" si="4"/>
        <v>13194.06</v>
      </c>
      <c r="AB6" s="234">
        <f t="shared" si="5"/>
        <v>13874.19354</v>
      </c>
      <c r="AC6" s="29" t="s">
        <v>88</v>
      </c>
      <c r="AD6" s="309">
        <v>7</v>
      </c>
      <c r="AE6" s="31" t="s">
        <v>7</v>
      </c>
      <c r="AF6" s="32" t="s">
        <v>94</v>
      </c>
      <c r="AH6" s="221">
        <f t="shared" ref="AH6:AH39" si="7">C6+E6+G6+I6+M6+Q6+Y6</f>
        <v>11308.66</v>
      </c>
    </row>
    <row r="7" spans="1:34" ht="18.600000000000001" customHeight="1" x14ac:dyDescent="0.25">
      <c r="A7" s="47">
        <f t="shared" si="6"/>
        <v>3</v>
      </c>
      <c r="B7" s="15" t="s">
        <v>14</v>
      </c>
      <c r="C7" s="16">
        <v>4284.8</v>
      </c>
      <c r="D7" s="17">
        <v>6451.6129000000001</v>
      </c>
      <c r="E7" s="16">
        <v>30</v>
      </c>
      <c r="F7" s="18">
        <v>80.645160000000004</v>
      </c>
      <c r="G7" s="19">
        <v>77.8</v>
      </c>
      <c r="H7" s="18">
        <v>32.25806</v>
      </c>
      <c r="I7" s="25">
        <v>0</v>
      </c>
      <c r="J7" s="238"/>
      <c r="K7" s="19">
        <f t="shared" si="0"/>
        <v>0</v>
      </c>
      <c r="L7" s="18"/>
      <c r="M7" s="16">
        <v>0</v>
      </c>
      <c r="N7" s="238">
        <v>0</v>
      </c>
      <c r="O7" s="19">
        <f t="shared" si="1"/>
        <v>0</v>
      </c>
      <c r="P7" s="17">
        <v>1935.48387</v>
      </c>
      <c r="Q7" s="16">
        <v>0</v>
      </c>
      <c r="R7" s="238">
        <v>0</v>
      </c>
      <c r="S7" s="19">
        <f t="shared" si="2"/>
        <v>0</v>
      </c>
      <c r="T7" s="17">
        <v>2258.0645199999999</v>
      </c>
      <c r="U7" s="16">
        <v>1433.8</v>
      </c>
      <c r="V7" s="88">
        <v>3116.1290300000001</v>
      </c>
      <c r="W7" s="91">
        <f t="shared" si="3"/>
        <v>5826.4000000000005</v>
      </c>
      <c r="X7" s="89">
        <f t="shared" si="3"/>
        <v>13874.19354</v>
      </c>
      <c r="Y7" s="25">
        <v>0</v>
      </c>
      <c r="Z7" s="17"/>
      <c r="AA7" s="109">
        <f t="shared" si="4"/>
        <v>5826.4000000000005</v>
      </c>
      <c r="AB7" s="110">
        <f t="shared" si="5"/>
        <v>13874.19354</v>
      </c>
      <c r="AC7" s="45" t="s">
        <v>97</v>
      </c>
      <c r="AD7" s="46">
        <v>12</v>
      </c>
      <c r="AE7" s="21" t="s">
        <v>7</v>
      </c>
      <c r="AF7" s="22"/>
      <c r="AH7" s="221">
        <f t="shared" si="7"/>
        <v>4392.6000000000004</v>
      </c>
    </row>
    <row r="8" spans="1:34" ht="18.600000000000001" customHeight="1" x14ac:dyDescent="0.25">
      <c r="A8" s="47">
        <f t="shared" si="6"/>
        <v>4</v>
      </c>
      <c r="B8" s="15" t="s">
        <v>15</v>
      </c>
      <c r="C8" s="16">
        <v>6025</v>
      </c>
      <c r="D8" s="17">
        <v>6451.6129000000001</v>
      </c>
      <c r="E8" s="16">
        <v>177.9</v>
      </c>
      <c r="F8" s="18">
        <v>80.645160000000004</v>
      </c>
      <c r="G8" s="19">
        <v>155.5</v>
      </c>
      <c r="H8" s="18">
        <v>32.25806</v>
      </c>
      <c r="I8" s="25">
        <v>0</v>
      </c>
      <c r="J8" s="238"/>
      <c r="K8" s="19">
        <f t="shared" si="0"/>
        <v>0</v>
      </c>
      <c r="L8" s="18"/>
      <c r="M8" s="16">
        <v>7642.8</v>
      </c>
      <c r="N8" s="238">
        <v>0</v>
      </c>
      <c r="O8" s="19">
        <f t="shared" si="1"/>
        <v>7642.8</v>
      </c>
      <c r="P8" s="17">
        <v>1935.48387</v>
      </c>
      <c r="Q8" s="16">
        <v>1095.9000000000001</v>
      </c>
      <c r="R8" s="238">
        <v>1664</v>
      </c>
      <c r="S8" s="19">
        <f t="shared" si="2"/>
        <v>2759.9</v>
      </c>
      <c r="T8" s="17">
        <v>2258.0645199999999</v>
      </c>
      <c r="U8" s="16">
        <v>2334.5</v>
      </c>
      <c r="V8" s="88">
        <v>3116.1290300000001</v>
      </c>
      <c r="W8" s="91">
        <f t="shared" si="3"/>
        <v>19095.600000000002</v>
      </c>
      <c r="X8" s="89">
        <f t="shared" si="3"/>
        <v>13874.19354</v>
      </c>
      <c r="Y8" s="25">
        <v>0</v>
      </c>
      <c r="Z8" s="17"/>
      <c r="AA8" s="109">
        <f>SUM(W8+Y8)</f>
        <v>19095.600000000002</v>
      </c>
      <c r="AB8" s="110">
        <f t="shared" si="5"/>
        <v>13874.19354</v>
      </c>
      <c r="AC8" s="45" t="s">
        <v>79</v>
      </c>
      <c r="AD8" s="46">
        <v>9</v>
      </c>
      <c r="AE8" s="21" t="s">
        <v>7</v>
      </c>
      <c r="AF8" s="22"/>
      <c r="AH8" s="221">
        <f t="shared" si="7"/>
        <v>15097.1</v>
      </c>
    </row>
    <row r="9" spans="1:34" ht="18.600000000000001" customHeight="1" x14ac:dyDescent="0.25">
      <c r="A9" s="47">
        <f t="shared" si="6"/>
        <v>5</v>
      </c>
      <c r="B9" s="15" t="s">
        <v>6</v>
      </c>
      <c r="C9" s="16">
        <v>6459.9</v>
      </c>
      <c r="D9" s="17">
        <v>6451.6129000000001</v>
      </c>
      <c r="E9" s="16">
        <v>0</v>
      </c>
      <c r="F9" s="18">
        <v>80.645160000000004</v>
      </c>
      <c r="G9" s="19">
        <v>0</v>
      </c>
      <c r="H9" s="18">
        <v>32.25806</v>
      </c>
      <c r="I9" s="25">
        <v>0</v>
      </c>
      <c r="J9" s="238"/>
      <c r="K9" s="19">
        <f>I9+J9</f>
        <v>0</v>
      </c>
      <c r="L9" s="18"/>
      <c r="M9" s="16">
        <v>2093.3000000000002</v>
      </c>
      <c r="N9" s="238">
        <v>0</v>
      </c>
      <c r="O9" s="19">
        <f t="shared" si="1"/>
        <v>2093.3000000000002</v>
      </c>
      <c r="P9" s="17">
        <v>1935.48387</v>
      </c>
      <c r="Q9" s="16">
        <v>46.6</v>
      </c>
      <c r="R9" s="238">
        <v>1140</v>
      </c>
      <c r="S9" s="19">
        <f t="shared" si="2"/>
        <v>1186.5999999999999</v>
      </c>
      <c r="T9" s="17">
        <v>2258.0645199999999</v>
      </c>
      <c r="U9" s="16">
        <v>2787.9</v>
      </c>
      <c r="V9" s="88">
        <v>3116.1290300000001</v>
      </c>
      <c r="W9" s="91">
        <f t="shared" si="3"/>
        <v>12527.7</v>
      </c>
      <c r="X9" s="89">
        <f t="shared" si="3"/>
        <v>13874.19354</v>
      </c>
      <c r="Y9" s="25">
        <v>0</v>
      </c>
      <c r="Z9" s="17"/>
      <c r="AA9" s="109">
        <f t="shared" si="4"/>
        <v>12527.7</v>
      </c>
      <c r="AB9" s="110">
        <f t="shared" si="5"/>
        <v>13874.19354</v>
      </c>
      <c r="AC9" s="45" t="s">
        <v>88</v>
      </c>
      <c r="AD9" s="46">
        <v>6</v>
      </c>
      <c r="AE9" s="21" t="s">
        <v>7</v>
      </c>
      <c r="AF9" s="22"/>
      <c r="AH9" s="221">
        <f t="shared" si="7"/>
        <v>8599.8000000000011</v>
      </c>
    </row>
    <row r="10" spans="1:34" ht="18.600000000000001" customHeight="1" x14ac:dyDescent="0.25">
      <c r="A10" s="23">
        <f t="shared" si="6"/>
        <v>6</v>
      </c>
      <c r="B10" s="24" t="s">
        <v>8</v>
      </c>
      <c r="C10" s="25">
        <v>10408.6</v>
      </c>
      <c r="D10" s="26">
        <v>6451.6129000000001</v>
      </c>
      <c r="E10" s="25">
        <v>0</v>
      </c>
      <c r="F10" s="27">
        <v>80.645160000000004</v>
      </c>
      <c r="G10" s="28">
        <v>0</v>
      </c>
      <c r="H10" s="27">
        <v>32.25806</v>
      </c>
      <c r="I10" s="25">
        <v>0</v>
      </c>
      <c r="J10" s="239"/>
      <c r="K10" s="28">
        <f t="shared" si="0"/>
        <v>0</v>
      </c>
      <c r="L10" s="27"/>
      <c r="M10" s="25">
        <v>0</v>
      </c>
      <c r="N10" s="239">
        <v>0</v>
      </c>
      <c r="O10" s="28">
        <f t="shared" si="1"/>
        <v>0</v>
      </c>
      <c r="P10" s="26">
        <v>1935.48387</v>
      </c>
      <c r="Q10" s="25">
        <v>4319.6000000000004</v>
      </c>
      <c r="R10" s="239">
        <v>0</v>
      </c>
      <c r="S10" s="28">
        <f t="shared" si="2"/>
        <v>4319.6000000000004</v>
      </c>
      <c r="T10" s="26">
        <v>2258.0645199999999</v>
      </c>
      <c r="U10" s="25">
        <v>3488.2</v>
      </c>
      <c r="V10" s="26">
        <v>3116.1290300000001</v>
      </c>
      <c r="W10" s="183">
        <f t="shared" si="3"/>
        <v>18216.400000000001</v>
      </c>
      <c r="X10" s="90">
        <f t="shared" si="3"/>
        <v>13874.19354</v>
      </c>
      <c r="Y10" s="25">
        <v>0</v>
      </c>
      <c r="Z10" s="26"/>
      <c r="AA10" s="92">
        <f t="shared" si="4"/>
        <v>18216.400000000001</v>
      </c>
      <c r="AB10" s="94">
        <f t="shared" si="5"/>
        <v>13874.19354</v>
      </c>
      <c r="AC10" s="29" t="s">
        <v>88</v>
      </c>
      <c r="AD10" s="309">
        <v>2</v>
      </c>
      <c r="AE10" s="31" t="s">
        <v>7</v>
      </c>
      <c r="AF10" s="32"/>
      <c r="AH10" s="221">
        <f t="shared" si="7"/>
        <v>14728.2</v>
      </c>
    </row>
    <row r="11" spans="1:34" ht="18.600000000000001" customHeight="1" x14ac:dyDescent="0.25">
      <c r="A11" s="23">
        <f t="shared" si="6"/>
        <v>7</v>
      </c>
      <c r="B11" s="24" t="s">
        <v>9</v>
      </c>
      <c r="C11" s="25">
        <v>3362</v>
      </c>
      <c r="D11" s="26">
        <v>6451.6129000000001</v>
      </c>
      <c r="E11" s="25">
        <v>0</v>
      </c>
      <c r="F11" s="27">
        <v>80.645160000000004</v>
      </c>
      <c r="G11" s="28">
        <v>0</v>
      </c>
      <c r="H11" s="27">
        <v>32.25806</v>
      </c>
      <c r="I11" s="25">
        <v>0</v>
      </c>
      <c r="J11" s="239"/>
      <c r="K11" s="28">
        <f t="shared" si="0"/>
        <v>0</v>
      </c>
      <c r="L11" s="27"/>
      <c r="M11" s="25">
        <v>0</v>
      </c>
      <c r="N11" s="239">
        <v>0</v>
      </c>
      <c r="O11" s="28">
        <f t="shared" si="1"/>
        <v>0</v>
      </c>
      <c r="P11" s="26">
        <v>1935.48387</v>
      </c>
      <c r="Q11" s="25">
        <v>0</v>
      </c>
      <c r="R11" s="239">
        <v>0</v>
      </c>
      <c r="S11" s="28">
        <f t="shared" si="2"/>
        <v>0</v>
      </c>
      <c r="T11" s="26">
        <v>2258.0645199999999</v>
      </c>
      <c r="U11" s="25">
        <v>1239.5999999999999</v>
      </c>
      <c r="V11" s="26">
        <v>3116.1290300000001</v>
      </c>
      <c r="W11" s="183">
        <f t="shared" si="3"/>
        <v>4601.6000000000004</v>
      </c>
      <c r="X11" s="90">
        <f t="shared" si="3"/>
        <v>13874.19354</v>
      </c>
      <c r="Y11" s="25">
        <v>0</v>
      </c>
      <c r="Z11" s="26"/>
      <c r="AA11" s="92">
        <f t="shared" si="4"/>
        <v>4601.6000000000004</v>
      </c>
      <c r="AB11" s="94">
        <f t="shared" si="5"/>
        <v>13874.19354</v>
      </c>
      <c r="AC11" s="29" t="s">
        <v>59</v>
      </c>
      <c r="AD11" s="309">
        <v>1</v>
      </c>
      <c r="AE11" s="31" t="s">
        <v>7</v>
      </c>
      <c r="AF11" s="32" t="s">
        <v>95</v>
      </c>
      <c r="AH11" s="221">
        <f t="shared" si="7"/>
        <v>3362</v>
      </c>
    </row>
    <row r="12" spans="1:34" s="43" customFormat="1" ht="18.600000000000001" customHeight="1" x14ac:dyDescent="0.25">
      <c r="A12" s="33" t="s">
        <v>10</v>
      </c>
      <c r="B12" s="34">
        <v>1</v>
      </c>
      <c r="C12" s="35">
        <f>SUM(C5:C11)</f>
        <v>50987.859999999993</v>
      </c>
      <c r="D12" s="36">
        <f>SUM(D5:D11)</f>
        <v>45161.290300000001</v>
      </c>
      <c r="E12" s="35">
        <f t="shared" ref="E12:G12" si="8">SUM(E5:E11)</f>
        <v>207.9</v>
      </c>
      <c r="F12" s="37">
        <f t="shared" si="8"/>
        <v>564.51612000000011</v>
      </c>
      <c r="G12" s="38">
        <f t="shared" si="8"/>
        <v>233.3</v>
      </c>
      <c r="H12" s="37">
        <f>SUM(H5:H11)</f>
        <v>225.80642</v>
      </c>
      <c r="I12" s="35">
        <f>SUM(I5:I11)</f>
        <v>0</v>
      </c>
      <c r="J12" s="38">
        <f>SUM(J5:J11)</f>
        <v>0</v>
      </c>
      <c r="K12" s="82">
        <f>SUM(K5:K11)</f>
        <v>0</v>
      </c>
      <c r="L12" s="37">
        <v>0</v>
      </c>
      <c r="M12" s="35">
        <f>SUM(M5:M11)</f>
        <v>9736.1</v>
      </c>
      <c r="N12" s="38">
        <f>SUM(N5:N11)</f>
        <v>0</v>
      </c>
      <c r="O12" s="82">
        <f>SUM(O5:O11)</f>
        <v>9736.1</v>
      </c>
      <c r="P12" s="36">
        <f t="shared" ref="P12" si="9">SUM(P5:P11)</f>
        <v>13548.38709</v>
      </c>
      <c r="Q12" s="35">
        <f>SUM(Q5:Q11)</f>
        <v>5462.1</v>
      </c>
      <c r="R12" s="38">
        <f>SUM(R5:R11)</f>
        <v>2804</v>
      </c>
      <c r="S12" s="82">
        <f>SUM(S5:S11)</f>
        <v>8266.1</v>
      </c>
      <c r="T12" s="36">
        <f t="shared" ref="T12" si="10">SUM(T5:T11)</f>
        <v>15806.451639999999</v>
      </c>
      <c r="U12" s="35">
        <f t="shared" ref="U12:AB12" si="11">SUM(U5:U11)</f>
        <v>16937.909999999996</v>
      </c>
      <c r="V12" s="36">
        <f t="shared" si="11"/>
        <v>21812.90321</v>
      </c>
      <c r="W12" s="35">
        <f>SUM(W5:W11)</f>
        <v>86369.170000000013</v>
      </c>
      <c r="X12" s="36">
        <f t="shared" si="11"/>
        <v>97119.354780000023</v>
      </c>
      <c r="Y12" s="35">
        <f t="shared" si="11"/>
        <v>0</v>
      </c>
      <c r="Z12" s="36">
        <f t="shared" si="11"/>
        <v>0</v>
      </c>
      <c r="AA12" s="35">
        <f t="shared" si="11"/>
        <v>86369.170000000013</v>
      </c>
      <c r="AB12" s="36">
        <f t="shared" si="11"/>
        <v>97119.354780000023</v>
      </c>
      <c r="AC12" s="39" t="s">
        <v>11</v>
      </c>
      <c r="AD12" s="40">
        <f>SUM(AD5:AD11)/7</f>
        <v>6.4285714285714288</v>
      </c>
      <c r="AE12" s="41" t="s">
        <v>7</v>
      </c>
      <c r="AF12" s="42"/>
      <c r="AH12" s="221"/>
    </row>
    <row r="13" spans="1:34" ht="18.600000000000001" customHeight="1" x14ac:dyDescent="0.25">
      <c r="A13" s="44">
        <f>SUM(A11+1)</f>
        <v>8</v>
      </c>
      <c r="B13" s="15" t="s">
        <v>12</v>
      </c>
      <c r="C13" s="49">
        <v>2627.5</v>
      </c>
      <c r="D13" s="17">
        <v>6451.6129000000001</v>
      </c>
      <c r="E13" s="49">
        <v>0</v>
      </c>
      <c r="F13" s="18">
        <v>80.645160000000004</v>
      </c>
      <c r="G13" s="19">
        <v>0</v>
      </c>
      <c r="H13" s="18">
        <v>32.25806</v>
      </c>
      <c r="I13" s="16">
        <v>0</v>
      </c>
      <c r="J13" s="238"/>
      <c r="K13" s="19">
        <f t="shared" ref="K13:K14" si="12">I13+J13</f>
        <v>0</v>
      </c>
      <c r="L13" s="18"/>
      <c r="M13" s="16">
        <v>1264.8</v>
      </c>
      <c r="N13" s="238">
        <v>0</v>
      </c>
      <c r="O13" s="19">
        <f t="shared" ref="O13:O14" si="13">M13+N13</f>
        <v>1264.8</v>
      </c>
      <c r="P13" s="17">
        <v>1935.48387</v>
      </c>
      <c r="Q13" s="16">
        <v>10.6</v>
      </c>
      <c r="R13" s="238">
        <v>1351</v>
      </c>
      <c r="S13" s="19">
        <f t="shared" si="2"/>
        <v>1361.6</v>
      </c>
      <c r="T13" s="17">
        <v>2258.0645199999999</v>
      </c>
      <c r="U13" s="16">
        <v>1568.85</v>
      </c>
      <c r="V13" s="88">
        <v>3116.1290300000001</v>
      </c>
      <c r="W13" s="91">
        <f t="shared" ref="W13:X19" si="14">SUM(C13+E13+G13+K13+O13+S13+U13)</f>
        <v>6822.75</v>
      </c>
      <c r="X13" s="89">
        <f t="shared" si="14"/>
        <v>13874.19354</v>
      </c>
      <c r="Y13" s="16">
        <v>0</v>
      </c>
      <c r="Z13" s="17"/>
      <c r="AA13" s="109">
        <f t="shared" si="4"/>
        <v>6822.75</v>
      </c>
      <c r="AB13" s="110">
        <f t="shared" si="5"/>
        <v>13874.19354</v>
      </c>
      <c r="AC13" s="45" t="s">
        <v>60</v>
      </c>
      <c r="AD13" s="46">
        <v>-3</v>
      </c>
      <c r="AE13" s="21" t="s">
        <v>7</v>
      </c>
      <c r="AF13" s="22"/>
      <c r="AH13" s="221">
        <f t="shared" si="7"/>
        <v>3902.9</v>
      </c>
    </row>
    <row r="14" spans="1:34" ht="18.600000000000001" customHeight="1" x14ac:dyDescent="0.25">
      <c r="A14" s="47">
        <f t="shared" ref="A14:A19" si="15">SUM(A13+1)</f>
        <v>9</v>
      </c>
      <c r="B14" s="15" t="s">
        <v>13</v>
      </c>
      <c r="C14" s="16">
        <v>4714.3999999999996</v>
      </c>
      <c r="D14" s="17">
        <v>6451.6129000000001</v>
      </c>
      <c r="E14" s="16">
        <v>0</v>
      </c>
      <c r="F14" s="18">
        <v>80.645160000000004</v>
      </c>
      <c r="G14" s="19">
        <v>0</v>
      </c>
      <c r="H14" s="18">
        <v>32.25806</v>
      </c>
      <c r="I14" s="16">
        <v>0</v>
      </c>
      <c r="J14" s="238"/>
      <c r="K14" s="19">
        <f t="shared" si="12"/>
        <v>0</v>
      </c>
      <c r="L14" s="18"/>
      <c r="M14" s="16">
        <v>3202.6</v>
      </c>
      <c r="N14" s="238">
        <v>0</v>
      </c>
      <c r="O14" s="19">
        <f t="shared" si="13"/>
        <v>3202.6</v>
      </c>
      <c r="P14" s="17">
        <v>1935.48387</v>
      </c>
      <c r="Q14" s="16">
        <v>279.8</v>
      </c>
      <c r="R14" s="238">
        <v>2387</v>
      </c>
      <c r="S14" s="19">
        <f>Q14+R14</f>
        <v>2666.8</v>
      </c>
      <c r="T14" s="17">
        <v>2258.0645199999999</v>
      </c>
      <c r="U14" s="16">
        <v>6112.1</v>
      </c>
      <c r="V14" s="88">
        <v>3116.1290300000001</v>
      </c>
      <c r="W14" s="91">
        <f t="shared" si="14"/>
        <v>16695.900000000001</v>
      </c>
      <c r="X14" s="89">
        <f t="shared" si="14"/>
        <v>13874.19354</v>
      </c>
      <c r="Y14" s="16">
        <v>0</v>
      </c>
      <c r="Z14" s="17"/>
      <c r="AA14" s="109">
        <f t="shared" si="4"/>
        <v>16695.900000000001</v>
      </c>
      <c r="AB14" s="110">
        <f t="shared" si="5"/>
        <v>13874.19354</v>
      </c>
      <c r="AC14" s="45" t="s">
        <v>101</v>
      </c>
      <c r="AD14" s="46">
        <v>-4</v>
      </c>
      <c r="AE14" s="21" t="s">
        <v>7</v>
      </c>
      <c r="AF14" s="22"/>
      <c r="AH14" s="221">
        <f t="shared" si="7"/>
        <v>8196.7999999999993</v>
      </c>
    </row>
    <row r="15" spans="1:34" ht="18.600000000000001" customHeight="1" x14ac:dyDescent="0.25">
      <c r="A15" s="47">
        <f t="shared" si="15"/>
        <v>10</v>
      </c>
      <c r="B15" s="15" t="s">
        <v>14</v>
      </c>
      <c r="C15" s="16">
        <v>1590</v>
      </c>
      <c r="D15" s="17">
        <v>6451.6129000000001</v>
      </c>
      <c r="E15" s="16">
        <v>0</v>
      </c>
      <c r="F15" s="18">
        <v>80.645160000000004</v>
      </c>
      <c r="G15" s="19">
        <v>0</v>
      </c>
      <c r="H15" s="18">
        <v>32.25806</v>
      </c>
      <c r="I15" s="16">
        <v>0</v>
      </c>
      <c r="J15" s="238"/>
      <c r="K15" s="19">
        <f>I15+J15</f>
        <v>0</v>
      </c>
      <c r="L15" s="18"/>
      <c r="M15" s="16">
        <v>0</v>
      </c>
      <c r="N15" s="238">
        <v>0</v>
      </c>
      <c r="O15" s="19">
        <f>M15+N15</f>
        <v>0</v>
      </c>
      <c r="P15" s="17">
        <v>1935.48387</v>
      </c>
      <c r="Q15" s="16">
        <v>1260.5</v>
      </c>
      <c r="R15" s="238">
        <v>7157</v>
      </c>
      <c r="S15" s="19">
        <f>Q15+R15</f>
        <v>8417.5</v>
      </c>
      <c r="T15" s="17">
        <v>2258.0645199999999</v>
      </c>
      <c r="U15" s="16">
        <v>8677.2999999999993</v>
      </c>
      <c r="V15" s="88">
        <v>3116.1290300000001</v>
      </c>
      <c r="W15" s="91">
        <f t="shared" si="14"/>
        <v>18684.8</v>
      </c>
      <c r="X15" s="89">
        <f t="shared" si="14"/>
        <v>13874.19354</v>
      </c>
      <c r="Y15" s="16">
        <v>0</v>
      </c>
      <c r="Z15" s="17"/>
      <c r="AA15" s="109">
        <f t="shared" si="4"/>
        <v>18684.8</v>
      </c>
      <c r="AB15" s="110">
        <f t="shared" si="5"/>
        <v>13874.19354</v>
      </c>
      <c r="AC15" s="45" t="s">
        <v>60</v>
      </c>
      <c r="AD15" s="46">
        <v>-3</v>
      </c>
      <c r="AE15" s="21" t="s">
        <v>7</v>
      </c>
      <c r="AF15" s="22"/>
      <c r="AH15" s="221">
        <f t="shared" si="7"/>
        <v>2850.5</v>
      </c>
    </row>
    <row r="16" spans="1:34" ht="18.600000000000001" customHeight="1" x14ac:dyDescent="0.25">
      <c r="A16" s="47">
        <f t="shared" si="15"/>
        <v>11</v>
      </c>
      <c r="B16" s="15" t="s">
        <v>15</v>
      </c>
      <c r="C16" s="16">
        <v>2525</v>
      </c>
      <c r="D16" s="17">
        <v>6451.6129000000001</v>
      </c>
      <c r="E16" s="16">
        <v>0</v>
      </c>
      <c r="F16" s="18">
        <v>80.645160000000004</v>
      </c>
      <c r="G16" s="19">
        <v>0</v>
      </c>
      <c r="H16" s="18">
        <v>32.25806</v>
      </c>
      <c r="I16" s="16">
        <v>0</v>
      </c>
      <c r="J16" s="238"/>
      <c r="K16" s="19">
        <f t="shared" ref="K16:K19" si="16">I16+J16</f>
        <v>0</v>
      </c>
      <c r="L16" s="18"/>
      <c r="M16" s="16">
        <v>0</v>
      </c>
      <c r="N16" s="238">
        <v>0</v>
      </c>
      <c r="O16" s="19">
        <f t="shared" ref="O16:O19" si="17">M16+N16</f>
        <v>0</v>
      </c>
      <c r="P16" s="17">
        <v>1935.48387</v>
      </c>
      <c r="Q16" s="16">
        <v>394.1</v>
      </c>
      <c r="R16" s="238">
        <v>10945</v>
      </c>
      <c r="S16" s="19">
        <f t="shared" ref="S16:S19" si="18">Q16+R16</f>
        <v>11339.1</v>
      </c>
      <c r="T16" s="17">
        <v>2258.0645199999999</v>
      </c>
      <c r="U16" s="16">
        <v>10778.3</v>
      </c>
      <c r="V16" s="88">
        <v>3116.1290300000001</v>
      </c>
      <c r="W16" s="91">
        <f>SUM(C16+E16+G16+K16+O16+S16+U16)</f>
        <v>24642.400000000001</v>
      </c>
      <c r="X16" s="89">
        <f t="shared" si="14"/>
        <v>13874.19354</v>
      </c>
      <c r="Y16" s="16">
        <v>0</v>
      </c>
      <c r="Z16" s="17"/>
      <c r="AA16" s="109">
        <f t="shared" si="4"/>
        <v>24642.400000000001</v>
      </c>
      <c r="AB16" s="110">
        <f t="shared" si="5"/>
        <v>13874.19354</v>
      </c>
      <c r="AC16" s="45" t="s">
        <v>72</v>
      </c>
      <c r="AD16" s="46">
        <v>-2</v>
      </c>
      <c r="AE16" s="21" t="s">
        <v>7</v>
      </c>
      <c r="AF16" s="22"/>
      <c r="AH16" s="221">
        <f t="shared" si="7"/>
        <v>2919.1</v>
      </c>
    </row>
    <row r="17" spans="1:34" ht="18.600000000000001" customHeight="1" x14ac:dyDescent="0.25">
      <c r="A17" s="47">
        <f t="shared" si="15"/>
        <v>12</v>
      </c>
      <c r="B17" s="15" t="s">
        <v>6</v>
      </c>
      <c r="C17" s="16">
        <v>7664.2</v>
      </c>
      <c r="D17" s="17">
        <v>6451.6129000000001</v>
      </c>
      <c r="E17" s="16">
        <v>0</v>
      </c>
      <c r="F17" s="18">
        <v>80.645160000000004</v>
      </c>
      <c r="G17" s="19">
        <v>0</v>
      </c>
      <c r="H17" s="18">
        <v>32.25806</v>
      </c>
      <c r="I17" s="16">
        <v>0</v>
      </c>
      <c r="J17" s="238"/>
      <c r="K17" s="19">
        <f t="shared" si="16"/>
        <v>0</v>
      </c>
      <c r="L17" s="18"/>
      <c r="M17" s="16">
        <v>0</v>
      </c>
      <c r="N17" s="238">
        <v>0</v>
      </c>
      <c r="O17" s="19">
        <f t="shared" si="17"/>
        <v>0</v>
      </c>
      <c r="P17" s="17">
        <v>1935.48387</v>
      </c>
      <c r="Q17" s="16">
        <v>36</v>
      </c>
      <c r="R17" s="238">
        <v>8690</v>
      </c>
      <c r="S17" s="19">
        <f t="shared" si="18"/>
        <v>8726</v>
      </c>
      <c r="T17" s="17">
        <v>2258.0645199999999</v>
      </c>
      <c r="U17" s="16">
        <v>3417.1</v>
      </c>
      <c r="V17" s="88">
        <v>3116.1290300000001</v>
      </c>
      <c r="W17" s="91">
        <f t="shared" si="14"/>
        <v>19807.3</v>
      </c>
      <c r="X17" s="89">
        <f t="shared" si="14"/>
        <v>13874.19354</v>
      </c>
      <c r="Y17" s="16">
        <v>0</v>
      </c>
      <c r="Z17" s="17"/>
      <c r="AA17" s="109">
        <f t="shared" si="4"/>
        <v>19807.3</v>
      </c>
      <c r="AB17" s="110">
        <f t="shared" si="5"/>
        <v>13874.19354</v>
      </c>
      <c r="AC17" s="45" t="s">
        <v>102</v>
      </c>
      <c r="AD17" s="46">
        <v>-3</v>
      </c>
      <c r="AE17" s="21" t="s">
        <v>7</v>
      </c>
      <c r="AF17" s="22"/>
      <c r="AH17" s="221">
        <f t="shared" si="7"/>
        <v>7700.2</v>
      </c>
    </row>
    <row r="18" spans="1:34" ht="18.600000000000001" customHeight="1" x14ac:dyDescent="0.25">
      <c r="A18" s="23">
        <f t="shared" si="15"/>
        <v>13</v>
      </c>
      <c r="B18" s="24" t="s">
        <v>8</v>
      </c>
      <c r="C18" s="25">
        <v>9747.5</v>
      </c>
      <c r="D18" s="26">
        <v>6451.6129000000001</v>
      </c>
      <c r="E18" s="25">
        <v>0</v>
      </c>
      <c r="F18" s="27">
        <v>80.645160000000004</v>
      </c>
      <c r="G18" s="28">
        <v>0</v>
      </c>
      <c r="H18" s="27">
        <v>32.25806</v>
      </c>
      <c r="I18" s="16">
        <v>0</v>
      </c>
      <c r="J18" s="239"/>
      <c r="K18" s="28">
        <f t="shared" si="16"/>
        <v>0</v>
      </c>
      <c r="L18" s="27"/>
      <c r="M18" s="25">
        <v>1946.2</v>
      </c>
      <c r="N18" s="239">
        <v>0</v>
      </c>
      <c r="O18" s="28">
        <f t="shared" si="17"/>
        <v>1946.2</v>
      </c>
      <c r="P18" s="26">
        <v>1935.48387</v>
      </c>
      <c r="Q18" s="25">
        <v>2829</v>
      </c>
      <c r="R18" s="239">
        <v>12367</v>
      </c>
      <c r="S18" s="28">
        <f t="shared" si="18"/>
        <v>15196</v>
      </c>
      <c r="T18" s="26">
        <v>2258.0645199999999</v>
      </c>
      <c r="U18" s="25">
        <v>3456.2</v>
      </c>
      <c r="V18" s="26">
        <v>3116.1290300000001</v>
      </c>
      <c r="W18" s="183">
        <f t="shared" si="14"/>
        <v>30345.9</v>
      </c>
      <c r="X18" s="90">
        <f t="shared" si="14"/>
        <v>13874.19354</v>
      </c>
      <c r="Y18" s="16">
        <v>0</v>
      </c>
      <c r="Z18" s="26"/>
      <c r="AA18" s="92">
        <f t="shared" si="4"/>
        <v>30345.9</v>
      </c>
      <c r="AB18" s="94">
        <f t="shared" si="5"/>
        <v>13874.19354</v>
      </c>
      <c r="AC18" s="29" t="s">
        <v>103</v>
      </c>
      <c r="AD18" s="309">
        <v>-3.5</v>
      </c>
      <c r="AE18" s="31" t="s">
        <v>7</v>
      </c>
      <c r="AF18" s="32"/>
      <c r="AH18" s="221">
        <f t="shared" si="7"/>
        <v>14522.7</v>
      </c>
    </row>
    <row r="19" spans="1:34" ht="18.600000000000001" customHeight="1" x14ac:dyDescent="0.25">
      <c r="A19" s="23">
        <f t="shared" si="15"/>
        <v>14</v>
      </c>
      <c r="B19" s="24" t="s">
        <v>9</v>
      </c>
      <c r="C19" s="25">
        <v>11725.2</v>
      </c>
      <c r="D19" s="26">
        <v>6451.6129000000001</v>
      </c>
      <c r="E19" s="25">
        <v>0</v>
      </c>
      <c r="F19" s="27">
        <v>80.645160000000004</v>
      </c>
      <c r="G19" s="28">
        <v>214.4</v>
      </c>
      <c r="H19" s="27">
        <v>32.25806</v>
      </c>
      <c r="I19" s="16">
        <v>0</v>
      </c>
      <c r="J19" s="239"/>
      <c r="K19" s="28">
        <f t="shared" si="16"/>
        <v>0</v>
      </c>
      <c r="L19" s="27"/>
      <c r="M19" s="25">
        <v>8649.7000000000007</v>
      </c>
      <c r="N19" s="239">
        <v>0</v>
      </c>
      <c r="O19" s="28">
        <f t="shared" si="17"/>
        <v>8649.7000000000007</v>
      </c>
      <c r="P19" s="26">
        <v>1935.48387</v>
      </c>
      <c r="Q19" s="25">
        <v>0</v>
      </c>
      <c r="R19" s="239">
        <v>0</v>
      </c>
      <c r="S19" s="28">
        <f t="shared" si="18"/>
        <v>0</v>
      </c>
      <c r="T19" s="26">
        <v>2258.0645199999999</v>
      </c>
      <c r="U19" s="25">
        <v>1913.3</v>
      </c>
      <c r="V19" s="26">
        <v>3116.1290300000001</v>
      </c>
      <c r="W19" s="183">
        <f t="shared" si="14"/>
        <v>22502.600000000002</v>
      </c>
      <c r="X19" s="90">
        <f t="shared" si="14"/>
        <v>13874.19354</v>
      </c>
      <c r="Y19" s="16">
        <v>0</v>
      </c>
      <c r="Z19" s="26"/>
      <c r="AA19" s="92">
        <f t="shared" si="4"/>
        <v>22502.600000000002</v>
      </c>
      <c r="AB19" s="94">
        <f t="shared" si="5"/>
        <v>13874.19354</v>
      </c>
      <c r="AC19" s="29" t="s">
        <v>103</v>
      </c>
      <c r="AD19" s="309">
        <v>-5</v>
      </c>
      <c r="AE19" s="31" t="s">
        <v>7</v>
      </c>
      <c r="AF19" s="32"/>
      <c r="AH19" s="221">
        <f t="shared" si="7"/>
        <v>20589.300000000003</v>
      </c>
    </row>
    <row r="20" spans="1:34" s="43" customFormat="1" ht="18.600000000000001" customHeight="1" x14ac:dyDescent="0.25">
      <c r="A20" s="33" t="s">
        <v>10</v>
      </c>
      <c r="B20" s="34">
        <f>SUM(B12+1)</f>
        <v>2</v>
      </c>
      <c r="C20" s="35">
        <f t="shared" ref="C20:AA20" si="19">SUM(C13:C19)</f>
        <v>40593.800000000003</v>
      </c>
      <c r="D20" s="36">
        <f>SUM(D13:D19)</f>
        <v>45161.290300000001</v>
      </c>
      <c r="E20" s="35">
        <f t="shared" si="19"/>
        <v>0</v>
      </c>
      <c r="F20" s="37">
        <f t="shared" si="19"/>
        <v>564.51612000000011</v>
      </c>
      <c r="G20" s="38">
        <f t="shared" si="19"/>
        <v>214.4</v>
      </c>
      <c r="H20" s="37">
        <f>SUM(H13:H19)</f>
        <v>225.80642</v>
      </c>
      <c r="I20" s="35">
        <f>SUM(I13:I19)</f>
        <v>0</v>
      </c>
      <c r="J20" s="35">
        <f>SUM(J13:J19)</f>
        <v>0</v>
      </c>
      <c r="K20" s="35">
        <f>SUM(K13:K19)</f>
        <v>0</v>
      </c>
      <c r="L20" s="37">
        <v>0</v>
      </c>
      <c r="M20" s="35">
        <f>SUM(M13:M19)</f>
        <v>15063.3</v>
      </c>
      <c r="N20" s="35">
        <f>SUM(N13:N19)</f>
        <v>0</v>
      </c>
      <c r="O20" s="35">
        <f>SUM(O13:O19)</f>
        <v>15063.3</v>
      </c>
      <c r="P20" s="36">
        <f t="shared" ref="P20" si="20">SUM(P13:P19)</f>
        <v>13548.38709</v>
      </c>
      <c r="Q20" s="35">
        <f>SUM(Q13:Q19)</f>
        <v>4810</v>
      </c>
      <c r="R20" s="35">
        <f>SUM(R13:R19)</f>
        <v>42897</v>
      </c>
      <c r="S20" s="35">
        <f>SUM(S13:S19)</f>
        <v>47707</v>
      </c>
      <c r="T20" s="36">
        <f t="shared" ref="T20" si="21">SUM(T13:T19)</f>
        <v>15806.451639999999</v>
      </c>
      <c r="U20" s="35">
        <f t="shared" ref="U20:Z20" si="22">SUM(U13:U19)</f>
        <v>35923.15</v>
      </c>
      <c r="V20" s="36">
        <f t="shared" si="22"/>
        <v>21812.90321</v>
      </c>
      <c r="W20" s="35">
        <f t="shared" si="22"/>
        <v>139501.65000000002</v>
      </c>
      <c r="X20" s="36">
        <f t="shared" si="22"/>
        <v>97119.354780000023</v>
      </c>
      <c r="Y20" s="35">
        <f t="shared" si="22"/>
        <v>0</v>
      </c>
      <c r="Z20" s="36">
        <f t="shared" si="22"/>
        <v>0</v>
      </c>
      <c r="AA20" s="35">
        <f t="shared" si="19"/>
        <v>139501.65000000002</v>
      </c>
      <c r="AB20" s="36">
        <f>SUM(AB13:AB19)</f>
        <v>97119.354780000023</v>
      </c>
      <c r="AC20" s="39" t="s">
        <v>11</v>
      </c>
      <c r="AD20" s="40">
        <f>SUM(AD13:AD19)/7</f>
        <v>-3.3571428571428572</v>
      </c>
      <c r="AE20" s="41" t="s">
        <v>7</v>
      </c>
      <c r="AF20" s="42"/>
      <c r="AH20" s="221"/>
    </row>
    <row r="21" spans="1:34" ht="18.600000000000001" customHeight="1" x14ac:dyDescent="0.25">
      <c r="A21" s="44">
        <f>SUM(A19+1)</f>
        <v>15</v>
      </c>
      <c r="B21" s="15" t="s">
        <v>12</v>
      </c>
      <c r="C21" s="16">
        <v>3748.1</v>
      </c>
      <c r="D21" s="17">
        <v>6451.6129000000001</v>
      </c>
      <c r="E21" s="16">
        <v>0</v>
      </c>
      <c r="F21" s="18">
        <v>80.645160000000004</v>
      </c>
      <c r="G21" s="19">
        <v>0</v>
      </c>
      <c r="H21" s="18">
        <v>32.25806</v>
      </c>
      <c r="I21" s="16">
        <v>0</v>
      </c>
      <c r="J21" s="238"/>
      <c r="K21" s="19">
        <f t="shared" ref="K21:K27" si="23">I21+J21</f>
        <v>0</v>
      </c>
      <c r="L21" s="18"/>
      <c r="M21" s="16">
        <v>0</v>
      </c>
      <c r="N21" s="238">
        <v>0</v>
      </c>
      <c r="O21" s="19">
        <f t="shared" ref="O21:O27" si="24">M21+N21</f>
        <v>0</v>
      </c>
      <c r="P21" s="17">
        <v>1935.48387</v>
      </c>
      <c r="Q21" s="16">
        <v>1114.9000000000001</v>
      </c>
      <c r="R21" s="238">
        <v>4231.8</v>
      </c>
      <c r="S21" s="19">
        <f t="shared" ref="S21:S27" si="25">Q21+R21</f>
        <v>5346.7000000000007</v>
      </c>
      <c r="T21" s="17">
        <v>2258.0645199999999</v>
      </c>
      <c r="U21" s="16">
        <v>3253.6</v>
      </c>
      <c r="V21" s="88">
        <v>3116.1290300000001</v>
      </c>
      <c r="W21" s="91">
        <f t="shared" ref="W21:X27" si="26">SUM(C21+E21+G21+K21+O21+S21+U21)</f>
        <v>12348.400000000001</v>
      </c>
      <c r="X21" s="89">
        <f t="shared" si="26"/>
        <v>13874.19354</v>
      </c>
      <c r="Y21" s="16">
        <v>0</v>
      </c>
      <c r="Z21" s="17"/>
      <c r="AA21" s="109">
        <f t="shared" si="4"/>
        <v>12348.400000000001</v>
      </c>
      <c r="AB21" s="110">
        <f t="shared" si="5"/>
        <v>13874.19354</v>
      </c>
      <c r="AC21" s="50" t="s">
        <v>104</v>
      </c>
      <c r="AD21" s="51">
        <v>-2</v>
      </c>
      <c r="AE21" s="21" t="s">
        <v>7</v>
      </c>
      <c r="AF21" s="231"/>
      <c r="AH21" s="221">
        <f t="shared" si="7"/>
        <v>4863</v>
      </c>
    </row>
    <row r="22" spans="1:34" ht="16.5" x14ac:dyDescent="0.25">
      <c r="A22" s="47">
        <f t="shared" ref="A22:A27" si="27">SUM(A21+1)</f>
        <v>16</v>
      </c>
      <c r="B22" s="15" t="s">
        <v>13</v>
      </c>
      <c r="C22" s="16">
        <v>2709.1</v>
      </c>
      <c r="D22" s="17">
        <v>6451.6129000000001</v>
      </c>
      <c r="E22" s="16">
        <v>0</v>
      </c>
      <c r="F22" s="18">
        <v>80.645160000000004</v>
      </c>
      <c r="G22" s="19">
        <v>0</v>
      </c>
      <c r="H22" s="18">
        <v>32.25806</v>
      </c>
      <c r="I22" s="16">
        <v>0</v>
      </c>
      <c r="J22" s="238"/>
      <c r="K22" s="19">
        <f t="shared" si="23"/>
        <v>0</v>
      </c>
      <c r="L22" s="18"/>
      <c r="M22" s="16">
        <v>2326</v>
      </c>
      <c r="N22" s="238">
        <v>0</v>
      </c>
      <c r="O22" s="19">
        <f t="shared" si="24"/>
        <v>2326</v>
      </c>
      <c r="P22" s="17">
        <v>1935.48387</v>
      </c>
      <c r="Q22" s="16">
        <v>1224.2</v>
      </c>
      <c r="R22" s="238">
        <v>2962</v>
      </c>
      <c r="S22" s="19">
        <f t="shared" si="25"/>
        <v>4186.2</v>
      </c>
      <c r="T22" s="17">
        <v>2258.0645199999999</v>
      </c>
      <c r="U22" s="16">
        <v>3537.8</v>
      </c>
      <c r="V22" s="88">
        <v>3116.1290300000001</v>
      </c>
      <c r="W22" s="91">
        <f t="shared" si="26"/>
        <v>12759.099999999999</v>
      </c>
      <c r="X22" s="89">
        <f t="shared" si="26"/>
        <v>13874.19354</v>
      </c>
      <c r="Y22" s="16">
        <v>0</v>
      </c>
      <c r="Z22" s="17"/>
      <c r="AA22" s="109">
        <f t="shared" si="4"/>
        <v>12759.099999999999</v>
      </c>
      <c r="AB22" s="110">
        <f t="shared" si="5"/>
        <v>13874.19354</v>
      </c>
      <c r="AC22" s="45" t="s">
        <v>57</v>
      </c>
      <c r="AD22" s="46">
        <v>-4</v>
      </c>
      <c r="AE22" s="21" t="s">
        <v>7</v>
      </c>
      <c r="AF22" s="231"/>
      <c r="AH22" s="221">
        <f t="shared" si="7"/>
        <v>6259.3</v>
      </c>
    </row>
    <row r="23" spans="1:34" ht="18" customHeight="1" x14ac:dyDescent="0.25">
      <c r="A23" s="47">
        <f t="shared" si="27"/>
        <v>17</v>
      </c>
      <c r="B23" s="15" t="s">
        <v>14</v>
      </c>
      <c r="C23" s="16">
        <v>3009</v>
      </c>
      <c r="D23" s="17">
        <v>6451.6129000000001</v>
      </c>
      <c r="E23" s="16">
        <v>0</v>
      </c>
      <c r="F23" s="18">
        <v>80.645160000000004</v>
      </c>
      <c r="G23" s="19">
        <v>0</v>
      </c>
      <c r="H23" s="18">
        <v>32.25806</v>
      </c>
      <c r="I23" s="16">
        <v>0</v>
      </c>
      <c r="J23" s="238"/>
      <c r="K23" s="19">
        <f t="shared" si="23"/>
        <v>0</v>
      </c>
      <c r="L23" s="18"/>
      <c r="M23" s="16">
        <v>1842.1</v>
      </c>
      <c r="N23" s="238">
        <v>0</v>
      </c>
      <c r="O23" s="19">
        <f t="shared" si="24"/>
        <v>1842.1</v>
      </c>
      <c r="P23" s="17">
        <v>1935.48387</v>
      </c>
      <c r="Q23" s="16">
        <v>972</v>
      </c>
      <c r="R23" s="238">
        <v>4182</v>
      </c>
      <c r="S23" s="19">
        <f t="shared" si="25"/>
        <v>5154</v>
      </c>
      <c r="T23" s="17">
        <v>2258.0645199999999</v>
      </c>
      <c r="U23" s="16">
        <v>3292.3</v>
      </c>
      <c r="V23" s="88">
        <v>3116.1290300000001</v>
      </c>
      <c r="W23" s="91">
        <f t="shared" si="26"/>
        <v>13297.400000000001</v>
      </c>
      <c r="X23" s="89">
        <f t="shared" si="26"/>
        <v>13874.19354</v>
      </c>
      <c r="Y23" s="16">
        <v>0</v>
      </c>
      <c r="Z23" s="17"/>
      <c r="AA23" s="109">
        <f t="shared" si="4"/>
        <v>13297.400000000001</v>
      </c>
      <c r="AB23" s="110">
        <f t="shared" si="5"/>
        <v>13874.19354</v>
      </c>
      <c r="AC23" s="45" t="s">
        <v>73</v>
      </c>
      <c r="AD23" s="46">
        <v>4</v>
      </c>
      <c r="AE23" s="21" t="s">
        <v>7</v>
      </c>
      <c r="AF23" s="231"/>
      <c r="AH23" s="221">
        <f t="shared" si="7"/>
        <v>5823.1</v>
      </c>
    </row>
    <row r="24" spans="1:34" ht="18.600000000000001" customHeight="1" x14ac:dyDescent="0.25">
      <c r="A24" s="47">
        <f t="shared" si="27"/>
        <v>18</v>
      </c>
      <c r="B24" s="15" t="s">
        <v>15</v>
      </c>
      <c r="C24" s="16">
        <v>4199</v>
      </c>
      <c r="D24" s="17">
        <v>6451.6129000000001</v>
      </c>
      <c r="E24" s="16">
        <v>0</v>
      </c>
      <c r="F24" s="18">
        <v>80.645160000000004</v>
      </c>
      <c r="G24" s="19">
        <v>0</v>
      </c>
      <c r="H24" s="18">
        <v>32.25806</v>
      </c>
      <c r="I24" s="16">
        <v>0</v>
      </c>
      <c r="J24" s="238"/>
      <c r="K24" s="19">
        <f t="shared" si="23"/>
        <v>0</v>
      </c>
      <c r="L24" s="18"/>
      <c r="M24" s="16">
        <v>0</v>
      </c>
      <c r="N24" s="238">
        <v>0</v>
      </c>
      <c r="O24" s="19">
        <f t="shared" si="24"/>
        <v>0</v>
      </c>
      <c r="P24" s="17">
        <v>1935.48387</v>
      </c>
      <c r="Q24" s="16">
        <v>930.5</v>
      </c>
      <c r="R24" s="238">
        <v>5481</v>
      </c>
      <c r="S24" s="19">
        <f t="shared" si="25"/>
        <v>6411.5</v>
      </c>
      <c r="T24" s="17">
        <v>2258.0645199999999</v>
      </c>
      <c r="U24" s="16">
        <v>7615.1</v>
      </c>
      <c r="V24" s="88">
        <v>3116.1290300000001</v>
      </c>
      <c r="W24" s="91">
        <f t="shared" si="26"/>
        <v>18225.599999999999</v>
      </c>
      <c r="X24" s="89">
        <f t="shared" si="26"/>
        <v>13874.19354</v>
      </c>
      <c r="Y24" s="16">
        <v>0</v>
      </c>
      <c r="Z24" s="17"/>
      <c r="AA24" s="109">
        <f t="shared" si="4"/>
        <v>18225.599999999999</v>
      </c>
      <c r="AB24" s="110">
        <f t="shared" si="5"/>
        <v>13874.19354</v>
      </c>
      <c r="AC24" s="45" t="s">
        <v>81</v>
      </c>
      <c r="AD24" s="46">
        <v>6</v>
      </c>
      <c r="AE24" s="21" t="s">
        <v>7</v>
      </c>
      <c r="AF24" s="231"/>
      <c r="AH24" s="221">
        <f t="shared" si="7"/>
        <v>5129.5</v>
      </c>
    </row>
    <row r="25" spans="1:34" ht="18.600000000000001" customHeight="1" x14ac:dyDescent="0.25">
      <c r="A25" s="47">
        <f t="shared" si="27"/>
        <v>19</v>
      </c>
      <c r="B25" s="15" t="s">
        <v>6</v>
      </c>
      <c r="C25" s="16">
        <v>5441.1</v>
      </c>
      <c r="D25" s="17">
        <v>6451.6129000000001</v>
      </c>
      <c r="E25" s="16">
        <v>71</v>
      </c>
      <c r="F25" s="18">
        <v>80.645160000000004</v>
      </c>
      <c r="G25" s="19">
        <v>128.19999999999999</v>
      </c>
      <c r="H25" s="18">
        <v>32.25806</v>
      </c>
      <c r="I25" s="16">
        <v>0</v>
      </c>
      <c r="J25" s="238"/>
      <c r="K25" s="19">
        <f t="shared" si="23"/>
        <v>0</v>
      </c>
      <c r="L25" s="18"/>
      <c r="M25" s="16">
        <v>5362.9</v>
      </c>
      <c r="N25" s="238">
        <v>0</v>
      </c>
      <c r="O25" s="19">
        <f t="shared" si="24"/>
        <v>5362.9</v>
      </c>
      <c r="P25" s="17">
        <v>1935.48387</v>
      </c>
      <c r="Q25" s="16">
        <v>45.2</v>
      </c>
      <c r="R25" s="238">
        <v>3627</v>
      </c>
      <c r="S25" s="19">
        <f t="shared" si="25"/>
        <v>3672.2</v>
      </c>
      <c r="T25" s="17">
        <v>2258.0645199999999</v>
      </c>
      <c r="U25" s="16">
        <v>2413</v>
      </c>
      <c r="V25" s="88">
        <v>3116.1290300000001</v>
      </c>
      <c r="W25" s="91">
        <f>SUM(C25+E25+G25+K25+O25+S25+U25)</f>
        <v>17088.400000000001</v>
      </c>
      <c r="X25" s="89">
        <f t="shared" si="26"/>
        <v>13874.19354</v>
      </c>
      <c r="Y25" s="16">
        <v>0</v>
      </c>
      <c r="Z25" s="17"/>
      <c r="AA25" s="109">
        <f t="shared" si="4"/>
        <v>17088.400000000001</v>
      </c>
      <c r="AB25" s="110">
        <f t="shared" si="5"/>
        <v>13874.19354</v>
      </c>
      <c r="AC25" s="45" t="s">
        <v>58</v>
      </c>
      <c r="AD25" s="46">
        <v>-5</v>
      </c>
      <c r="AE25" s="21" t="s">
        <v>7</v>
      </c>
      <c r="AF25" s="231"/>
      <c r="AH25" s="221">
        <f t="shared" si="7"/>
        <v>11048.400000000001</v>
      </c>
    </row>
    <row r="26" spans="1:34" ht="18.600000000000001" customHeight="1" x14ac:dyDescent="0.25">
      <c r="A26" s="23">
        <f t="shared" si="27"/>
        <v>20</v>
      </c>
      <c r="B26" s="24" t="s">
        <v>8</v>
      </c>
      <c r="C26" s="25">
        <v>9412.1</v>
      </c>
      <c r="D26" s="26">
        <v>6451.6129000000001</v>
      </c>
      <c r="E26" s="25">
        <v>67</v>
      </c>
      <c r="F26" s="27">
        <v>80.645160000000004</v>
      </c>
      <c r="G26" s="28">
        <v>261.60000000000002</v>
      </c>
      <c r="H26" s="27">
        <v>32.25806</v>
      </c>
      <c r="I26" s="16">
        <v>0</v>
      </c>
      <c r="J26" s="239"/>
      <c r="K26" s="28">
        <f t="shared" si="23"/>
        <v>0</v>
      </c>
      <c r="L26" s="27"/>
      <c r="M26" s="25">
        <v>6224.9</v>
      </c>
      <c r="N26" s="239">
        <v>0</v>
      </c>
      <c r="O26" s="28">
        <f t="shared" si="24"/>
        <v>6224.9</v>
      </c>
      <c r="P26" s="26">
        <v>1935.48387</v>
      </c>
      <c r="Q26" s="25">
        <v>3374.7</v>
      </c>
      <c r="R26" s="239">
        <v>0</v>
      </c>
      <c r="S26" s="28">
        <f t="shared" si="25"/>
        <v>3374.7</v>
      </c>
      <c r="T26" s="26">
        <v>2258.0645199999999</v>
      </c>
      <c r="U26" s="25">
        <v>2807.7</v>
      </c>
      <c r="V26" s="26">
        <v>3116.1290300000001</v>
      </c>
      <c r="W26" s="183">
        <f t="shared" si="26"/>
        <v>22148</v>
      </c>
      <c r="X26" s="90">
        <f t="shared" si="26"/>
        <v>13874.19354</v>
      </c>
      <c r="Y26" s="16">
        <v>0</v>
      </c>
      <c r="Z26" s="26"/>
      <c r="AA26" s="92">
        <f t="shared" si="4"/>
        <v>22148</v>
      </c>
      <c r="AB26" s="94">
        <f t="shared" si="5"/>
        <v>13874.19354</v>
      </c>
      <c r="AC26" s="45" t="s">
        <v>58</v>
      </c>
      <c r="AD26" s="46">
        <v>-10</v>
      </c>
      <c r="AE26" s="31" t="s">
        <v>7</v>
      </c>
      <c r="AF26" s="232"/>
      <c r="AH26" s="221">
        <f t="shared" si="7"/>
        <v>19340.3</v>
      </c>
    </row>
    <row r="27" spans="1:34" ht="18.600000000000001" customHeight="1" x14ac:dyDescent="0.25">
      <c r="A27" s="23">
        <f t="shared" si="27"/>
        <v>21</v>
      </c>
      <c r="B27" s="24" t="s">
        <v>9</v>
      </c>
      <c r="C27" s="25">
        <v>9349.2999999999993</v>
      </c>
      <c r="D27" s="26">
        <v>6451.6129000000001</v>
      </c>
      <c r="E27" s="25">
        <v>238.3</v>
      </c>
      <c r="F27" s="27">
        <v>80.645160000000004</v>
      </c>
      <c r="G27" s="28">
        <v>99.8</v>
      </c>
      <c r="H27" s="27">
        <v>32.25806</v>
      </c>
      <c r="I27" s="25">
        <v>0</v>
      </c>
      <c r="J27" s="239"/>
      <c r="K27" s="28">
        <f t="shared" si="23"/>
        <v>0</v>
      </c>
      <c r="L27" s="27"/>
      <c r="M27" s="25">
        <v>7437.1</v>
      </c>
      <c r="N27" s="239">
        <v>0</v>
      </c>
      <c r="O27" s="28">
        <f t="shared" si="24"/>
        <v>7437.1</v>
      </c>
      <c r="P27" s="26">
        <v>1935.48387</v>
      </c>
      <c r="Q27" s="25">
        <v>0</v>
      </c>
      <c r="R27" s="239">
        <v>0</v>
      </c>
      <c r="S27" s="28">
        <f t="shared" si="25"/>
        <v>0</v>
      </c>
      <c r="T27" s="26">
        <v>2258.0645199999999</v>
      </c>
      <c r="U27" s="25">
        <v>1085.5999999999999</v>
      </c>
      <c r="V27" s="26">
        <v>3116.1290300000001</v>
      </c>
      <c r="W27" s="183">
        <f t="shared" si="26"/>
        <v>18210.099999999999</v>
      </c>
      <c r="X27" s="90">
        <f t="shared" si="26"/>
        <v>13874.19354</v>
      </c>
      <c r="Y27" s="16">
        <v>0</v>
      </c>
      <c r="Z27" s="26"/>
      <c r="AA27" s="92">
        <f t="shared" si="4"/>
        <v>18210.099999999999</v>
      </c>
      <c r="AB27" s="94">
        <f t="shared" si="5"/>
        <v>13874.19354</v>
      </c>
      <c r="AC27" s="29" t="s">
        <v>58</v>
      </c>
      <c r="AD27" s="309">
        <v>2</v>
      </c>
      <c r="AE27" s="31" t="s">
        <v>7</v>
      </c>
      <c r="AF27" s="232"/>
      <c r="AH27" s="221">
        <f t="shared" si="7"/>
        <v>17124.5</v>
      </c>
    </row>
    <row r="28" spans="1:34" s="43" customFormat="1" ht="18.600000000000001" customHeight="1" x14ac:dyDescent="0.25">
      <c r="A28" s="33" t="s">
        <v>10</v>
      </c>
      <c r="B28" s="34">
        <f>SUM(B20+1)</f>
        <v>3</v>
      </c>
      <c r="C28" s="35">
        <f t="shared" ref="C28:AA28" si="28">SUM(C21:C27)</f>
        <v>37867.699999999997</v>
      </c>
      <c r="D28" s="36">
        <f>SUM(D21:D27)</f>
        <v>45161.290300000001</v>
      </c>
      <c r="E28" s="35">
        <f t="shared" si="28"/>
        <v>376.3</v>
      </c>
      <c r="F28" s="37">
        <f t="shared" si="28"/>
        <v>564.51612000000011</v>
      </c>
      <c r="G28" s="38">
        <f t="shared" si="28"/>
        <v>489.6</v>
      </c>
      <c r="H28" s="37">
        <f t="shared" ref="H28:O28" si="29">SUM(H21:H27)</f>
        <v>225.80642</v>
      </c>
      <c r="I28" s="35">
        <f t="shared" si="29"/>
        <v>0</v>
      </c>
      <c r="J28" s="38">
        <f t="shared" si="29"/>
        <v>0</v>
      </c>
      <c r="K28" s="82">
        <f t="shared" si="29"/>
        <v>0</v>
      </c>
      <c r="L28" s="37">
        <f t="shared" si="29"/>
        <v>0</v>
      </c>
      <c r="M28" s="35">
        <f t="shared" si="29"/>
        <v>23193</v>
      </c>
      <c r="N28" s="38">
        <f t="shared" si="29"/>
        <v>0</v>
      </c>
      <c r="O28" s="82">
        <f t="shared" si="29"/>
        <v>23193</v>
      </c>
      <c r="P28" s="36">
        <f t="shared" ref="P28" si="30">SUM(P21:P27)</f>
        <v>13548.38709</v>
      </c>
      <c r="Q28" s="35">
        <f>SUM(Q21:Q27)</f>
        <v>7661.5</v>
      </c>
      <c r="R28" s="38">
        <f>SUM(R21:R27)</f>
        <v>20483.8</v>
      </c>
      <c r="S28" s="82">
        <f>SUM(S21:S27)</f>
        <v>28145.300000000003</v>
      </c>
      <c r="T28" s="36">
        <f t="shared" ref="T28" si="31">SUM(T21:T27)</f>
        <v>15806.451639999999</v>
      </c>
      <c r="U28" s="35">
        <f t="shared" ref="U28:Z28" si="32">SUM(U21:U27)</f>
        <v>24005.100000000002</v>
      </c>
      <c r="V28" s="36">
        <f t="shared" si="32"/>
        <v>21812.90321</v>
      </c>
      <c r="W28" s="35">
        <f t="shared" si="32"/>
        <v>114077</v>
      </c>
      <c r="X28" s="36">
        <f t="shared" si="32"/>
        <v>97119.354780000023</v>
      </c>
      <c r="Y28" s="35">
        <f t="shared" si="32"/>
        <v>0</v>
      </c>
      <c r="Z28" s="36">
        <f t="shared" si="32"/>
        <v>0</v>
      </c>
      <c r="AA28" s="35">
        <f t="shared" si="28"/>
        <v>114077</v>
      </c>
      <c r="AB28" s="36">
        <f>SUM(AB21:AB27)</f>
        <v>97119.354780000023</v>
      </c>
      <c r="AC28" s="39" t="s">
        <v>11</v>
      </c>
      <c r="AD28" s="40">
        <f>SUM(AD21:AD27)/7</f>
        <v>-1.2857142857142858</v>
      </c>
      <c r="AE28" s="41" t="s">
        <v>7</v>
      </c>
      <c r="AF28" s="42"/>
      <c r="AH28" s="221"/>
    </row>
    <row r="29" spans="1:34" ht="18.600000000000001" customHeight="1" x14ac:dyDescent="0.25">
      <c r="A29" s="44">
        <f>SUM(A27+1)</f>
        <v>22</v>
      </c>
      <c r="B29" s="15" t="s">
        <v>12</v>
      </c>
      <c r="C29" s="123">
        <v>4548.3</v>
      </c>
      <c r="D29" s="17">
        <v>6451.6129000000001</v>
      </c>
      <c r="E29" s="16">
        <v>0</v>
      </c>
      <c r="F29" s="18">
        <v>80.645160000000004</v>
      </c>
      <c r="G29" s="19">
        <v>0</v>
      </c>
      <c r="H29" s="18">
        <v>32.25806</v>
      </c>
      <c r="I29" s="16">
        <v>0</v>
      </c>
      <c r="J29" s="238"/>
      <c r="K29" s="19">
        <f t="shared" ref="K29:K35" si="33">I29+J29</f>
        <v>0</v>
      </c>
      <c r="L29" s="18"/>
      <c r="M29" s="16">
        <v>0</v>
      </c>
      <c r="N29" s="238">
        <v>0</v>
      </c>
      <c r="O29" s="19">
        <f t="shared" ref="O29:O35" si="34">M29+N29</f>
        <v>0</v>
      </c>
      <c r="P29" s="17">
        <v>1935.48387</v>
      </c>
      <c r="Q29" s="16">
        <v>152.30000000000001</v>
      </c>
      <c r="R29" s="238">
        <v>1283</v>
      </c>
      <c r="S29" s="19">
        <f t="shared" ref="S29:S35" si="35">Q29+R29</f>
        <v>1435.3</v>
      </c>
      <c r="T29" s="17">
        <v>2258.0645199999999</v>
      </c>
      <c r="U29" s="16">
        <v>4028.1</v>
      </c>
      <c r="V29" s="88">
        <v>3116.1290300000001</v>
      </c>
      <c r="W29" s="91">
        <f t="shared" ref="W29:X35" si="36">SUM(C29+E29+G29+K29+O29+S29+U29)</f>
        <v>10011.700000000001</v>
      </c>
      <c r="X29" s="89">
        <f t="shared" si="36"/>
        <v>13874.19354</v>
      </c>
      <c r="Y29" s="16">
        <v>0</v>
      </c>
      <c r="Z29" s="17"/>
      <c r="AA29" s="109">
        <f t="shared" si="4"/>
        <v>10011.700000000001</v>
      </c>
      <c r="AB29" s="110">
        <f t="shared" si="5"/>
        <v>13874.19354</v>
      </c>
      <c r="AC29" s="45" t="s">
        <v>81</v>
      </c>
      <c r="AD29" s="46">
        <v>5</v>
      </c>
      <c r="AE29" s="21" t="s">
        <v>7</v>
      </c>
      <c r="AF29" s="231"/>
      <c r="AH29" s="221">
        <f t="shared" si="7"/>
        <v>4700.6000000000004</v>
      </c>
    </row>
    <row r="30" spans="1:34" ht="18.600000000000001" customHeight="1" x14ac:dyDescent="0.25">
      <c r="A30" s="47">
        <f t="shared" ref="A30:A35" si="37">SUM(A29+1)</f>
        <v>23</v>
      </c>
      <c r="B30" s="15" t="s">
        <v>13</v>
      </c>
      <c r="C30" s="123">
        <v>5567.5</v>
      </c>
      <c r="D30" s="17">
        <v>6451.6129000000001</v>
      </c>
      <c r="E30" s="16">
        <v>0</v>
      </c>
      <c r="F30" s="18">
        <v>80.645160000000004</v>
      </c>
      <c r="G30" s="19">
        <v>0</v>
      </c>
      <c r="H30" s="18">
        <v>32.25806</v>
      </c>
      <c r="I30" s="16">
        <v>0</v>
      </c>
      <c r="J30" s="238"/>
      <c r="K30" s="19">
        <f t="shared" si="33"/>
        <v>0</v>
      </c>
      <c r="L30" s="18"/>
      <c r="M30" s="16">
        <v>1329.1</v>
      </c>
      <c r="N30" s="238">
        <v>0</v>
      </c>
      <c r="O30" s="19">
        <f t="shared" si="34"/>
        <v>1329.1</v>
      </c>
      <c r="P30" s="17">
        <v>1935.48387</v>
      </c>
      <c r="Q30" s="16">
        <v>1339.9</v>
      </c>
      <c r="R30" s="238">
        <v>1277.5</v>
      </c>
      <c r="S30" s="19">
        <f t="shared" si="35"/>
        <v>2617.4</v>
      </c>
      <c r="T30" s="17">
        <v>2258.0645199999999</v>
      </c>
      <c r="U30" s="16">
        <v>5306.9</v>
      </c>
      <c r="V30" s="88">
        <v>3116.1290300000001</v>
      </c>
      <c r="W30" s="91">
        <f t="shared" si="36"/>
        <v>14820.9</v>
      </c>
      <c r="X30" s="89">
        <f t="shared" si="36"/>
        <v>13874.19354</v>
      </c>
      <c r="Y30" s="16">
        <v>0</v>
      </c>
      <c r="Z30" s="17"/>
      <c r="AA30" s="109">
        <f t="shared" si="4"/>
        <v>14820.9</v>
      </c>
      <c r="AB30" s="110">
        <f t="shared" si="5"/>
        <v>13874.19354</v>
      </c>
      <c r="AC30" s="45" t="s">
        <v>81</v>
      </c>
      <c r="AD30" s="46">
        <v>10</v>
      </c>
      <c r="AE30" s="21" t="s">
        <v>7</v>
      </c>
      <c r="AF30" s="231"/>
      <c r="AH30" s="221">
        <f t="shared" si="7"/>
        <v>8236.5</v>
      </c>
    </row>
    <row r="31" spans="1:34" ht="18.600000000000001" customHeight="1" x14ac:dyDescent="0.25">
      <c r="A31" s="47">
        <f t="shared" si="37"/>
        <v>24</v>
      </c>
      <c r="B31" s="15" t="s">
        <v>14</v>
      </c>
      <c r="C31" s="16">
        <v>4937.8999999999996</v>
      </c>
      <c r="D31" s="17">
        <v>6451.6129000000001</v>
      </c>
      <c r="E31" s="16">
        <v>0</v>
      </c>
      <c r="F31" s="18">
        <v>80.645160000000004</v>
      </c>
      <c r="G31" s="19">
        <v>0</v>
      </c>
      <c r="H31" s="18">
        <v>32.25806</v>
      </c>
      <c r="I31" s="16">
        <v>0</v>
      </c>
      <c r="J31" s="238"/>
      <c r="K31" s="19">
        <f t="shared" si="33"/>
        <v>0</v>
      </c>
      <c r="L31" s="18"/>
      <c r="M31" s="16">
        <v>0</v>
      </c>
      <c r="N31" s="238">
        <v>0</v>
      </c>
      <c r="O31" s="19">
        <f t="shared" si="34"/>
        <v>0</v>
      </c>
      <c r="P31" s="17">
        <v>1935.48387</v>
      </c>
      <c r="Q31" s="16">
        <v>596.20000000000005</v>
      </c>
      <c r="R31" s="238">
        <v>6604.6</v>
      </c>
      <c r="S31" s="19">
        <f t="shared" si="35"/>
        <v>7200.8</v>
      </c>
      <c r="T31" s="17">
        <v>2258.0645199999999</v>
      </c>
      <c r="U31" s="16">
        <v>5428.4</v>
      </c>
      <c r="V31" s="88">
        <v>3116.1290300000001</v>
      </c>
      <c r="W31" s="91">
        <f t="shared" si="36"/>
        <v>17567.099999999999</v>
      </c>
      <c r="X31" s="89">
        <f t="shared" si="36"/>
        <v>13874.19354</v>
      </c>
      <c r="Y31" s="16">
        <v>0</v>
      </c>
      <c r="Z31" s="17"/>
      <c r="AA31" s="109">
        <f t="shared" si="4"/>
        <v>17567.099999999999</v>
      </c>
      <c r="AB31" s="110">
        <f t="shared" si="5"/>
        <v>13874.19354</v>
      </c>
      <c r="AC31" s="45" t="s">
        <v>105</v>
      </c>
      <c r="AD31" s="46">
        <v>13</v>
      </c>
      <c r="AE31" s="21" t="s">
        <v>7</v>
      </c>
      <c r="AF31" s="231"/>
      <c r="AH31" s="221">
        <f t="shared" si="7"/>
        <v>5534.0999999999995</v>
      </c>
    </row>
    <row r="32" spans="1:34" ht="18.600000000000001" customHeight="1" x14ac:dyDescent="0.25">
      <c r="A32" s="47">
        <f t="shared" si="37"/>
        <v>25</v>
      </c>
      <c r="B32" s="15" t="s">
        <v>15</v>
      </c>
      <c r="C32" s="16">
        <v>5924.2</v>
      </c>
      <c r="D32" s="17">
        <v>6451.6129000000001</v>
      </c>
      <c r="E32" s="16">
        <v>0</v>
      </c>
      <c r="F32" s="18">
        <v>80.645160000000004</v>
      </c>
      <c r="G32" s="19">
        <v>0</v>
      </c>
      <c r="H32" s="18">
        <v>32.25806</v>
      </c>
      <c r="I32" s="16">
        <v>0</v>
      </c>
      <c r="J32" s="238"/>
      <c r="K32" s="19">
        <f t="shared" si="33"/>
        <v>0</v>
      </c>
      <c r="L32" s="18"/>
      <c r="M32" s="16">
        <v>3547.7</v>
      </c>
      <c r="N32" s="238">
        <v>0</v>
      </c>
      <c r="O32" s="19">
        <f t="shared" si="34"/>
        <v>3547.7</v>
      </c>
      <c r="P32" s="17">
        <v>1935.48387</v>
      </c>
      <c r="Q32" s="16">
        <v>1712.1</v>
      </c>
      <c r="R32" s="238">
        <v>5577</v>
      </c>
      <c r="S32" s="19">
        <f t="shared" si="35"/>
        <v>7289.1</v>
      </c>
      <c r="T32" s="17">
        <v>2258.0645199999999</v>
      </c>
      <c r="U32" s="16">
        <v>4583.8999999999996</v>
      </c>
      <c r="V32" s="88">
        <v>3116.1290300000001</v>
      </c>
      <c r="W32" s="91">
        <f t="shared" si="36"/>
        <v>21344.9</v>
      </c>
      <c r="X32" s="89">
        <f t="shared" si="36"/>
        <v>13874.19354</v>
      </c>
      <c r="Y32" s="16">
        <v>0</v>
      </c>
      <c r="Z32" s="17"/>
      <c r="AA32" s="109">
        <f t="shared" si="4"/>
        <v>21344.9</v>
      </c>
      <c r="AB32" s="110">
        <f t="shared" si="5"/>
        <v>13874.19354</v>
      </c>
      <c r="AC32" s="45" t="s">
        <v>81</v>
      </c>
      <c r="AD32" s="46">
        <v>10</v>
      </c>
      <c r="AE32" s="21" t="s">
        <v>7</v>
      </c>
      <c r="AF32" s="231"/>
      <c r="AH32" s="221">
        <f t="shared" si="7"/>
        <v>11184</v>
      </c>
    </row>
    <row r="33" spans="1:34" ht="18.600000000000001" customHeight="1" x14ac:dyDescent="0.25">
      <c r="A33" s="47">
        <f t="shared" si="37"/>
        <v>26</v>
      </c>
      <c r="B33" s="52" t="s">
        <v>6</v>
      </c>
      <c r="C33" s="16">
        <v>8017.6</v>
      </c>
      <c r="D33" s="17">
        <v>6451.6129000000001</v>
      </c>
      <c r="E33" s="16">
        <v>0</v>
      </c>
      <c r="F33" s="18">
        <v>80.645160000000004</v>
      </c>
      <c r="G33" s="19">
        <v>0</v>
      </c>
      <c r="H33" s="18">
        <v>32.25806</v>
      </c>
      <c r="I33" s="16">
        <v>0</v>
      </c>
      <c r="J33" s="238"/>
      <c r="K33" s="19">
        <f t="shared" si="33"/>
        <v>0</v>
      </c>
      <c r="L33" s="18"/>
      <c r="M33" s="16">
        <v>8158.8</v>
      </c>
      <c r="N33" s="238">
        <v>0</v>
      </c>
      <c r="O33" s="19">
        <f t="shared" si="34"/>
        <v>8158.8</v>
      </c>
      <c r="P33" s="17">
        <v>1935.48387</v>
      </c>
      <c r="Q33" s="16">
        <v>18</v>
      </c>
      <c r="R33" s="238">
        <v>888</v>
      </c>
      <c r="S33" s="19">
        <f t="shared" si="35"/>
        <v>906</v>
      </c>
      <c r="T33" s="17">
        <v>2258.0645199999999</v>
      </c>
      <c r="U33" s="16">
        <v>4716.3</v>
      </c>
      <c r="V33" s="88">
        <v>3116.1290300000001</v>
      </c>
      <c r="W33" s="91">
        <f t="shared" si="36"/>
        <v>21798.7</v>
      </c>
      <c r="X33" s="89">
        <f t="shared" si="36"/>
        <v>13874.19354</v>
      </c>
      <c r="Y33" s="16">
        <v>0</v>
      </c>
      <c r="Z33" s="17"/>
      <c r="AA33" s="109">
        <f t="shared" si="4"/>
        <v>21798.7</v>
      </c>
      <c r="AB33" s="110">
        <f t="shared" si="5"/>
        <v>13874.19354</v>
      </c>
      <c r="AC33" s="45" t="s">
        <v>106</v>
      </c>
      <c r="AD33" s="46">
        <v>10</v>
      </c>
      <c r="AE33" s="21" t="s">
        <v>7</v>
      </c>
      <c r="AF33" s="231"/>
      <c r="AH33" s="221">
        <f t="shared" si="7"/>
        <v>16194.400000000001</v>
      </c>
    </row>
    <row r="34" spans="1:34" ht="18.600000000000001" customHeight="1" x14ac:dyDescent="0.25">
      <c r="A34" s="23">
        <f t="shared" si="37"/>
        <v>27</v>
      </c>
      <c r="B34" s="24" t="s">
        <v>8</v>
      </c>
      <c r="C34" s="25">
        <v>13013.6</v>
      </c>
      <c r="D34" s="26">
        <v>6451.6129000000001</v>
      </c>
      <c r="E34" s="25">
        <v>543.9</v>
      </c>
      <c r="F34" s="27">
        <v>80.645160000000004</v>
      </c>
      <c r="G34" s="25">
        <v>290.8</v>
      </c>
      <c r="H34" s="27">
        <v>32.25806</v>
      </c>
      <c r="I34" s="16">
        <v>0</v>
      </c>
      <c r="J34" s="239"/>
      <c r="K34" s="28">
        <f t="shared" si="33"/>
        <v>0</v>
      </c>
      <c r="L34" s="27"/>
      <c r="M34" s="25">
        <v>0</v>
      </c>
      <c r="N34" s="239">
        <v>0</v>
      </c>
      <c r="O34" s="28">
        <f t="shared" si="34"/>
        <v>0</v>
      </c>
      <c r="P34" s="26">
        <v>1935.48387</v>
      </c>
      <c r="Q34" s="25">
        <v>25.5</v>
      </c>
      <c r="R34" s="239">
        <v>0</v>
      </c>
      <c r="S34" s="28">
        <f t="shared" si="35"/>
        <v>25.5</v>
      </c>
      <c r="T34" s="26">
        <v>2258.0645199999999</v>
      </c>
      <c r="U34" s="25">
        <v>8339.1</v>
      </c>
      <c r="V34" s="26">
        <v>3116.1290300000001</v>
      </c>
      <c r="W34" s="183">
        <f t="shared" si="36"/>
        <v>22212.9</v>
      </c>
      <c r="X34" s="90">
        <f t="shared" si="36"/>
        <v>13874.19354</v>
      </c>
      <c r="Y34" s="16">
        <v>0</v>
      </c>
      <c r="Z34" s="26"/>
      <c r="AA34" s="92">
        <f t="shared" si="4"/>
        <v>22212.9</v>
      </c>
      <c r="AB34" s="94">
        <f t="shared" si="5"/>
        <v>13874.19354</v>
      </c>
      <c r="AC34" s="29" t="s">
        <v>107</v>
      </c>
      <c r="AD34" s="309">
        <v>7</v>
      </c>
      <c r="AE34" s="31" t="s">
        <v>7</v>
      </c>
      <c r="AF34" s="232"/>
      <c r="AH34" s="221">
        <f t="shared" si="7"/>
        <v>13873.8</v>
      </c>
    </row>
    <row r="35" spans="1:34" ht="18.600000000000001" customHeight="1" x14ac:dyDescent="0.25">
      <c r="A35" s="23">
        <f t="shared" si="37"/>
        <v>28</v>
      </c>
      <c r="B35" s="53" t="s">
        <v>9</v>
      </c>
      <c r="C35" s="25">
        <v>7672.1</v>
      </c>
      <c r="D35" s="26">
        <v>6451.6129000000001</v>
      </c>
      <c r="E35" s="25">
        <v>757.5</v>
      </c>
      <c r="F35" s="27">
        <v>80.645160000000004</v>
      </c>
      <c r="G35" s="28">
        <v>522.6</v>
      </c>
      <c r="H35" s="27">
        <v>32.25806</v>
      </c>
      <c r="I35" s="25">
        <v>0</v>
      </c>
      <c r="J35" s="239"/>
      <c r="K35" s="28">
        <f t="shared" si="33"/>
        <v>0</v>
      </c>
      <c r="L35" s="27"/>
      <c r="M35" s="25">
        <v>1350</v>
      </c>
      <c r="N35" s="239">
        <v>0</v>
      </c>
      <c r="O35" s="28">
        <f t="shared" si="34"/>
        <v>1350</v>
      </c>
      <c r="P35" s="26">
        <v>1935.48387</v>
      </c>
      <c r="Q35" s="25">
        <v>0</v>
      </c>
      <c r="R35" s="239">
        <v>0</v>
      </c>
      <c r="S35" s="28">
        <f t="shared" si="35"/>
        <v>0</v>
      </c>
      <c r="T35" s="26">
        <v>2258.0645199999999</v>
      </c>
      <c r="U35" s="25">
        <v>2884.8</v>
      </c>
      <c r="V35" s="26">
        <v>3116.1290300000001</v>
      </c>
      <c r="W35" s="183">
        <f t="shared" si="36"/>
        <v>13187</v>
      </c>
      <c r="X35" s="90">
        <f t="shared" si="36"/>
        <v>13874.19354</v>
      </c>
      <c r="Y35" s="16">
        <v>0</v>
      </c>
      <c r="Z35" s="26"/>
      <c r="AA35" s="92">
        <f t="shared" si="4"/>
        <v>13187</v>
      </c>
      <c r="AB35" s="94">
        <f t="shared" si="5"/>
        <v>13874.19354</v>
      </c>
      <c r="AC35" s="29" t="s">
        <v>109</v>
      </c>
      <c r="AD35" s="309">
        <v>10</v>
      </c>
      <c r="AE35" s="31" t="s">
        <v>7</v>
      </c>
      <c r="AF35" s="232"/>
      <c r="AH35" s="221">
        <f t="shared" si="7"/>
        <v>10302.200000000001</v>
      </c>
    </row>
    <row r="36" spans="1:34" s="43" customFormat="1" ht="18.600000000000001" customHeight="1" x14ac:dyDescent="0.25">
      <c r="A36" s="33" t="s">
        <v>10</v>
      </c>
      <c r="B36" s="34">
        <f>SUM(B28+1)</f>
        <v>4</v>
      </c>
      <c r="C36" s="35">
        <f t="shared" ref="C36:AB36" si="38">SUM(C29:C35)</f>
        <v>49681.2</v>
      </c>
      <c r="D36" s="36">
        <f t="shared" si="38"/>
        <v>45161.290300000001</v>
      </c>
      <c r="E36" s="35">
        <f t="shared" si="38"/>
        <v>1301.4000000000001</v>
      </c>
      <c r="F36" s="37">
        <f t="shared" si="38"/>
        <v>564.51612000000011</v>
      </c>
      <c r="G36" s="38">
        <f t="shared" si="38"/>
        <v>813.40000000000009</v>
      </c>
      <c r="H36" s="37">
        <f t="shared" si="38"/>
        <v>225.80642</v>
      </c>
      <c r="I36" s="35">
        <f>SUM(I29:I35)</f>
        <v>0</v>
      </c>
      <c r="J36" s="35">
        <f>SUM(J29:J35)</f>
        <v>0</v>
      </c>
      <c r="K36" s="82">
        <f>SUM(K29:K35)</f>
        <v>0</v>
      </c>
      <c r="L36" s="37">
        <f t="shared" si="38"/>
        <v>0</v>
      </c>
      <c r="M36" s="35">
        <f>SUM(M29:M35)</f>
        <v>14385.599999999999</v>
      </c>
      <c r="N36" s="35">
        <f>SUM(N29:N35)</f>
        <v>0</v>
      </c>
      <c r="O36" s="82">
        <f>SUM(O29:O35)</f>
        <v>14385.599999999999</v>
      </c>
      <c r="P36" s="35">
        <f t="shared" ref="P36" si="39">SUM(P29:P35)</f>
        <v>13548.38709</v>
      </c>
      <c r="Q36" s="35">
        <f>SUM(Q29:Q35)</f>
        <v>3844</v>
      </c>
      <c r="R36" s="35">
        <f>SUM(R29:R35)</f>
        <v>15630.1</v>
      </c>
      <c r="S36" s="82">
        <f>SUM(S29:S35)</f>
        <v>19474.099999999999</v>
      </c>
      <c r="T36" s="35">
        <f t="shared" ref="T36" si="40">SUM(T29:T35)</f>
        <v>15806.451639999999</v>
      </c>
      <c r="U36" s="35">
        <f t="shared" si="38"/>
        <v>35287.5</v>
      </c>
      <c r="V36" s="36">
        <f t="shared" si="38"/>
        <v>21812.90321</v>
      </c>
      <c r="W36" s="35">
        <f>SUM(W29:W35)</f>
        <v>120943.20000000001</v>
      </c>
      <c r="X36" s="36">
        <f t="shared" si="38"/>
        <v>97119.354780000023</v>
      </c>
      <c r="Y36" s="35">
        <f t="shared" si="38"/>
        <v>0</v>
      </c>
      <c r="Z36" s="36">
        <f t="shared" si="38"/>
        <v>0</v>
      </c>
      <c r="AA36" s="35">
        <f t="shared" si="38"/>
        <v>120943.20000000001</v>
      </c>
      <c r="AB36" s="36">
        <f t="shared" si="38"/>
        <v>97119.354780000023</v>
      </c>
      <c r="AC36" s="39" t="s">
        <v>11</v>
      </c>
      <c r="AD36" s="40">
        <f>SUM(AD29:AD35)/7</f>
        <v>9.2857142857142865</v>
      </c>
      <c r="AE36" s="41" t="s">
        <v>7</v>
      </c>
      <c r="AF36" s="42"/>
      <c r="AH36" s="221"/>
    </row>
    <row r="37" spans="1:34" s="43" customFormat="1" ht="18.600000000000001" customHeight="1" x14ac:dyDescent="0.25">
      <c r="A37" s="44">
        <v>29</v>
      </c>
      <c r="B37" s="15" t="s">
        <v>12</v>
      </c>
      <c r="C37" s="16">
        <v>6192.5</v>
      </c>
      <c r="D37" s="17">
        <v>6451.6129000000001</v>
      </c>
      <c r="E37" s="16">
        <v>140.4</v>
      </c>
      <c r="F37" s="18">
        <v>80.645160000000004</v>
      </c>
      <c r="G37" s="19">
        <v>164.6</v>
      </c>
      <c r="H37" s="18">
        <v>32.25806</v>
      </c>
      <c r="I37" s="285">
        <v>0</v>
      </c>
      <c r="J37" s="285"/>
      <c r="K37" s="286">
        <f t="shared" ref="K37:K39" si="41">I37+J37</f>
        <v>0</v>
      </c>
      <c r="L37" s="18"/>
      <c r="M37" s="285">
        <v>0</v>
      </c>
      <c r="N37" s="285">
        <v>0</v>
      </c>
      <c r="O37" s="286">
        <f t="shared" ref="O37:O39" si="42">M37+N37</f>
        <v>0</v>
      </c>
      <c r="P37" s="274">
        <v>1935.48387</v>
      </c>
      <c r="Q37" s="285">
        <v>1432.8</v>
      </c>
      <c r="R37" s="285">
        <v>3641</v>
      </c>
      <c r="S37" s="286">
        <f t="shared" ref="S37:S39" si="43">Q37+R37</f>
        <v>5073.8</v>
      </c>
      <c r="T37" s="274">
        <v>2258.0645199999999</v>
      </c>
      <c r="U37" s="16">
        <v>4459.5</v>
      </c>
      <c r="V37" s="88">
        <v>3116.1290300000001</v>
      </c>
      <c r="W37" s="91">
        <f t="shared" ref="W37:X39" si="44">SUM(C37+E37+G37+K37+O37+S37+U37)</f>
        <v>16030.8</v>
      </c>
      <c r="X37" s="89">
        <f t="shared" si="44"/>
        <v>13874.19354</v>
      </c>
      <c r="Y37" s="16">
        <v>0</v>
      </c>
      <c r="Z37" s="17"/>
      <c r="AA37" s="109">
        <f t="shared" ref="AA37:AB39" si="45">SUM(W37+Y37)</f>
        <v>16030.8</v>
      </c>
      <c r="AB37" s="110">
        <f t="shared" si="45"/>
        <v>13874.19354</v>
      </c>
      <c r="AC37" s="45" t="s">
        <v>109</v>
      </c>
      <c r="AD37" s="46">
        <v>8</v>
      </c>
      <c r="AE37" s="21" t="s">
        <v>7</v>
      </c>
      <c r="AF37" s="231"/>
      <c r="AH37" s="221">
        <f t="shared" si="7"/>
        <v>7930.3</v>
      </c>
    </row>
    <row r="38" spans="1:34" s="43" customFormat="1" ht="18.600000000000001" customHeight="1" x14ac:dyDescent="0.3">
      <c r="A38" s="44">
        <v>30</v>
      </c>
      <c r="B38" s="15" t="s">
        <v>13</v>
      </c>
      <c r="C38" s="16">
        <v>5645.1</v>
      </c>
      <c r="D38" s="17">
        <v>6451.6129000000001</v>
      </c>
      <c r="E38" s="16">
        <v>20</v>
      </c>
      <c r="F38" s="18">
        <v>80.645160000000004</v>
      </c>
      <c r="G38" s="19">
        <v>115.7</v>
      </c>
      <c r="H38" s="18">
        <v>32.25806</v>
      </c>
      <c r="I38" s="285">
        <v>0</v>
      </c>
      <c r="J38" s="285"/>
      <c r="K38" s="286">
        <f t="shared" si="41"/>
        <v>0</v>
      </c>
      <c r="L38" s="18"/>
      <c r="M38" s="285">
        <v>50</v>
      </c>
      <c r="N38" s="285">
        <v>0</v>
      </c>
      <c r="O38" s="286">
        <f t="shared" si="42"/>
        <v>50</v>
      </c>
      <c r="P38" s="274">
        <v>1935.48387</v>
      </c>
      <c r="Q38" s="285">
        <v>143.1</v>
      </c>
      <c r="R38" s="285">
        <v>3180</v>
      </c>
      <c r="S38" s="286">
        <f t="shared" si="43"/>
        <v>3323.1</v>
      </c>
      <c r="T38" s="274">
        <v>2258.0645199999999</v>
      </c>
      <c r="U38" s="418">
        <v>5839.2</v>
      </c>
      <c r="V38" s="88">
        <v>3116.1290300000001</v>
      </c>
      <c r="W38" s="91">
        <f t="shared" si="44"/>
        <v>14993.099999999999</v>
      </c>
      <c r="X38" s="89">
        <f t="shared" si="44"/>
        <v>13874.19354</v>
      </c>
      <c r="Y38" s="16">
        <v>0</v>
      </c>
      <c r="Z38" s="17"/>
      <c r="AA38" s="109">
        <f t="shared" si="45"/>
        <v>14993.099999999999</v>
      </c>
      <c r="AB38" s="110">
        <f t="shared" si="45"/>
        <v>13874.19354</v>
      </c>
      <c r="AC38" s="45" t="s">
        <v>109</v>
      </c>
      <c r="AD38" s="46">
        <v>7</v>
      </c>
      <c r="AE38" s="21" t="s">
        <v>7</v>
      </c>
      <c r="AF38" s="231"/>
      <c r="AH38" s="221">
        <f t="shared" si="7"/>
        <v>5973.9000000000005</v>
      </c>
    </row>
    <row r="39" spans="1:34" ht="18.600000000000001" customHeight="1" x14ac:dyDescent="0.25">
      <c r="A39" s="44">
        <v>31</v>
      </c>
      <c r="B39" s="15" t="s">
        <v>14</v>
      </c>
      <c r="C39" s="16">
        <v>5460.4</v>
      </c>
      <c r="D39" s="17">
        <v>6451.6129000000001</v>
      </c>
      <c r="E39" s="16">
        <v>120.9</v>
      </c>
      <c r="F39" s="18">
        <v>80.645160000000004</v>
      </c>
      <c r="G39" s="19">
        <v>270.39999999999998</v>
      </c>
      <c r="H39" s="18">
        <v>32.25806</v>
      </c>
      <c r="I39" s="285">
        <v>0</v>
      </c>
      <c r="J39" s="285"/>
      <c r="K39" s="286">
        <f t="shared" si="41"/>
        <v>0</v>
      </c>
      <c r="L39" s="18"/>
      <c r="M39" s="285">
        <v>1077.4000000000001</v>
      </c>
      <c r="N39" s="285">
        <v>0</v>
      </c>
      <c r="O39" s="286">
        <f t="shared" si="42"/>
        <v>1077.4000000000001</v>
      </c>
      <c r="P39" s="274">
        <v>1935.48387</v>
      </c>
      <c r="Q39" s="285">
        <v>847.7</v>
      </c>
      <c r="R39" s="285">
        <v>3082</v>
      </c>
      <c r="S39" s="286">
        <f t="shared" si="43"/>
        <v>3929.7</v>
      </c>
      <c r="T39" s="274">
        <v>2258.0645199999999</v>
      </c>
      <c r="U39" s="16">
        <v>2143.3000000000002</v>
      </c>
      <c r="V39" s="88">
        <v>3116.1290300000001</v>
      </c>
      <c r="W39" s="91">
        <f t="shared" si="44"/>
        <v>13002.099999999999</v>
      </c>
      <c r="X39" s="89">
        <f t="shared" si="44"/>
        <v>13874.19354</v>
      </c>
      <c r="Y39" s="16">
        <v>0</v>
      </c>
      <c r="Z39" s="17"/>
      <c r="AA39" s="109">
        <f t="shared" si="45"/>
        <v>13002.099999999999</v>
      </c>
      <c r="AB39" s="110">
        <f t="shared" si="45"/>
        <v>13874.19354</v>
      </c>
      <c r="AC39" s="45" t="s">
        <v>62</v>
      </c>
      <c r="AD39" s="46">
        <v>8</v>
      </c>
      <c r="AE39" s="21" t="s">
        <v>7</v>
      </c>
      <c r="AF39" s="231"/>
      <c r="AH39" s="221">
        <f t="shared" si="7"/>
        <v>7776.7999999999984</v>
      </c>
    </row>
    <row r="40" spans="1:34" s="43" customFormat="1" ht="18.600000000000001" customHeight="1" thickBot="1" x14ac:dyDescent="0.3">
      <c r="A40" s="33" t="s">
        <v>10</v>
      </c>
      <c r="B40" s="34">
        <v>5</v>
      </c>
      <c r="C40" s="54">
        <f t="shared" ref="C40:AB40" si="46">SUM(C37:C39)</f>
        <v>17298</v>
      </c>
      <c r="D40" s="54">
        <f>SUM(D37:D39)</f>
        <v>19354.8387</v>
      </c>
      <c r="E40" s="54">
        <f t="shared" si="46"/>
        <v>281.3</v>
      </c>
      <c r="F40" s="54">
        <f t="shared" si="46"/>
        <v>241.93548000000001</v>
      </c>
      <c r="G40" s="54">
        <f t="shared" si="46"/>
        <v>550.70000000000005</v>
      </c>
      <c r="H40" s="54">
        <f>SUM(H37:H39)</f>
        <v>96.774180000000001</v>
      </c>
      <c r="I40" s="272">
        <f>SUM(I37:I39)</f>
        <v>0</v>
      </c>
      <c r="J40" s="272">
        <f>SUM(J37:J39)</f>
        <v>0</v>
      </c>
      <c r="K40" s="273">
        <f>SUM(K37:K39)</f>
        <v>0</v>
      </c>
      <c r="L40" s="54">
        <f t="shared" si="46"/>
        <v>0</v>
      </c>
      <c r="M40" s="272">
        <f>SUM(M37:M39)</f>
        <v>1127.4000000000001</v>
      </c>
      <c r="N40" s="272">
        <f>SUM(N37:N39)</f>
        <v>0</v>
      </c>
      <c r="O40" s="273">
        <f>SUM(O37:O39)</f>
        <v>1127.4000000000001</v>
      </c>
      <c r="P40" s="273">
        <f t="shared" ref="P40" si="47">SUM(P37:P39)</f>
        <v>5806.4516100000001</v>
      </c>
      <c r="Q40" s="272">
        <f>SUM(Q37:Q39)</f>
        <v>2423.6</v>
      </c>
      <c r="R40" s="272">
        <f>SUM(R37:R39)</f>
        <v>9903</v>
      </c>
      <c r="S40" s="273">
        <f>SUM(S37:S39)</f>
        <v>12326.599999999999</v>
      </c>
      <c r="T40" s="273">
        <f t="shared" si="46"/>
        <v>6774.1935599999997</v>
      </c>
      <c r="U40" s="403">
        <f>SUM(U37:U39)</f>
        <v>12442</v>
      </c>
      <c r="V40" s="118">
        <f t="shared" si="46"/>
        <v>9348.3870900000002</v>
      </c>
      <c r="W40" s="54">
        <f>SUM(W37:W39)</f>
        <v>44026</v>
      </c>
      <c r="X40" s="54">
        <f t="shared" si="46"/>
        <v>41622.580620000001</v>
      </c>
      <c r="Y40" s="54">
        <f t="shared" si="46"/>
        <v>0</v>
      </c>
      <c r="Z40" s="54">
        <f t="shared" si="46"/>
        <v>0</v>
      </c>
      <c r="AA40" s="54">
        <f t="shared" si="46"/>
        <v>44026</v>
      </c>
      <c r="AB40" s="54">
        <f t="shared" si="46"/>
        <v>41622.580620000001</v>
      </c>
      <c r="AC40" s="57" t="s">
        <v>11</v>
      </c>
      <c r="AD40" s="58">
        <f>SUM(AD29:AD35)/7</f>
        <v>9.2857142857142865</v>
      </c>
      <c r="AE40" s="59" t="s">
        <v>7</v>
      </c>
      <c r="AF40" s="60"/>
    </row>
    <row r="41" spans="1:34" ht="19.149999999999999" customHeight="1" x14ac:dyDescent="0.25">
      <c r="A41" s="175" t="s">
        <v>16</v>
      </c>
      <c r="B41" s="127"/>
      <c r="C41" s="128">
        <f>SUM(C12+C20+C28+C40+C36)</f>
        <v>196428.56</v>
      </c>
      <c r="D41" s="128">
        <f>SUM(D12+D20+D28+D36+D40)</f>
        <v>199999.9999</v>
      </c>
      <c r="E41" s="128">
        <f t="shared" ref="E41:V41" si="48">SUM(E12+E20+E28+E40+E36)</f>
        <v>2166.9</v>
      </c>
      <c r="F41" s="128">
        <f t="shared" si="48"/>
        <v>2499.9999600000006</v>
      </c>
      <c r="G41" s="128">
        <f t="shared" si="48"/>
        <v>2301.4</v>
      </c>
      <c r="H41" s="128">
        <f t="shared" si="48"/>
        <v>999.99986000000001</v>
      </c>
      <c r="I41" s="115">
        <f t="shared" si="48"/>
        <v>0</v>
      </c>
      <c r="J41" s="115">
        <f t="shared" si="48"/>
        <v>0</v>
      </c>
      <c r="K41" s="244">
        <f t="shared" si="48"/>
        <v>0</v>
      </c>
      <c r="L41" s="128">
        <f t="shared" si="48"/>
        <v>0</v>
      </c>
      <c r="M41" s="115">
        <f t="shared" si="48"/>
        <v>63505.4</v>
      </c>
      <c r="N41" s="115">
        <f t="shared" si="48"/>
        <v>0</v>
      </c>
      <c r="O41" s="244">
        <f t="shared" si="48"/>
        <v>63505.4</v>
      </c>
      <c r="P41" s="304">
        <f t="shared" si="48"/>
        <v>59999.999970000004</v>
      </c>
      <c r="Q41" s="115">
        <f t="shared" si="48"/>
        <v>24201.199999999997</v>
      </c>
      <c r="R41" s="115">
        <f t="shared" si="48"/>
        <v>91717.900000000009</v>
      </c>
      <c r="S41" s="244">
        <f t="shared" si="48"/>
        <v>115919.1</v>
      </c>
      <c r="T41" s="304">
        <f t="shared" si="48"/>
        <v>70000.000119999997</v>
      </c>
      <c r="U41" s="115">
        <f t="shared" si="48"/>
        <v>124595.66</v>
      </c>
      <c r="V41" s="138">
        <f t="shared" si="48"/>
        <v>96599.999930000005</v>
      </c>
      <c r="W41" s="128">
        <f t="shared" ref="W41" si="49">SUM(W12+W20+W28+W40+W36)</f>
        <v>504917.02000000008</v>
      </c>
      <c r="X41" s="128">
        <f t="shared" ref="X41" si="50">SUM(X12+X20+X28+X40+X36)</f>
        <v>430099.99974000012</v>
      </c>
      <c r="Y41" s="128">
        <f t="shared" ref="Y41" si="51">SUM(Y12+Y20+Y28+Y40+Y36)</f>
        <v>0</v>
      </c>
      <c r="Z41" s="128">
        <f t="shared" ref="Z41" si="52">SUM(Z12+Z20+Z28+Z40+Z36)</f>
        <v>0</v>
      </c>
      <c r="AA41" s="128">
        <f t="shared" ref="AA41" si="53">SUM(AA12+AA20+AA28+AA40+AA36)</f>
        <v>504917.02000000008</v>
      </c>
      <c r="AB41" s="128">
        <f t="shared" ref="AB41" si="54">SUM(AB12+AB20+AB28+AB40+AB36)</f>
        <v>430099.99974000012</v>
      </c>
      <c r="AC41" s="126" t="s">
        <v>16</v>
      </c>
      <c r="AD41" s="101"/>
      <c r="AE41" s="102"/>
      <c r="AF41" s="103"/>
    </row>
    <row r="42" spans="1:34" ht="19.149999999999999" customHeight="1" thickBot="1" x14ac:dyDescent="0.3">
      <c r="A42" s="177" t="s">
        <v>28</v>
      </c>
      <c r="B42" s="178"/>
      <c r="C42" s="65">
        <f t="shared" ref="C42:AB42" si="55">C41/31</f>
        <v>6336.4051612903222</v>
      </c>
      <c r="D42" s="66">
        <f t="shared" si="55"/>
        <v>6451.6129000000001</v>
      </c>
      <c r="E42" s="65">
        <f t="shared" si="55"/>
        <v>69.900000000000006</v>
      </c>
      <c r="F42" s="66">
        <f t="shared" si="55"/>
        <v>80.645160000000018</v>
      </c>
      <c r="G42" s="65">
        <f t="shared" si="55"/>
        <v>74.238709677419351</v>
      </c>
      <c r="H42" s="66">
        <f t="shared" si="55"/>
        <v>32.25806</v>
      </c>
      <c r="I42" s="65">
        <f t="shared" ref="I42" si="56">I41/30</f>
        <v>0</v>
      </c>
      <c r="J42" s="240"/>
      <c r="K42" s="245"/>
      <c r="L42" s="66">
        <f>L41/31</f>
        <v>0</v>
      </c>
      <c r="M42" s="65">
        <f t="shared" ref="M42" si="57">M41/30</f>
        <v>2116.8466666666668</v>
      </c>
      <c r="N42" s="240"/>
      <c r="O42" s="245"/>
      <c r="P42" s="66">
        <f t="shared" ref="P42" si="58">P41/30</f>
        <v>1999.9999990000001</v>
      </c>
      <c r="Q42" s="65">
        <f t="shared" ref="Q42:T42" si="59">Q41/30</f>
        <v>806.70666666666659</v>
      </c>
      <c r="R42" s="240"/>
      <c r="S42" s="245"/>
      <c r="T42" s="66">
        <f t="shared" si="59"/>
        <v>2333.333337333333</v>
      </c>
      <c r="U42" s="65">
        <f t="shared" si="55"/>
        <v>4019.2148387096777</v>
      </c>
      <c r="V42" s="67">
        <f t="shared" si="55"/>
        <v>3116.1290300000001</v>
      </c>
      <c r="W42" s="65">
        <f t="shared" si="55"/>
        <v>16287.645806451615</v>
      </c>
      <c r="X42" s="66">
        <f t="shared" si="55"/>
        <v>13874.193540000004</v>
      </c>
      <c r="Y42" s="65">
        <f t="shared" si="55"/>
        <v>0</v>
      </c>
      <c r="Z42" s="66">
        <f t="shared" si="55"/>
        <v>0</v>
      </c>
      <c r="AA42" s="65">
        <f t="shared" si="55"/>
        <v>16287.645806451615</v>
      </c>
      <c r="AB42" s="66">
        <f t="shared" si="55"/>
        <v>13874.193540000004</v>
      </c>
      <c r="AC42" s="176" t="s">
        <v>17</v>
      </c>
      <c r="AD42" s="98"/>
      <c r="AE42" s="99"/>
      <c r="AF42" s="100"/>
    </row>
    <row r="43" spans="1:34" ht="19.149999999999999" customHeight="1" thickBot="1" x14ac:dyDescent="0.3">
      <c r="A43" s="72" t="s">
        <v>18</v>
      </c>
      <c r="B43" s="73"/>
      <c r="C43" s="74">
        <f>SUM(C41-D41)</f>
        <v>-3571.4398999999976</v>
      </c>
      <c r="D43" s="75"/>
      <c r="E43" s="74">
        <f>SUM(E41-F41)</f>
        <v>-333.09996000000046</v>
      </c>
      <c r="F43" s="75"/>
      <c r="G43" s="74">
        <f>SUM(G41-H41)</f>
        <v>1301.4001400000002</v>
      </c>
      <c r="H43" s="75"/>
      <c r="I43" s="95" t="e">
        <f>SUM(100/#REF!*I41)</f>
        <v>#REF!</v>
      </c>
      <c r="J43" s="242"/>
      <c r="K43" s="247"/>
      <c r="L43" s="75"/>
      <c r="M43" s="95">
        <f>SUM(100/P41*M41)</f>
        <v>105.8423333862545</v>
      </c>
      <c r="N43" s="242"/>
      <c r="O43" s="247"/>
      <c r="P43" s="78">
        <f>SUM(O41-P41)</f>
        <v>3505.4000299999971</v>
      </c>
      <c r="Q43" s="95">
        <f>SUM(100/T41*Q41)</f>
        <v>34.57314279787461</v>
      </c>
      <c r="R43" s="242"/>
      <c r="S43" s="247"/>
      <c r="T43" s="78">
        <f>SUM(S41-T41)</f>
        <v>45919.099880000009</v>
      </c>
      <c r="U43" s="74">
        <f>SUM(U41-V41)</f>
        <v>27995.660069999998</v>
      </c>
      <c r="V43" s="75"/>
      <c r="W43" s="96">
        <f>SUM(W41-X41)</f>
        <v>74817.020259999961</v>
      </c>
      <c r="X43" s="75"/>
      <c r="Y43" s="74">
        <f>SUM(Y41-Z41)</f>
        <v>0</v>
      </c>
      <c r="Z43" s="75"/>
      <c r="AA43" s="111">
        <f>SUM(AA41-AB41)</f>
        <v>74817.020259999961</v>
      </c>
      <c r="AB43" s="112"/>
      <c r="AH43" s="221">
        <f>SUM(AH5:AH39)</f>
        <v>288603.45999999996</v>
      </c>
    </row>
    <row r="44" spans="1:34" ht="20.100000000000001" customHeight="1" thickBot="1" x14ac:dyDescent="0.3">
      <c r="A44" s="76" t="s">
        <v>19</v>
      </c>
      <c r="B44" s="77"/>
      <c r="C44" s="95">
        <f>SUM(100/D41*C41)</f>
        <v>98.214280049107145</v>
      </c>
      <c r="D44" s="78"/>
      <c r="E44" s="95">
        <f>SUM(100/F41*E41)</f>
        <v>86.676001386815997</v>
      </c>
      <c r="F44" s="78"/>
      <c r="G44" s="95">
        <f>SUM(100/H41*G41)</f>
        <v>230.14003221960451</v>
      </c>
      <c r="H44" s="78"/>
      <c r="I44" s="95"/>
      <c r="J44" s="249"/>
      <c r="K44" s="248" t="e">
        <f>SUM(100/#REF!*K41)</f>
        <v>#REF!</v>
      </c>
      <c r="L44" s="78"/>
      <c r="M44" s="95"/>
      <c r="N44" s="249"/>
      <c r="O44" s="248">
        <f>SUM(100/P41*O41)</f>
        <v>105.8423333862545</v>
      </c>
      <c r="P44" s="87"/>
      <c r="Q44" s="95"/>
      <c r="R44" s="249"/>
      <c r="S44" s="248">
        <f>SUM(100/T41*S41)</f>
        <v>165.59871400183079</v>
      </c>
      <c r="T44" s="87"/>
      <c r="U44" s="95">
        <f>SUM(100/V41*U41)</f>
        <v>128.98101458621812</v>
      </c>
      <c r="V44" s="78"/>
      <c r="W44" s="404">
        <f>SUM(100/AB41*AA41)</f>
        <v>117.39526163804409</v>
      </c>
      <c r="X44" s="405"/>
      <c r="Y44" s="404"/>
      <c r="Z44" s="405"/>
      <c r="AA44" s="113">
        <f>SUM(100/AB41*AA41)</f>
        <v>117.39526163804409</v>
      </c>
      <c r="AB44" s="114"/>
      <c r="AH44" s="221"/>
    </row>
    <row r="46" spans="1:34" ht="16.5" x14ac:dyDescent="0.25">
      <c r="I46" s="283"/>
      <c r="J46" s="284"/>
      <c r="K46" s="283"/>
      <c r="M46" s="283"/>
      <c r="N46" s="284"/>
      <c r="O46" s="283"/>
      <c r="P46" s="283"/>
      <c r="Q46" s="283"/>
      <c r="R46" s="284"/>
      <c r="S46" s="283"/>
      <c r="T46" s="283"/>
      <c r="U46" s="284"/>
      <c r="V46" s="283"/>
    </row>
    <row r="47" spans="1:34" ht="16.5" x14ac:dyDescent="0.25">
      <c r="I47" s="283"/>
      <c r="J47" s="284"/>
      <c r="K47" s="283"/>
      <c r="M47" s="283"/>
      <c r="N47" s="284"/>
      <c r="O47" s="283"/>
      <c r="P47" s="283"/>
      <c r="Q47" s="283"/>
      <c r="R47" s="284"/>
      <c r="S47" s="283"/>
      <c r="T47" s="283"/>
      <c r="U47" s="284"/>
      <c r="V47" s="283"/>
    </row>
    <row r="48" spans="1:34" x14ac:dyDescent="0.25">
      <c r="L48" s="361"/>
    </row>
  </sheetData>
  <customSheetViews>
    <customSheetView guid="{512075D7-6EE7-4EEF-842F-09AF15E6D8B5}" scale="80" showPageBreaks="1" fitToPage="1" printArea="1">
      <pane ySplit="4" topLeftCell="A14" activePane="bottomLeft" state="frozen"/>
      <selection pane="bottomLeft" activeCell="U52" sqref="U52"/>
      <pageMargins left="0.59055118110236227" right="0.59055118110236227" top="1.1811023622047245" bottom="0.59055118110236227" header="0.11811023622047245" footer="0.31496062992125984"/>
      <pageSetup paperSize="9" scale="43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>
      <pane ySplit="4" topLeftCell="A14" activePane="bottomLeft" state="frozen"/>
      <selection pane="bottomLeft" activeCell="U52" sqref="U52"/>
      <pageMargins left="0.59055118110236227" right="0.59055118110236227" top="1.1811023622047245" bottom="0.59055118110236227" header="0.11811023622047245" footer="0.31496062992125984"/>
      <pageSetup paperSize="9" scale="43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80" showPageBreaks="1" fitToPage="1" printArea="1">
      <pane ySplit="4" topLeftCell="A14" activePane="bottomLeft" state="frozen"/>
      <selection pane="bottomLeft" activeCell="U52" sqref="U52"/>
      <pageMargins left="0.59055118110236227" right="0.59055118110236227" top="1.1811023622047245" bottom="0.59055118110236227" header="0.11811023622047245" footer="0.31496062992125984"/>
      <pageSetup paperSize="9" scale="43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N1">
      <pane ySplit="4" topLeftCell="A35" activePane="bottomLeft" state="frozen"/>
      <selection pane="bottomLeft" activeCell="AC37" sqref="AC37"/>
      <pageMargins left="0.59055118110236227" right="0.59055118110236227" top="1.1811023622047245" bottom="0.59055118110236227" header="0.11811023622047245" footer="0.31496062992125984"/>
      <pageSetup paperSize="9" scale="43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showPageBreaks="1" fitToPage="1" printArea="1">
      <pane ySplit="4" topLeftCell="A26" activePane="bottomLeft" state="frozen"/>
      <selection pane="bottomLeft" activeCell="R45" sqref="R45"/>
      <pageMargins left="0.59055118110236227" right="0.59055118110236227" top="1.1811023622047245" bottom="0.59055118110236227" header="0.11811023622047245" footer="0.31496062992125984"/>
      <pageSetup paperSize="9" scale="43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 topLeftCell="D1">
      <pane ySplit="4" topLeftCell="A26" activePane="bottomLeft" state="frozen"/>
      <selection pane="bottomLeft" activeCell="R39" sqref="R39"/>
      <pageMargins left="0.59055118110236227" right="0.59055118110236227" top="1.1811023622047245" bottom="0.59055118110236227" header="0.11811023622047245" footer="0.31496062992125984"/>
      <pageSetup paperSize="9" scale="43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5" activePane="bottomLeft" state="frozen"/>
      <selection pane="bottomLeft" activeCell="A30" sqref="A30:XFD30"/>
      <pageMargins left="0.59055118110236227" right="0.59055118110236227" top="1.1811023622047245" bottom="0.59055118110236227" header="0.11811023622047245" footer="0.31496062992125984"/>
      <pageSetup paperSize="9" scale="43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5" activePane="bottomLeft" state="frozen"/>
      <selection pane="bottomLeft" activeCell="G48" sqref="G48"/>
      <pageMargins left="0.59055118110236227" right="0.59055118110236227" top="1.1811023622047245" bottom="0.59055118110236227" header="0.11811023622047245" footer="0.31496062992125984"/>
      <pageSetup paperSize="9" scale="54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0" showPageBreaks="1" fitToPage="1" printArea="1" topLeftCell="N1">
      <pane ySplit="4" topLeftCell="A13" activePane="bottomLeft" state="frozen"/>
      <selection pane="bottomLeft" activeCell="AC31" sqref="AC31"/>
      <pageMargins left="0.59055118110236227" right="0.59055118110236227" top="1.1811023622047245" bottom="0.59055118110236227" header="0.11811023622047245" footer="0.31496062992125984"/>
      <pageSetup paperSize="9" scale="43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showPageBreaks="1" fitToPage="1" printArea="1">
      <pane ySplit="4" topLeftCell="A26" activePane="bottomLeft" state="frozen"/>
      <selection pane="bottomLeft" activeCell="R51" sqref="R51"/>
      <pageMargins left="0.59055118110236227" right="0.59055118110236227" top="1.1811023622047245" bottom="0.59055118110236227" header="0.11811023622047245" footer="0.31496062992125984"/>
      <pageSetup paperSize="9" scale="43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80" showPageBreaks="1" fitToPage="1" printArea="1">
      <pane ySplit="4" topLeftCell="A14" activePane="bottomLeft" state="frozen"/>
      <selection pane="bottomLeft" activeCell="U52" sqref="U52"/>
      <pageMargins left="0.59055118110236227" right="0.59055118110236227" top="1.1811023622047245" bottom="0.59055118110236227" header="0.11811023622047245" footer="0.31496062992125984"/>
      <pageSetup paperSize="9" scale="43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2">
    <mergeCell ref="H1:P1"/>
    <mergeCell ref="G3:H3"/>
    <mergeCell ref="W3:X3"/>
    <mergeCell ref="AA3:AB3"/>
    <mergeCell ref="C3:D3"/>
    <mergeCell ref="E3:F3"/>
    <mergeCell ref="I3:L3"/>
    <mergeCell ref="Q3:T3"/>
    <mergeCell ref="AD4:AE4"/>
    <mergeCell ref="U3:V3"/>
    <mergeCell ref="Y3:Z3"/>
    <mergeCell ref="AC3:AF3"/>
  </mergeCells>
  <pageMargins left="0.59055118110236227" right="0.59055118110236227" top="1.1811023622047245" bottom="0.59055118110236227" header="0.11811023622047245" footer="0.31496062992125984"/>
  <pageSetup paperSize="9" scale="43" orientation="landscape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47"/>
  <sheetViews>
    <sheetView zoomScale="80" zoomScaleNormal="90" workbookViewId="0">
      <pane ySplit="4" topLeftCell="A14" activePane="bottomLeft" state="frozen"/>
      <selection pane="bottomLeft" activeCell="Q39" sqref="Q39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4" width="12.28515625" style="2" bestFit="1" customWidth="1"/>
    <col min="5" max="6" width="11.7109375" style="2" customWidth="1"/>
    <col min="7" max="10" width="11.7109375" style="6" customWidth="1"/>
    <col min="11" max="17" width="11.7109375" style="2" customWidth="1"/>
    <col min="18" max="18" width="11" style="2" bestFit="1" customWidth="1"/>
    <col min="19" max="20" width="11.7109375" style="2" customWidth="1"/>
    <col min="21" max="22" width="12.7109375" style="2" customWidth="1"/>
    <col min="23" max="23" width="18.7109375" style="2" customWidth="1"/>
    <col min="24" max="24" width="8.140625" style="2" bestFit="1" customWidth="1"/>
    <col min="25" max="25" width="14.28515625" style="4" customWidth="1"/>
    <col min="26" max="26" width="20.7109375" style="4" customWidth="1"/>
    <col min="27" max="27" width="22.5703125" style="2" customWidth="1"/>
    <col min="28" max="29" width="11.42578125" style="2"/>
    <col min="30" max="30" width="20.5703125" style="2" bestFit="1" customWidth="1"/>
    <col min="31" max="31" width="11.42578125" style="2"/>
    <col min="32" max="32" width="11.42578125" style="2" customWidth="1"/>
    <col min="33" max="16384" width="11.42578125" style="2"/>
  </cols>
  <sheetData>
    <row r="1" spans="1:32" ht="34.15" customHeight="1" x14ac:dyDescent="0.25">
      <c r="A1" s="104" t="s">
        <v>54</v>
      </c>
      <c r="G1" s="2"/>
      <c r="H1" s="521">
        <v>45323</v>
      </c>
      <c r="I1" s="521"/>
      <c r="J1" s="521"/>
      <c r="K1" s="521"/>
      <c r="L1" s="406"/>
      <c r="M1" s="406"/>
    </row>
    <row r="2" spans="1:32" ht="21" thickBot="1" x14ac:dyDescent="0.3">
      <c r="A2" s="105"/>
    </row>
    <row r="3" spans="1:32" s="8" customFormat="1" ht="51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3" t="s">
        <v>53</v>
      </c>
      <c r="J3" s="514"/>
      <c r="K3" s="513" t="s">
        <v>25</v>
      </c>
      <c r="L3" s="515"/>
      <c r="M3" s="515"/>
      <c r="N3" s="514"/>
      <c r="O3" s="513" t="s">
        <v>30</v>
      </c>
      <c r="P3" s="526"/>
      <c r="Q3" s="526"/>
      <c r="R3" s="527"/>
      <c r="S3" s="515" t="s">
        <v>2</v>
      </c>
      <c r="T3" s="515"/>
      <c r="U3" s="522" t="s">
        <v>29</v>
      </c>
      <c r="V3" s="523"/>
      <c r="W3" s="513" t="s">
        <v>26</v>
      </c>
      <c r="X3" s="514"/>
      <c r="Y3" s="524" t="s">
        <v>27</v>
      </c>
      <c r="Z3" s="525"/>
      <c r="AA3" s="513" t="s">
        <v>0</v>
      </c>
      <c r="AB3" s="515"/>
      <c r="AC3" s="515"/>
      <c r="AD3" s="514"/>
      <c r="AF3" s="356" t="s">
        <v>80</v>
      </c>
    </row>
    <row r="4" spans="1:32" s="4" customFormat="1" ht="16.5" x14ac:dyDescent="0.25">
      <c r="A4" s="106" t="s">
        <v>1</v>
      </c>
      <c r="B4" s="10"/>
      <c r="C4" s="11" t="s">
        <v>22</v>
      </c>
      <c r="D4" s="237" t="s">
        <v>21</v>
      </c>
      <c r="E4" s="11" t="s">
        <v>22</v>
      </c>
      <c r="F4" s="237" t="s">
        <v>21</v>
      </c>
      <c r="G4" s="11" t="s">
        <v>22</v>
      </c>
      <c r="H4" s="237" t="s">
        <v>21</v>
      </c>
      <c r="I4" s="11" t="s">
        <v>22</v>
      </c>
      <c r="J4" s="237" t="s">
        <v>21</v>
      </c>
      <c r="K4" s="11" t="s">
        <v>68</v>
      </c>
      <c r="L4" s="243" t="s">
        <v>69</v>
      </c>
      <c r="M4" s="237" t="s">
        <v>70</v>
      </c>
      <c r="N4" s="237" t="s">
        <v>21</v>
      </c>
      <c r="O4" s="11" t="s">
        <v>68</v>
      </c>
      <c r="P4" s="237" t="s">
        <v>69</v>
      </c>
      <c r="Q4" s="243" t="s">
        <v>70</v>
      </c>
      <c r="R4" s="237" t="s">
        <v>21</v>
      </c>
      <c r="S4" s="419" t="s">
        <v>22</v>
      </c>
      <c r="T4" s="237" t="s">
        <v>21</v>
      </c>
      <c r="U4" s="419" t="s">
        <v>22</v>
      </c>
      <c r="V4" s="237" t="s">
        <v>21</v>
      </c>
      <c r="W4" s="11" t="s">
        <v>22</v>
      </c>
      <c r="X4" s="408" t="s">
        <v>21</v>
      </c>
      <c r="Y4" s="107" t="s">
        <v>22</v>
      </c>
      <c r="Z4" s="108" t="s">
        <v>21</v>
      </c>
      <c r="AA4" s="13" t="s">
        <v>3</v>
      </c>
      <c r="AB4" s="519" t="s">
        <v>4</v>
      </c>
      <c r="AC4" s="520"/>
      <c r="AD4" s="14" t="s">
        <v>5</v>
      </c>
    </row>
    <row r="5" spans="1:32" s="43" customFormat="1" ht="18.600000000000001" customHeight="1" x14ac:dyDescent="0.25">
      <c r="A5" s="47">
        <v>1</v>
      </c>
      <c r="B5" s="15" t="s">
        <v>15</v>
      </c>
      <c r="C5" s="16">
        <v>3848.2</v>
      </c>
      <c r="D5" s="17">
        <v>7655.1724137930996</v>
      </c>
      <c r="E5" s="16">
        <v>0</v>
      </c>
      <c r="F5" s="18">
        <v>344.827586206896</v>
      </c>
      <c r="G5" s="19">
        <v>0</v>
      </c>
      <c r="H5" s="18">
        <v>172.413793103448</v>
      </c>
      <c r="I5" s="19">
        <v>0</v>
      </c>
      <c r="J5" s="18"/>
      <c r="K5" s="16">
        <v>0</v>
      </c>
      <c r="L5" s="19"/>
      <c r="M5" s="238">
        <f>K5+L5</f>
        <v>0</v>
      </c>
      <c r="N5" s="85">
        <v>1379.3103448275799</v>
      </c>
      <c r="O5" s="16">
        <v>1485.7</v>
      </c>
      <c r="P5" s="238">
        <v>2336</v>
      </c>
      <c r="Q5" s="19">
        <f>SUM(O5:P5)</f>
        <v>3821.7</v>
      </c>
      <c r="R5" s="17">
        <v>1034.48275862069</v>
      </c>
      <c r="S5" s="16">
        <v>2985.4</v>
      </c>
      <c r="T5" s="17">
        <v>2827.5862068965498</v>
      </c>
      <c r="U5" s="91">
        <f>C5+E5+G5+I5+M5+Q5+S5</f>
        <v>10655.3</v>
      </c>
      <c r="V5" s="89">
        <f>D5+F5+H5+J5+N5+R5+T5</f>
        <v>13413.793103448264</v>
      </c>
      <c r="W5" s="16">
        <v>0</v>
      </c>
      <c r="X5" s="17"/>
      <c r="Y5" s="109">
        <f>SUM(U5+W5)</f>
        <v>10655.3</v>
      </c>
      <c r="Z5" s="110">
        <f t="shared" ref="Y5:Z8" si="0">SUM(V5+X5)</f>
        <v>13413.793103448264</v>
      </c>
      <c r="AA5" s="45" t="s">
        <v>105</v>
      </c>
      <c r="AB5" s="46">
        <v>5</v>
      </c>
      <c r="AC5" s="21" t="s">
        <v>7</v>
      </c>
      <c r="AD5" s="231"/>
      <c r="AF5" s="221">
        <f t="shared" ref="AF5:AF37" si="1">+C5+E5+G5+K5+O5+W5</f>
        <v>5333.9</v>
      </c>
    </row>
    <row r="6" spans="1:32" ht="18.600000000000001" customHeight="1" x14ac:dyDescent="0.25">
      <c r="A6" s="47">
        <f>SUM(A5+1)</f>
        <v>2</v>
      </c>
      <c r="B6" s="15" t="s">
        <v>6</v>
      </c>
      <c r="C6" s="16">
        <v>6229</v>
      </c>
      <c r="D6" s="17">
        <v>7655.1724137930996</v>
      </c>
      <c r="E6" s="16">
        <v>0</v>
      </c>
      <c r="F6" s="18">
        <v>344.827586206896</v>
      </c>
      <c r="G6" s="19">
        <v>18</v>
      </c>
      <c r="H6" s="18">
        <v>172.413793103448</v>
      </c>
      <c r="I6" s="19">
        <v>0</v>
      </c>
      <c r="J6" s="18"/>
      <c r="K6" s="16">
        <v>0</v>
      </c>
      <c r="L6" s="19"/>
      <c r="M6" s="238">
        <v>0</v>
      </c>
      <c r="N6" s="85">
        <v>1379.3103448275799</v>
      </c>
      <c r="O6" s="16">
        <v>1004.9</v>
      </c>
      <c r="P6" s="238">
        <v>4460</v>
      </c>
      <c r="Q6" s="19">
        <f t="shared" ref="Q6:Q8" si="2">SUM(O6:P6)</f>
        <v>5464.9</v>
      </c>
      <c r="R6" s="17">
        <v>1034.48275862069</v>
      </c>
      <c r="S6" s="16">
        <v>3728.5</v>
      </c>
      <c r="T6" s="17">
        <v>2827.5862068965498</v>
      </c>
      <c r="U6" s="91">
        <f>C6+E6+G6+I6+M6+Q6+S6</f>
        <v>15440.4</v>
      </c>
      <c r="V6" s="89">
        <f>D6+F6+H6+J6+N6+R6+T6</f>
        <v>13413.793103448264</v>
      </c>
      <c r="W6" s="16">
        <v>0</v>
      </c>
      <c r="X6" s="17"/>
      <c r="Y6" s="109">
        <f t="shared" si="0"/>
        <v>15440.4</v>
      </c>
      <c r="Z6" s="110">
        <f t="shared" si="0"/>
        <v>13413.793103448264</v>
      </c>
      <c r="AA6" s="45" t="s">
        <v>110</v>
      </c>
      <c r="AB6" s="46">
        <v>5</v>
      </c>
      <c r="AC6" s="21" t="s">
        <v>7</v>
      </c>
      <c r="AD6" s="231"/>
      <c r="AE6" s="43"/>
      <c r="AF6" s="221">
        <f t="shared" si="1"/>
        <v>7251.9</v>
      </c>
    </row>
    <row r="7" spans="1:32" ht="18.600000000000001" customHeight="1" x14ac:dyDescent="0.25">
      <c r="A7" s="23">
        <f>SUM(A6+1)</f>
        <v>3</v>
      </c>
      <c r="B7" s="24" t="s">
        <v>8</v>
      </c>
      <c r="C7" s="25">
        <v>10263.200000000001</v>
      </c>
      <c r="D7" s="26">
        <v>7655.1724137930996</v>
      </c>
      <c r="E7" s="25">
        <v>1810.9</v>
      </c>
      <c r="F7" s="27">
        <v>344.827586206896</v>
      </c>
      <c r="G7" s="28">
        <v>673.3</v>
      </c>
      <c r="H7" s="27">
        <v>172.413793103448</v>
      </c>
      <c r="I7" s="25">
        <v>0</v>
      </c>
      <c r="J7" s="27"/>
      <c r="K7" s="25">
        <v>0</v>
      </c>
      <c r="L7" s="28"/>
      <c r="M7" s="239">
        <v>0</v>
      </c>
      <c r="N7" s="86">
        <v>1379.3103448275799</v>
      </c>
      <c r="O7" s="25">
        <v>0</v>
      </c>
      <c r="P7" s="239">
        <v>1498</v>
      </c>
      <c r="Q7" s="28">
        <f t="shared" si="2"/>
        <v>1498</v>
      </c>
      <c r="R7" s="26">
        <v>1034.48275862069</v>
      </c>
      <c r="S7" s="25">
        <v>2515.1999999999998</v>
      </c>
      <c r="T7" s="26">
        <v>2827.5862068965498</v>
      </c>
      <c r="U7" s="183">
        <f t="shared" ref="U7:U8" si="3">C7+E7+G7+I7+M7+Q7+S7</f>
        <v>16760.599999999999</v>
      </c>
      <c r="V7" s="90">
        <f>D7+F7+H7+J7+N7+R7+T7</f>
        <v>13413.793103448264</v>
      </c>
      <c r="W7" s="25">
        <v>0</v>
      </c>
      <c r="X7" s="26"/>
      <c r="Y7" s="92">
        <f t="shared" si="0"/>
        <v>16760.599999999999</v>
      </c>
      <c r="Z7" s="94">
        <f t="shared" si="0"/>
        <v>13413.793103448264</v>
      </c>
      <c r="AA7" s="29" t="s">
        <v>58</v>
      </c>
      <c r="AB7" s="30">
        <v>9</v>
      </c>
      <c r="AC7" s="31" t="s">
        <v>7</v>
      </c>
      <c r="AD7" s="232"/>
      <c r="AE7" s="43"/>
      <c r="AF7" s="221">
        <f t="shared" si="1"/>
        <v>12747.4</v>
      </c>
    </row>
    <row r="8" spans="1:32" ht="18.600000000000001" customHeight="1" x14ac:dyDescent="0.25">
      <c r="A8" s="23">
        <f>SUM(A7+1)</f>
        <v>4</v>
      </c>
      <c r="B8" s="24" t="s">
        <v>9</v>
      </c>
      <c r="C8" s="25">
        <v>9293.1</v>
      </c>
      <c r="D8" s="26">
        <v>7655.1724137930996</v>
      </c>
      <c r="E8" s="25">
        <v>606.20000000000005</v>
      </c>
      <c r="F8" s="27">
        <v>344.827586206896</v>
      </c>
      <c r="G8" s="28">
        <v>380.4</v>
      </c>
      <c r="H8" s="27">
        <v>172.413793103448</v>
      </c>
      <c r="I8" s="25">
        <v>0</v>
      </c>
      <c r="J8" s="27"/>
      <c r="K8" s="25">
        <v>0</v>
      </c>
      <c r="L8" s="28"/>
      <c r="M8" s="239">
        <v>0</v>
      </c>
      <c r="N8" s="86">
        <v>1379.3103448275799</v>
      </c>
      <c r="O8" s="25">
        <v>64.599999999999994</v>
      </c>
      <c r="P8" s="239">
        <v>0</v>
      </c>
      <c r="Q8" s="28">
        <f t="shared" si="2"/>
        <v>64.599999999999994</v>
      </c>
      <c r="R8" s="26">
        <v>1034.48275862069</v>
      </c>
      <c r="S8" s="25">
        <v>1009.3</v>
      </c>
      <c r="T8" s="26">
        <v>2827.5862068965498</v>
      </c>
      <c r="U8" s="183">
        <f t="shared" si="3"/>
        <v>11353.6</v>
      </c>
      <c r="V8" s="90">
        <f>D8+F8+H8+J8+N8+R8+T8</f>
        <v>13413.793103448264</v>
      </c>
      <c r="W8" s="25">
        <v>0</v>
      </c>
      <c r="X8" s="26"/>
      <c r="Y8" s="92">
        <f t="shared" si="0"/>
        <v>11353.6</v>
      </c>
      <c r="Z8" s="94">
        <f t="shared" si="0"/>
        <v>13413.793103448264</v>
      </c>
      <c r="AA8" s="29" t="s">
        <v>111</v>
      </c>
      <c r="AB8" s="30">
        <v>9</v>
      </c>
      <c r="AC8" s="31" t="s">
        <v>7</v>
      </c>
      <c r="AD8" s="232"/>
      <c r="AE8" s="43"/>
      <c r="AF8" s="221">
        <f t="shared" si="1"/>
        <v>10344.300000000001</v>
      </c>
    </row>
    <row r="9" spans="1:32" ht="18.600000000000001" customHeight="1" x14ac:dyDescent="0.25">
      <c r="A9" s="33" t="s">
        <v>10</v>
      </c>
      <c r="B9" s="34">
        <v>5</v>
      </c>
      <c r="C9" s="35">
        <f t="shared" ref="C9:K9" si="4">SUM(C5:C8)</f>
        <v>29633.5</v>
      </c>
      <c r="D9" s="36">
        <f t="shared" si="4"/>
        <v>30620.689655172398</v>
      </c>
      <c r="E9" s="35">
        <f t="shared" si="4"/>
        <v>2417.1000000000004</v>
      </c>
      <c r="F9" s="37">
        <f t="shared" si="4"/>
        <v>1379.310344827584</v>
      </c>
      <c r="G9" s="38">
        <f t="shared" si="4"/>
        <v>1071.6999999999998</v>
      </c>
      <c r="H9" s="37">
        <f t="shared" si="4"/>
        <v>689.655172413792</v>
      </c>
      <c r="I9" s="38">
        <f t="shared" si="4"/>
        <v>0</v>
      </c>
      <c r="J9" s="37">
        <f t="shared" si="4"/>
        <v>0</v>
      </c>
      <c r="K9" s="35">
        <f t="shared" si="4"/>
        <v>0</v>
      </c>
      <c r="L9" s="38">
        <f t="shared" ref="L9:M9" si="5">SUM(L5:L8)</f>
        <v>0</v>
      </c>
      <c r="M9" s="297">
        <f t="shared" si="5"/>
        <v>0</v>
      </c>
      <c r="N9" s="36">
        <f t="shared" ref="N9:Z9" si="6">SUM(N5:N8)</f>
        <v>5517.2413793103196</v>
      </c>
      <c r="O9" s="35">
        <f t="shared" si="6"/>
        <v>2555.1999999999998</v>
      </c>
      <c r="P9" s="35">
        <f t="shared" si="6"/>
        <v>8294</v>
      </c>
      <c r="Q9" s="35">
        <f t="shared" si="6"/>
        <v>10849.199999999999</v>
      </c>
      <c r="R9" s="36">
        <f t="shared" si="6"/>
        <v>4137.93103448276</v>
      </c>
      <c r="S9" s="35">
        <f t="shared" si="6"/>
        <v>10238.399999999998</v>
      </c>
      <c r="T9" s="36">
        <f t="shared" si="6"/>
        <v>11310.344827586199</v>
      </c>
      <c r="U9" s="35">
        <f t="shared" si="6"/>
        <v>54209.899999999994</v>
      </c>
      <c r="V9" s="36">
        <f t="shared" si="6"/>
        <v>53655.172413793058</v>
      </c>
      <c r="W9" s="35">
        <f t="shared" si="6"/>
        <v>0</v>
      </c>
      <c r="X9" s="36">
        <f t="shared" si="6"/>
        <v>0</v>
      </c>
      <c r="Y9" s="35">
        <f t="shared" si="6"/>
        <v>54209.899999999994</v>
      </c>
      <c r="Z9" s="36">
        <f t="shared" si="6"/>
        <v>53655.172413793058</v>
      </c>
      <c r="AA9" s="39" t="s">
        <v>11</v>
      </c>
      <c r="AB9" s="40">
        <f>SUM(AB5:AB8)/7</f>
        <v>4</v>
      </c>
      <c r="AC9" s="41" t="s">
        <v>7</v>
      </c>
      <c r="AD9" s="287"/>
      <c r="AE9" s="43"/>
      <c r="AF9" s="221"/>
    </row>
    <row r="10" spans="1:32" ht="18.600000000000001" customHeight="1" x14ac:dyDescent="0.25">
      <c r="A10" s="44">
        <f>SUM(A8+1)</f>
        <v>5</v>
      </c>
      <c r="B10" s="15" t="s">
        <v>12</v>
      </c>
      <c r="C10" s="49">
        <v>4527.1000000000004</v>
      </c>
      <c r="D10" s="17">
        <v>7655.1724137930996</v>
      </c>
      <c r="E10" s="49">
        <v>349.9</v>
      </c>
      <c r="F10" s="18">
        <v>344.827586206896</v>
      </c>
      <c r="G10" s="19">
        <v>159</v>
      </c>
      <c r="H10" s="18">
        <v>172.413793103448</v>
      </c>
      <c r="I10" s="19">
        <v>0</v>
      </c>
      <c r="J10" s="18"/>
      <c r="K10" s="16">
        <v>0</v>
      </c>
      <c r="L10" s="19"/>
      <c r="M10" s="238">
        <f t="shared" ref="M10:M16" si="7">K10+L10</f>
        <v>0</v>
      </c>
      <c r="N10" s="85">
        <v>1379.3103448275799</v>
      </c>
      <c r="O10" s="16">
        <v>944.2</v>
      </c>
      <c r="P10" s="238">
        <v>3402</v>
      </c>
      <c r="Q10" s="19">
        <f>SUM(O10:P10)</f>
        <v>4346.2</v>
      </c>
      <c r="R10" s="17">
        <v>1034.48275862069</v>
      </c>
      <c r="S10" s="16">
        <v>3724.3</v>
      </c>
      <c r="T10" s="17">
        <v>2827.5862068965498</v>
      </c>
      <c r="U10" s="91">
        <f t="shared" ref="U10:U16" si="8">C10+E10+G10+I10+M10+Q10+S10</f>
        <v>13106.5</v>
      </c>
      <c r="V10" s="89">
        <f t="shared" ref="V10:V16" si="9">D10+F10+H10+J10+N10+R10+T10</f>
        <v>13413.793103448264</v>
      </c>
      <c r="W10" s="16">
        <v>0</v>
      </c>
      <c r="X10" s="17"/>
      <c r="Y10" s="109">
        <f t="shared" ref="Y10:Z16" si="10">SUM(U10+W10)</f>
        <v>13106.5</v>
      </c>
      <c r="Z10" s="110">
        <f t="shared" si="10"/>
        <v>13413.793103448264</v>
      </c>
      <c r="AA10" s="45" t="s">
        <v>82</v>
      </c>
      <c r="AB10" s="46">
        <v>8</v>
      </c>
      <c r="AC10" s="21" t="s">
        <v>7</v>
      </c>
      <c r="AD10" s="231"/>
      <c r="AE10" s="43"/>
      <c r="AF10" s="221">
        <f t="shared" si="1"/>
        <v>5980.2</v>
      </c>
    </row>
    <row r="11" spans="1:32" ht="18.600000000000001" customHeight="1" x14ac:dyDescent="0.25">
      <c r="A11" s="47">
        <f t="shared" ref="A11:A16" si="11">SUM(A10+1)</f>
        <v>6</v>
      </c>
      <c r="B11" s="15" t="s">
        <v>13</v>
      </c>
      <c r="C11" s="16">
        <v>7518.95</v>
      </c>
      <c r="D11" s="17">
        <v>7655.1724137930996</v>
      </c>
      <c r="E11" s="16">
        <v>765.7</v>
      </c>
      <c r="F11" s="18">
        <v>344.827586206896</v>
      </c>
      <c r="G11" s="19">
        <v>609.9</v>
      </c>
      <c r="H11" s="18">
        <v>172.413793103448</v>
      </c>
      <c r="I11" s="19">
        <v>0</v>
      </c>
      <c r="J11" s="18"/>
      <c r="K11" s="16">
        <v>0</v>
      </c>
      <c r="L11" s="19"/>
      <c r="M11" s="238">
        <f t="shared" si="7"/>
        <v>0</v>
      </c>
      <c r="N11" s="85">
        <v>1379.3103448275799</v>
      </c>
      <c r="O11" s="16">
        <v>176.7</v>
      </c>
      <c r="P11" s="238">
        <v>4017</v>
      </c>
      <c r="Q11" s="19">
        <f t="shared" ref="Q11:Q15" si="12">SUM(O11:P11)</f>
        <v>4193.7</v>
      </c>
      <c r="R11" s="17">
        <v>1034.48275862069</v>
      </c>
      <c r="S11" s="16">
        <v>2270.8000000000002</v>
      </c>
      <c r="T11" s="17">
        <v>2827.5862068965498</v>
      </c>
      <c r="U11" s="91">
        <f t="shared" si="8"/>
        <v>15359.05</v>
      </c>
      <c r="V11" s="89">
        <f t="shared" si="9"/>
        <v>13413.793103448264</v>
      </c>
      <c r="W11" s="16">
        <v>0</v>
      </c>
      <c r="X11" s="17"/>
      <c r="Y11" s="109">
        <f t="shared" si="10"/>
        <v>15359.05</v>
      </c>
      <c r="Z11" s="110">
        <f t="shared" si="10"/>
        <v>13413.793103448264</v>
      </c>
      <c r="AA11" s="45" t="s">
        <v>112</v>
      </c>
      <c r="AB11" s="46">
        <v>8</v>
      </c>
      <c r="AC11" s="21" t="s">
        <v>7</v>
      </c>
      <c r="AD11" s="231"/>
      <c r="AE11" s="43"/>
      <c r="AF11" s="221">
        <f t="shared" si="1"/>
        <v>9071.25</v>
      </c>
    </row>
    <row r="12" spans="1:32" ht="18.600000000000001" customHeight="1" x14ac:dyDescent="0.25">
      <c r="A12" s="47">
        <f t="shared" si="11"/>
        <v>7</v>
      </c>
      <c r="B12" s="15" t="s">
        <v>14</v>
      </c>
      <c r="C12" s="16">
        <v>6631</v>
      </c>
      <c r="D12" s="17">
        <v>7655.1724137930996</v>
      </c>
      <c r="E12" s="16">
        <v>154.30000000000001</v>
      </c>
      <c r="F12" s="18">
        <v>344.827586206896</v>
      </c>
      <c r="G12" s="19">
        <v>49.1</v>
      </c>
      <c r="H12" s="18">
        <v>172.413793103448</v>
      </c>
      <c r="I12" s="19">
        <v>0</v>
      </c>
      <c r="J12" s="18"/>
      <c r="K12" s="16">
        <v>0</v>
      </c>
      <c r="L12" s="19"/>
      <c r="M12" s="238">
        <f t="shared" si="7"/>
        <v>0</v>
      </c>
      <c r="N12" s="17">
        <v>1379.3103448275799</v>
      </c>
      <c r="O12" s="16">
        <v>33</v>
      </c>
      <c r="P12" s="238">
        <v>1440</v>
      </c>
      <c r="Q12" s="19">
        <f t="shared" si="12"/>
        <v>1473</v>
      </c>
      <c r="R12" s="17">
        <v>1034.48275862069</v>
      </c>
      <c r="S12" s="16">
        <v>2146.8000000000002</v>
      </c>
      <c r="T12" s="17">
        <v>2827.5862068965498</v>
      </c>
      <c r="U12" s="91">
        <f t="shared" si="8"/>
        <v>10454.200000000001</v>
      </c>
      <c r="V12" s="89">
        <f t="shared" si="9"/>
        <v>13413.793103448264</v>
      </c>
      <c r="W12" s="16">
        <v>0</v>
      </c>
      <c r="X12" s="17"/>
      <c r="Y12" s="109">
        <f t="shared" si="10"/>
        <v>10454.200000000001</v>
      </c>
      <c r="Z12" s="110">
        <f t="shared" si="10"/>
        <v>13413.793103448264</v>
      </c>
      <c r="AA12" s="45" t="s">
        <v>60</v>
      </c>
      <c r="AB12" s="46">
        <v>8</v>
      </c>
      <c r="AC12" s="21" t="s">
        <v>7</v>
      </c>
      <c r="AD12" s="231"/>
      <c r="AE12" s="43"/>
      <c r="AF12" s="221">
        <f t="shared" si="1"/>
        <v>6867.4000000000005</v>
      </c>
    </row>
    <row r="13" spans="1:32" s="43" customFormat="1" ht="18.600000000000001" customHeight="1" x14ac:dyDescent="0.25">
      <c r="A13" s="47">
        <f t="shared" si="11"/>
        <v>8</v>
      </c>
      <c r="B13" s="15" t="s">
        <v>15</v>
      </c>
      <c r="C13" s="16">
        <v>6494.3</v>
      </c>
      <c r="D13" s="17">
        <v>7655.1724137930996</v>
      </c>
      <c r="E13" s="16">
        <v>0</v>
      </c>
      <c r="F13" s="18">
        <v>344.827586206896</v>
      </c>
      <c r="G13" s="19">
        <v>54</v>
      </c>
      <c r="H13" s="18">
        <v>172.413793103448</v>
      </c>
      <c r="I13" s="19">
        <v>0</v>
      </c>
      <c r="J13" s="18"/>
      <c r="K13" s="16">
        <v>0</v>
      </c>
      <c r="L13" s="19"/>
      <c r="M13" s="238">
        <f t="shared" si="7"/>
        <v>0</v>
      </c>
      <c r="N13" s="85">
        <v>1379.3103448275799</v>
      </c>
      <c r="O13" s="16">
        <v>0</v>
      </c>
      <c r="P13" s="238">
        <v>0</v>
      </c>
      <c r="Q13" s="19">
        <f t="shared" si="12"/>
        <v>0</v>
      </c>
      <c r="R13" s="17">
        <v>1034.48275862069</v>
      </c>
      <c r="S13" s="16">
        <v>2057</v>
      </c>
      <c r="T13" s="17">
        <v>2827.5862068965498</v>
      </c>
      <c r="U13" s="91">
        <f t="shared" si="8"/>
        <v>8605.2999999999993</v>
      </c>
      <c r="V13" s="89">
        <f t="shared" si="9"/>
        <v>13413.793103448264</v>
      </c>
      <c r="W13" s="16">
        <v>0</v>
      </c>
      <c r="X13" s="17"/>
      <c r="Y13" s="109">
        <f t="shared" si="10"/>
        <v>8605.2999999999993</v>
      </c>
      <c r="Z13" s="110">
        <f t="shared" si="10"/>
        <v>13413.793103448264</v>
      </c>
      <c r="AA13" s="45" t="s">
        <v>81</v>
      </c>
      <c r="AB13" s="46">
        <v>9</v>
      </c>
      <c r="AC13" s="21" t="s">
        <v>7</v>
      </c>
      <c r="AD13" s="231"/>
      <c r="AF13" s="221">
        <f t="shared" si="1"/>
        <v>6548.3</v>
      </c>
    </row>
    <row r="14" spans="1:32" ht="18.600000000000001" customHeight="1" x14ac:dyDescent="0.25">
      <c r="A14" s="47">
        <f t="shared" si="11"/>
        <v>9</v>
      </c>
      <c r="B14" s="15" t="s">
        <v>6</v>
      </c>
      <c r="C14" s="16">
        <v>8614.7999999999993</v>
      </c>
      <c r="D14" s="17">
        <v>7655.1724137930996</v>
      </c>
      <c r="E14" s="16">
        <v>7</v>
      </c>
      <c r="F14" s="18">
        <v>344.827586206896</v>
      </c>
      <c r="G14" s="19">
        <v>24.8</v>
      </c>
      <c r="H14" s="18">
        <v>172.413793103448</v>
      </c>
      <c r="I14" s="19">
        <v>0</v>
      </c>
      <c r="J14" s="18"/>
      <c r="K14" s="16">
        <v>0</v>
      </c>
      <c r="L14" s="19"/>
      <c r="M14" s="238">
        <f t="shared" si="7"/>
        <v>0</v>
      </c>
      <c r="N14" s="85">
        <v>1379.3103448275799</v>
      </c>
      <c r="O14" s="16">
        <v>0</v>
      </c>
      <c r="P14" s="238">
        <v>0</v>
      </c>
      <c r="Q14" s="19">
        <f t="shared" si="12"/>
        <v>0</v>
      </c>
      <c r="R14" s="17">
        <v>1034.48275862069</v>
      </c>
      <c r="S14" s="16">
        <v>1246</v>
      </c>
      <c r="T14" s="17">
        <v>2827.5862068965498</v>
      </c>
      <c r="U14" s="91">
        <f t="shared" si="8"/>
        <v>9892.5999999999985</v>
      </c>
      <c r="V14" s="89">
        <f t="shared" si="9"/>
        <v>13413.793103448264</v>
      </c>
      <c r="W14" s="16">
        <v>0</v>
      </c>
      <c r="X14" s="17"/>
      <c r="Y14" s="109">
        <f t="shared" si="10"/>
        <v>9892.5999999999985</v>
      </c>
      <c r="Z14" s="110">
        <f t="shared" si="10"/>
        <v>13413.793103448264</v>
      </c>
      <c r="AA14" s="45" t="s">
        <v>73</v>
      </c>
      <c r="AB14" s="46">
        <v>10</v>
      </c>
      <c r="AC14" s="21" t="s">
        <v>7</v>
      </c>
      <c r="AD14" s="231"/>
      <c r="AE14" s="43"/>
      <c r="AF14" s="221">
        <f t="shared" si="1"/>
        <v>8646.5999999999985</v>
      </c>
    </row>
    <row r="15" spans="1:32" ht="18.600000000000001" customHeight="1" x14ac:dyDescent="0.25">
      <c r="A15" s="23">
        <f t="shared" si="11"/>
        <v>10</v>
      </c>
      <c r="B15" s="24" t="s">
        <v>8</v>
      </c>
      <c r="C15" s="25">
        <v>10635.1</v>
      </c>
      <c r="D15" s="26">
        <v>7655.1724137930996</v>
      </c>
      <c r="E15" s="25">
        <v>0</v>
      </c>
      <c r="F15" s="27">
        <v>344.827586206896</v>
      </c>
      <c r="G15" s="28">
        <v>159.80000000000001</v>
      </c>
      <c r="H15" s="27">
        <v>172.413793103448</v>
      </c>
      <c r="I15" s="28">
        <v>0</v>
      </c>
      <c r="J15" s="27"/>
      <c r="K15" s="25">
        <v>4689.6000000000004</v>
      </c>
      <c r="L15" s="28"/>
      <c r="M15" s="239">
        <f t="shared" si="7"/>
        <v>4689.6000000000004</v>
      </c>
      <c r="N15" s="86">
        <v>1379.3103448275799</v>
      </c>
      <c r="O15" s="25">
        <v>0</v>
      </c>
      <c r="P15" s="239">
        <v>0</v>
      </c>
      <c r="Q15" s="28">
        <f t="shared" si="12"/>
        <v>0</v>
      </c>
      <c r="R15" s="26">
        <v>1034.48275862069</v>
      </c>
      <c r="S15" s="25">
        <v>2969</v>
      </c>
      <c r="T15" s="26">
        <v>2827.5862068965498</v>
      </c>
      <c r="U15" s="183">
        <f t="shared" si="8"/>
        <v>18453.5</v>
      </c>
      <c r="V15" s="90">
        <f t="shared" si="9"/>
        <v>13413.793103448264</v>
      </c>
      <c r="W15" s="25">
        <v>0</v>
      </c>
      <c r="X15" s="26"/>
      <c r="Y15" s="92">
        <f t="shared" si="10"/>
        <v>18453.5</v>
      </c>
      <c r="Z15" s="94">
        <f t="shared" si="10"/>
        <v>13413.793103448264</v>
      </c>
      <c r="AA15" s="29" t="s">
        <v>81</v>
      </c>
      <c r="AB15" s="30">
        <v>8</v>
      </c>
      <c r="AC15" s="31" t="s">
        <v>7</v>
      </c>
      <c r="AD15" s="232"/>
      <c r="AE15" s="43"/>
      <c r="AF15" s="221">
        <f t="shared" si="1"/>
        <v>15484.5</v>
      </c>
    </row>
    <row r="16" spans="1:32" ht="18.600000000000001" customHeight="1" x14ac:dyDescent="0.25">
      <c r="A16" s="23">
        <f t="shared" si="11"/>
        <v>11</v>
      </c>
      <c r="B16" s="24" t="s">
        <v>9</v>
      </c>
      <c r="C16" s="25">
        <v>8745.9</v>
      </c>
      <c r="D16" s="26">
        <v>7655.1724137930996</v>
      </c>
      <c r="E16" s="25">
        <v>0</v>
      </c>
      <c r="F16" s="27">
        <v>344.827586206896</v>
      </c>
      <c r="G16" s="28">
        <v>23.4</v>
      </c>
      <c r="H16" s="27">
        <v>172.413793103448</v>
      </c>
      <c r="I16" s="28">
        <v>0</v>
      </c>
      <c r="J16" s="27"/>
      <c r="K16" s="25">
        <v>2544</v>
      </c>
      <c r="L16" s="28"/>
      <c r="M16" s="239">
        <f t="shared" si="7"/>
        <v>2544</v>
      </c>
      <c r="N16" s="86">
        <v>1379.3103448275799</v>
      </c>
      <c r="O16" s="25">
        <v>0</v>
      </c>
      <c r="P16" s="239">
        <v>0</v>
      </c>
      <c r="Q16" s="28">
        <f>SUM(O16:P16)</f>
        <v>0</v>
      </c>
      <c r="R16" s="26">
        <v>1034.48275862069</v>
      </c>
      <c r="S16" s="25">
        <v>1641.9</v>
      </c>
      <c r="T16" s="26">
        <v>2827.5862068965498</v>
      </c>
      <c r="U16" s="183">
        <f t="shared" si="8"/>
        <v>12955.199999999999</v>
      </c>
      <c r="V16" s="90">
        <f t="shared" si="9"/>
        <v>13413.793103448264</v>
      </c>
      <c r="W16" s="25">
        <v>0</v>
      </c>
      <c r="X16" s="26"/>
      <c r="Y16" s="92">
        <f t="shared" si="10"/>
        <v>12955.199999999999</v>
      </c>
      <c r="Z16" s="94">
        <f t="shared" si="10"/>
        <v>13413.793103448264</v>
      </c>
      <c r="AA16" s="29" t="s">
        <v>73</v>
      </c>
      <c r="AB16" s="30">
        <v>8</v>
      </c>
      <c r="AC16" s="31" t="s">
        <v>7</v>
      </c>
      <c r="AD16" s="232"/>
      <c r="AE16" s="43"/>
      <c r="AF16" s="221">
        <f t="shared" si="1"/>
        <v>11313.3</v>
      </c>
    </row>
    <row r="17" spans="1:32" ht="18.600000000000001" customHeight="1" x14ac:dyDescent="0.25">
      <c r="A17" s="33" t="s">
        <v>10</v>
      </c>
      <c r="B17" s="34">
        <f>SUM(B9+1)</f>
        <v>6</v>
      </c>
      <c r="C17" s="35">
        <f t="shared" ref="C17:Y17" si="13">SUM(C10:C16)</f>
        <v>53167.149999999994</v>
      </c>
      <c r="D17" s="36">
        <f t="shared" si="13"/>
        <v>53586.206896551703</v>
      </c>
      <c r="E17" s="35">
        <f t="shared" si="13"/>
        <v>1276.8999999999999</v>
      </c>
      <c r="F17" s="37">
        <f t="shared" si="13"/>
        <v>2413.7931034482717</v>
      </c>
      <c r="G17" s="38">
        <f t="shared" si="13"/>
        <v>1080</v>
      </c>
      <c r="H17" s="37">
        <f>SUM(H10:H16)</f>
        <v>1206.8965517241359</v>
      </c>
      <c r="I17" s="38">
        <f>SUM(I10:I16)</f>
        <v>0</v>
      </c>
      <c r="J17" s="37">
        <f>SUM(J10:J16)</f>
        <v>0</v>
      </c>
      <c r="K17" s="35">
        <f t="shared" si="13"/>
        <v>7233.6</v>
      </c>
      <c r="L17" s="38">
        <f t="shared" si="13"/>
        <v>0</v>
      </c>
      <c r="M17" s="297">
        <f t="shared" si="13"/>
        <v>7233.6</v>
      </c>
      <c r="N17" s="36">
        <f t="shared" si="13"/>
        <v>9655.1724137930596</v>
      </c>
      <c r="O17" s="35">
        <f>SUM(O10:O16)</f>
        <v>1153.9000000000001</v>
      </c>
      <c r="P17" s="35">
        <f>SUM(P10:P16)</f>
        <v>8859</v>
      </c>
      <c r="Q17" s="35">
        <f>SUM(Q10:Q16)</f>
        <v>10012.9</v>
      </c>
      <c r="R17" s="36">
        <f t="shared" ref="R17" si="14">SUM(R10:R16)</f>
        <v>7241.3793103448306</v>
      </c>
      <c r="S17" s="35">
        <f t="shared" si="13"/>
        <v>16055.800000000001</v>
      </c>
      <c r="T17" s="36">
        <f t="shared" si="13"/>
        <v>19793.103448275851</v>
      </c>
      <c r="U17" s="35">
        <f t="shared" si="13"/>
        <v>88826.349999999991</v>
      </c>
      <c r="V17" s="36">
        <f>SUM(V10:V16)</f>
        <v>93896.55172413784</v>
      </c>
      <c r="W17" s="35">
        <f>SUM(W10:W16)</f>
        <v>0</v>
      </c>
      <c r="X17" s="36">
        <f>SUM(X10:X16)</f>
        <v>0</v>
      </c>
      <c r="Y17" s="35">
        <f t="shared" si="13"/>
        <v>88826.349999999991</v>
      </c>
      <c r="Z17" s="36">
        <f>SUM(Z10:Z16)</f>
        <v>93896.55172413784</v>
      </c>
      <c r="AA17" s="39" t="s">
        <v>11</v>
      </c>
      <c r="AB17" s="40">
        <f>SUM(AB10:AB16)/7</f>
        <v>8.4285714285714288</v>
      </c>
      <c r="AC17" s="41" t="s">
        <v>7</v>
      </c>
      <c r="AD17" s="287"/>
      <c r="AE17" s="43"/>
      <c r="AF17" s="221"/>
    </row>
    <row r="18" spans="1:32" ht="18.600000000000001" customHeight="1" x14ac:dyDescent="0.25">
      <c r="A18" s="44">
        <f>SUM(A16+1)</f>
        <v>12</v>
      </c>
      <c r="B18" s="15" t="s">
        <v>12</v>
      </c>
      <c r="C18" s="16">
        <v>6132.1</v>
      </c>
      <c r="D18" s="17">
        <v>7655.1724137930996</v>
      </c>
      <c r="E18" s="16">
        <v>9.5</v>
      </c>
      <c r="F18" s="18">
        <v>344.827586206896</v>
      </c>
      <c r="G18" s="19">
        <v>0</v>
      </c>
      <c r="H18" s="18">
        <v>172.413793103448</v>
      </c>
      <c r="I18" s="19">
        <v>0</v>
      </c>
      <c r="J18" s="18"/>
      <c r="K18" s="16">
        <v>0</v>
      </c>
      <c r="L18" s="19"/>
      <c r="M18" s="238">
        <f t="shared" ref="M18:M24" si="15">K18+L18</f>
        <v>0</v>
      </c>
      <c r="N18" s="85">
        <v>1379.3103448275799</v>
      </c>
      <c r="O18" s="16">
        <v>0</v>
      </c>
      <c r="P18" s="238">
        <v>1344</v>
      </c>
      <c r="Q18" s="19">
        <f>SUM(O18:P18)</f>
        <v>1344</v>
      </c>
      <c r="R18" s="17">
        <v>1034.48275862069</v>
      </c>
      <c r="S18" s="16">
        <v>2322.1</v>
      </c>
      <c r="T18" s="17">
        <v>2827.5862068965498</v>
      </c>
      <c r="U18" s="91">
        <f t="shared" ref="U18:U24" si="16">C18+E18+G18+I18+M18+Q18+S18</f>
        <v>9807.7000000000007</v>
      </c>
      <c r="V18" s="89">
        <f t="shared" ref="V18:V24" si="17">D18+F18+H18+J18+N18+R18+T18</f>
        <v>13413.793103448264</v>
      </c>
      <c r="W18" s="16">
        <v>0</v>
      </c>
      <c r="X18" s="17"/>
      <c r="Y18" s="109">
        <f t="shared" ref="Y18:Z24" si="18">SUM(U18+W18)</f>
        <v>9807.7000000000007</v>
      </c>
      <c r="Z18" s="110">
        <f t="shared" si="18"/>
        <v>13413.793103448264</v>
      </c>
      <c r="AA18" s="50" t="s">
        <v>115</v>
      </c>
      <c r="AB18" s="51">
        <v>9</v>
      </c>
      <c r="AC18" s="21" t="s">
        <v>7</v>
      </c>
      <c r="AD18" s="231"/>
      <c r="AE18" s="43"/>
      <c r="AF18" s="221">
        <f t="shared" si="1"/>
        <v>6141.6</v>
      </c>
    </row>
    <row r="19" spans="1:32" ht="18.600000000000001" customHeight="1" x14ac:dyDescent="0.25">
      <c r="A19" s="47">
        <f t="shared" ref="A19:A24" si="19">SUM(A18+1)</f>
        <v>13</v>
      </c>
      <c r="B19" s="15" t="s">
        <v>13</v>
      </c>
      <c r="C19" s="16">
        <v>10156.5</v>
      </c>
      <c r="D19" s="17">
        <v>7655.1724137930996</v>
      </c>
      <c r="E19" s="16">
        <v>1018.8</v>
      </c>
      <c r="F19" s="18">
        <v>344.827586206896</v>
      </c>
      <c r="G19" s="19">
        <v>356.8</v>
      </c>
      <c r="H19" s="18">
        <v>172.413793103448</v>
      </c>
      <c r="I19" s="19">
        <v>0</v>
      </c>
      <c r="J19" s="18"/>
      <c r="K19" s="16">
        <v>0</v>
      </c>
      <c r="L19" s="19"/>
      <c r="M19" s="238">
        <f t="shared" si="15"/>
        <v>0</v>
      </c>
      <c r="N19" s="85">
        <v>1379.3103448275799</v>
      </c>
      <c r="O19" s="16">
        <v>1292.2</v>
      </c>
      <c r="P19" s="238">
        <v>2372</v>
      </c>
      <c r="Q19" s="19">
        <f t="shared" ref="Q19:Q24" si="20">SUM(O19:P19)</f>
        <v>3664.2</v>
      </c>
      <c r="R19" s="17">
        <v>1034.48275862069</v>
      </c>
      <c r="S19" s="16">
        <v>5211.1000000000004</v>
      </c>
      <c r="T19" s="17">
        <v>2827.5862068965498</v>
      </c>
      <c r="U19" s="91">
        <f t="shared" si="16"/>
        <v>20407.400000000001</v>
      </c>
      <c r="V19" s="89">
        <f t="shared" si="17"/>
        <v>13413.793103448264</v>
      </c>
      <c r="W19" s="16">
        <v>0</v>
      </c>
      <c r="X19" s="17"/>
      <c r="Y19" s="109">
        <f t="shared" si="18"/>
        <v>20407.400000000001</v>
      </c>
      <c r="Z19" s="110">
        <f t="shared" si="18"/>
        <v>13413.793103448264</v>
      </c>
      <c r="AA19" s="45" t="s">
        <v>115</v>
      </c>
      <c r="AB19" s="46">
        <v>9</v>
      </c>
      <c r="AC19" s="21" t="s">
        <v>7</v>
      </c>
      <c r="AD19" s="231"/>
      <c r="AE19" s="43"/>
      <c r="AF19" s="221">
        <f t="shared" si="1"/>
        <v>12824.3</v>
      </c>
    </row>
    <row r="20" spans="1:32" ht="18.600000000000001" customHeight="1" x14ac:dyDescent="0.25">
      <c r="A20" s="47">
        <f t="shared" si="19"/>
        <v>14</v>
      </c>
      <c r="B20" s="15" t="s">
        <v>14</v>
      </c>
      <c r="C20" s="16">
        <v>15532.7</v>
      </c>
      <c r="D20" s="17">
        <v>7655.1724137930996</v>
      </c>
      <c r="E20" s="16">
        <v>29</v>
      </c>
      <c r="F20" s="18">
        <v>344.827586206896</v>
      </c>
      <c r="G20" s="19">
        <v>160.30000000000001</v>
      </c>
      <c r="H20" s="18">
        <v>172.413793103448</v>
      </c>
      <c r="I20" s="19">
        <v>0</v>
      </c>
      <c r="J20" s="18"/>
      <c r="K20" s="16">
        <v>670</v>
      </c>
      <c r="L20" s="19"/>
      <c r="M20" s="238">
        <f t="shared" si="15"/>
        <v>670</v>
      </c>
      <c r="N20" s="85">
        <v>1379.3103448275799</v>
      </c>
      <c r="O20" s="16">
        <v>828.9</v>
      </c>
      <c r="P20" s="238">
        <v>1948</v>
      </c>
      <c r="Q20" s="19">
        <f t="shared" si="20"/>
        <v>2776.9</v>
      </c>
      <c r="R20" s="17">
        <v>1034.48275862069</v>
      </c>
      <c r="S20" s="16">
        <v>3285.2</v>
      </c>
      <c r="T20" s="17">
        <v>2827.5862068965498</v>
      </c>
      <c r="U20" s="91">
        <f t="shared" si="16"/>
        <v>22454.100000000002</v>
      </c>
      <c r="V20" s="89">
        <f t="shared" si="17"/>
        <v>13413.793103448264</v>
      </c>
      <c r="W20" s="16">
        <v>0</v>
      </c>
      <c r="X20" s="17"/>
      <c r="Y20" s="109">
        <f t="shared" si="18"/>
        <v>22454.100000000002</v>
      </c>
      <c r="Z20" s="110">
        <f t="shared" si="18"/>
        <v>13413.793103448264</v>
      </c>
      <c r="AA20" s="45" t="s">
        <v>114</v>
      </c>
      <c r="AB20" s="46">
        <v>11</v>
      </c>
      <c r="AC20" s="21" t="s">
        <v>7</v>
      </c>
      <c r="AD20" s="231" t="s">
        <v>113</v>
      </c>
      <c r="AE20" s="43"/>
      <c r="AF20" s="221">
        <f t="shared" si="1"/>
        <v>17220.900000000001</v>
      </c>
    </row>
    <row r="21" spans="1:32" s="43" customFormat="1" ht="18.600000000000001" customHeight="1" x14ac:dyDescent="0.25">
      <c r="A21" s="47">
        <f t="shared" si="19"/>
        <v>15</v>
      </c>
      <c r="B21" s="15" t="s">
        <v>15</v>
      </c>
      <c r="C21" s="16">
        <v>8861</v>
      </c>
      <c r="D21" s="17">
        <v>7655.1724137930996</v>
      </c>
      <c r="E21" s="16">
        <v>0</v>
      </c>
      <c r="F21" s="18">
        <v>344.827586206896</v>
      </c>
      <c r="G21" s="19">
        <v>105.5</v>
      </c>
      <c r="H21" s="18">
        <v>172.413793103448</v>
      </c>
      <c r="I21" s="19">
        <v>0</v>
      </c>
      <c r="J21" s="18"/>
      <c r="K21" s="16">
        <v>0</v>
      </c>
      <c r="L21" s="19"/>
      <c r="M21" s="238">
        <f t="shared" si="15"/>
        <v>0</v>
      </c>
      <c r="N21" s="85">
        <v>1379.3103448275799</v>
      </c>
      <c r="O21" s="16">
        <v>0</v>
      </c>
      <c r="P21" s="238">
        <v>999</v>
      </c>
      <c r="Q21" s="19">
        <f t="shared" si="20"/>
        <v>999</v>
      </c>
      <c r="R21" s="17">
        <v>1034.48275862069</v>
      </c>
      <c r="S21" s="16">
        <v>1059</v>
      </c>
      <c r="T21" s="17">
        <v>2827.5862068965498</v>
      </c>
      <c r="U21" s="91">
        <f t="shared" si="16"/>
        <v>11024.5</v>
      </c>
      <c r="V21" s="89">
        <f t="shared" si="17"/>
        <v>13413.793103448264</v>
      </c>
      <c r="W21" s="16">
        <v>0</v>
      </c>
      <c r="X21" s="17"/>
      <c r="Y21" s="109">
        <f>SUM(U21+W21)</f>
        <v>11024.5</v>
      </c>
      <c r="Z21" s="110">
        <f t="shared" si="18"/>
        <v>13413.793103448264</v>
      </c>
      <c r="AA21" s="45" t="s">
        <v>81</v>
      </c>
      <c r="AB21" s="46">
        <v>9</v>
      </c>
      <c r="AC21" s="21" t="s">
        <v>7</v>
      </c>
      <c r="AD21" s="231"/>
      <c r="AF21" s="221">
        <f t="shared" si="1"/>
        <v>8966.5</v>
      </c>
    </row>
    <row r="22" spans="1:32" ht="18.600000000000001" customHeight="1" x14ac:dyDescent="0.25">
      <c r="A22" s="47">
        <f t="shared" si="19"/>
        <v>16</v>
      </c>
      <c r="B22" s="15" t="s">
        <v>6</v>
      </c>
      <c r="C22" s="16">
        <v>11537.95</v>
      </c>
      <c r="D22" s="17">
        <v>7655.1724137930996</v>
      </c>
      <c r="E22" s="16">
        <v>159.4</v>
      </c>
      <c r="F22" s="18">
        <v>344.827586206896</v>
      </c>
      <c r="G22" s="19">
        <v>196.3</v>
      </c>
      <c r="H22" s="18">
        <v>172.413793103448</v>
      </c>
      <c r="I22" s="19">
        <v>0</v>
      </c>
      <c r="J22" s="18"/>
      <c r="K22" s="16">
        <v>0</v>
      </c>
      <c r="L22" s="19"/>
      <c r="M22" s="238">
        <f t="shared" si="15"/>
        <v>0</v>
      </c>
      <c r="N22" s="85">
        <v>1379.3103448275799</v>
      </c>
      <c r="O22" s="16">
        <v>0</v>
      </c>
      <c r="P22" s="238">
        <v>0</v>
      </c>
      <c r="Q22" s="19">
        <f t="shared" si="20"/>
        <v>0</v>
      </c>
      <c r="R22" s="17">
        <v>1034.48275862069</v>
      </c>
      <c r="S22" s="16">
        <v>1156.2</v>
      </c>
      <c r="T22" s="17">
        <v>2827.5862068965498</v>
      </c>
      <c r="U22" s="91">
        <f t="shared" si="16"/>
        <v>13049.85</v>
      </c>
      <c r="V22" s="89">
        <f t="shared" si="17"/>
        <v>13413.793103448264</v>
      </c>
      <c r="W22" s="16">
        <v>0</v>
      </c>
      <c r="X22" s="17"/>
      <c r="Y22" s="109">
        <f t="shared" si="18"/>
        <v>13049.85</v>
      </c>
      <c r="Z22" s="110">
        <f t="shared" si="18"/>
        <v>13413.793103448264</v>
      </c>
      <c r="AA22" s="45" t="s">
        <v>60</v>
      </c>
      <c r="AB22" s="46">
        <v>13</v>
      </c>
      <c r="AC22" s="21" t="s">
        <v>7</v>
      </c>
      <c r="AD22" s="231"/>
      <c r="AE22" s="43"/>
      <c r="AF22" s="221">
        <f t="shared" si="1"/>
        <v>11893.65</v>
      </c>
    </row>
    <row r="23" spans="1:32" ht="18.600000000000001" customHeight="1" x14ac:dyDescent="0.25">
      <c r="A23" s="23">
        <f t="shared" si="19"/>
        <v>17</v>
      </c>
      <c r="B23" s="24" t="s">
        <v>8</v>
      </c>
      <c r="C23" s="25">
        <v>14138.5</v>
      </c>
      <c r="D23" s="26">
        <v>7655.1724137930996</v>
      </c>
      <c r="E23" s="25">
        <v>0</v>
      </c>
      <c r="F23" s="27">
        <v>344.827586206896</v>
      </c>
      <c r="G23" s="28">
        <v>198.6</v>
      </c>
      <c r="H23" s="27">
        <v>172.413793103448</v>
      </c>
      <c r="I23" s="28">
        <v>0</v>
      </c>
      <c r="J23" s="27"/>
      <c r="K23" s="25">
        <v>3249.5</v>
      </c>
      <c r="L23" s="28"/>
      <c r="M23" s="239">
        <f t="shared" si="15"/>
        <v>3249.5</v>
      </c>
      <c r="N23" s="86">
        <v>1379.3103448275799</v>
      </c>
      <c r="O23" s="25">
        <v>0</v>
      </c>
      <c r="P23" s="239">
        <v>0</v>
      </c>
      <c r="Q23" s="28">
        <f t="shared" si="20"/>
        <v>0</v>
      </c>
      <c r="R23" s="26">
        <v>1034.48275862069</v>
      </c>
      <c r="S23" s="25">
        <v>3418.6</v>
      </c>
      <c r="T23" s="26">
        <v>2827.5862068965498</v>
      </c>
      <c r="U23" s="183">
        <f t="shared" si="16"/>
        <v>21005.199999999997</v>
      </c>
      <c r="V23" s="90">
        <f t="shared" si="17"/>
        <v>13413.793103448264</v>
      </c>
      <c r="W23" s="25">
        <v>0</v>
      </c>
      <c r="X23" s="26"/>
      <c r="Y23" s="92">
        <f t="shared" si="18"/>
        <v>21005.199999999997</v>
      </c>
      <c r="Z23" s="94">
        <f t="shared" si="18"/>
        <v>13413.793103448264</v>
      </c>
      <c r="AA23" s="45" t="s">
        <v>81</v>
      </c>
      <c r="AB23" s="30">
        <v>9</v>
      </c>
      <c r="AC23" s="31" t="s">
        <v>7</v>
      </c>
      <c r="AD23" s="232"/>
      <c r="AE23" s="43"/>
      <c r="AF23" s="221">
        <f t="shared" si="1"/>
        <v>17586.599999999999</v>
      </c>
    </row>
    <row r="24" spans="1:32" ht="18.600000000000001" customHeight="1" x14ac:dyDescent="0.25">
      <c r="A24" s="23">
        <f t="shared" si="19"/>
        <v>18</v>
      </c>
      <c r="B24" s="24" t="s">
        <v>9</v>
      </c>
      <c r="C24" s="25">
        <v>14312</v>
      </c>
      <c r="D24" s="26">
        <v>7655.1724137930996</v>
      </c>
      <c r="E24" s="25">
        <v>280.10000000000002</v>
      </c>
      <c r="F24" s="27">
        <v>344.827586206896</v>
      </c>
      <c r="G24" s="28">
        <v>356.3</v>
      </c>
      <c r="H24" s="27">
        <v>172.413793103448</v>
      </c>
      <c r="I24" s="28">
        <v>0</v>
      </c>
      <c r="J24" s="27"/>
      <c r="K24" s="25">
        <v>5182</v>
      </c>
      <c r="L24" s="28"/>
      <c r="M24" s="239">
        <f t="shared" si="15"/>
        <v>5182</v>
      </c>
      <c r="N24" s="86">
        <v>1379.3103448275799</v>
      </c>
      <c r="O24" s="25">
        <v>0</v>
      </c>
      <c r="P24" s="239">
        <v>0</v>
      </c>
      <c r="Q24" s="28">
        <f t="shared" si="20"/>
        <v>0</v>
      </c>
      <c r="R24" s="26">
        <v>1034.48275862069</v>
      </c>
      <c r="S24" s="25">
        <v>775.4</v>
      </c>
      <c r="T24" s="26">
        <v>2827.5862068965498</v>
      </c>
      <c r="U24" s="183">
        <f t="shared" si="16"/>
        <v>20905.800000000003</v>
      </c>
      <c r="V24" s="90">
        <f t="shared" si="17"/>
        <v>13413.793103448264</v>
      </c>
      <c r="W24" s="25">
        <v>0</v>
      </c>
      <c r="X24" s="26"/>
      <c r="Y24" s="92">
        <f t="shared" si="18"/>
        <v>20905.800000000003</v>
      </c>
      <c r="Z24" s="94">
        <f t="shared" si="18"/>
        <v>13413.793103448264</v>
      </c>
      <c r="AA24" s="45" t="s">
        <v>81</v>
      </c>
      <c r="AB24" s="30">
        <v>12</v>
      </c>
      <c r="AC24" s="31" t="s">
        <v>7</v>
      </c>
      <c r="AD24" s="232"/>
      <c r="AE24" s="43"/>
      <c r="AF24" s="221">
        <f t="shared" si="1"/>
        <v>20130.400000000001</v>
      </c>
    </row>
    <row r="25" spans="1:32" ht="18.600000000000001" customHeight="1" x14ac:dyDescent="0.25">
      <c r="A25" s="33" t="s">
        <v>10</v>
      </c>
      <c r="B25" s="34">
        <f>SUM(B17+1)</f>
        <v>7</v>
      </c>
      <c r="C25" s="35">
        <f t="shared" ref="C25:U25" si="21">SUM(C18:C24)</f>
        <v>80670.75</v>
      </c>
      <c r="D25" s="36">
        <f t="shared" si="21"/>
        <v>53586.206896551703</v>
      </c>
      <c r="E25" s="35">
        <f t="shared" si="21"/>
        <v>1496.8000000000002</v>
      </c>
      <c r="F25" s="37">
        <f t="shared" si="21"/>
        <v>2413.7931034482717</v>
      </c>
      <c r="G25" s="38">
        <f t="shared" si="21"/>
        <v>1373.8000000000002</v>
      </c>
      <c r="H25" s="37">
        <f>SUM(H18:H24)</f>
        <v>1206.8965517241359</v>
      </c>
      <c r="I25" s="38">
        <f>SUM(I18:I24)</f>
        <v>0</v>
      </c>
      <c r="J25" s="37">
        <f>SUM(J18:J24)</f>
        <v>0</v>
      </c>
      <c r="K25" s="35">
        <f t="shared" si="21"/>
        <v>9101.5</v>
      </c>
      <c r="L25" s="38">
        <f t="shared" si="21"/>
        <v>0</v>
      </c>
      <c r="M25" s="297">
        <f t="shared" si="21"/>
        <v>9101.5</v>
      </c>
      <c r="N25" s="36">
        <f t="shared" si="21"/>
        <v>9655.1724137930596</v>
      </c>
      <c r="O25" s="36">
        <f>SUM(O18:O24)</f>
        <v>2121.1</v>
      </c>
      <c r="P25" s="35">
        <f>SUM(P18:P24)</f>
        <v>6663</v>
      </c>
      <c r="Q25" s="35">
        <f>SUM(Q18:Q24)</f>
        <v>8784.1</v>
      </c>
      <c r="R25" s="36">
        <f t="shared" ref="R25" si="22">SUM(R18:R24)</f>
        <v>7241.3793103448306</v>
      </c>
      <c r="S25" s="35">
        <f t="shared" si="21"/>
        <v>17227.600000000002</v>
      </c>
      <c r="T25" s="36">
        <f t="shared" si="21"/>
        <v>19793.103448275851</v>
      </c>
      <c r="U25" s="35">
        <f t="shared" si="21"/>
        <v>118654.55</v>
      </c>
      <c r="V25" s="36">
        <f>SUM(V18:V24)</f>
        <v>93896.55172413784</v>
      </c>
      <c r="W25" s="35">
        <f>SUM(W18:W24)</f>
        <v>0</v>
      </c>
      <c r="X25" s="36">
        <f>SUM(X18:X24)</f>
        <v>0</v>
      </c>
      <c r="Y25" s="35">
        <f>SUM(Y18:Y24)</f>
        <v>118654.55</v>
      </c>
      <c r="Z25" s="36">
        <f>SUM(Z18:Z24)</f>
        <v>93896.55172413784</v>
      </c>
      <c r="AA25" s="39" t="s">
        <v>11</v>
      </c>
      <c r="AB25" s="40">
        <f>SUM(AB18:AB24)/7</f>
        <v>10.285714285714286</v>
      </c>
      <c r="AC25" s="41" t="s">
        <v>7</v>
      </c>
      <c r="AD25" s="287"/>
      <c r="AE25" s="43"/>
      <c r="AF25" s="221"/>
    </row>
    <row r="26" spans="1:32" ht="18.600000000000001" customHeight="1" x14ac:dyDescent="0.25">
      <c r="A26" s="44">
        <f>SUM(A24+1)</f>
        <v>19</v>
      </c>
      <c r="B26" s="15" t="s">
        <v>12</v>
      </c>
      <c r="C26" s="16">
        <v>7152.1</v>
      </c>
      <c r="D26" s="17">
        <v>7655.1724137930996</v>
      </c>
      <c r="E26" s="16">
        <v>0</v>
      </c>
      <c r="F26" s="18">
        <v>344.827586206896</v>
      </c>
      <c r="G26" s="19">
        <v>19.5</v>
      </c>
      <c r="H26" s="18">
        <v>172.413793103448</v>
      </c>
      <c r="I26" s="19">
        <v>0</v>
      </c>
      <c r="J26" s="18"/>
      <c r="K26" s="16">
        <v>0</v>
      </c>
      <c r="L26" s="19"/>
      <c r="M26" s="238">
        <f t="shared" ref="M26:M32" si="23">K26+L26</f>
        <v>0</v>
      </c>
      <c r="N26" s="85">
        <v>1379.3103448275799</v>
      </c>
      <c r="O26" s="16">
        <v>0</v>
      </c>
      <c r="P26" s="238">
        <v>0</v>
      </c>
      <c r="Q26" s="19">
        <f>SUM(O26:P26)</f>
        <v>0</v>
      </c>
      <c r="R26" s="17">
        <v>1034.48275862069</v>
      </c>
      <c r="S26" s="16">
        <v>2130.6</v>
      </c>
      <c r="T26" s="17">
        <v>2827.5862068965498</v>
      </c>
      <c r="U26" s="91">
        <f t="shared" ref="U26:U32" si="24">C26+E26+G26+I26+M26+Q26+S26</f>
        <v>9302.2000000000007</v>
      </c>
      <c r="V26" s="89">
        <f t="shared" ref="V26:V32" si="25">D26+F26+H26+J26+N26+R26+T26</f>
        <v>13413.793103448264</v>
      </c>
      <c r="W26" s="16">
        <v>0</v>
      </c>
      <c r="X26" s="17"/>
      <c r="Y26" s="109">
        <f t="shared" ref="Y26:Z32" si="26">SUM(U26+W26)</f>
        <v>9302.2000000000007</v>
      </c>
      <c r="Z26" s="110">
        <f t="shared" si="26"/>
        <v>13413.793103448264</v>
      </c>
      <c r="AA26" s="50" t="s">
        <v>91</v>
      </c>
      <c r="AB26" s="51">
        <v>11</v>
      </c>
      <c r="AC26" s="21" t="s">
        <v>7</v>
      </c>
      <c r="AD26" s="231"/>
      <c r="AE26" s="43"/>
      <c r="AF26" s="221">
        <f>+C26+E26+G26+K26+O26+W26</f>
        <v>7171.6</v>
      </c>
    </row>
    <row r="27" spans="1:32" ht="18.600000000000001" customHeight="1" x14ac:dyDescent="0.25">
      <c r="A27" s="47">
        <f>SUM(A26+1)</f>
        <v>20</v>
      </c>
      <c r="B27" s="15" t="s">
        <v>13</v>
      </c>
      <c r="C27" s="16">
        <v>4628.8999999999996</v>
      </c>
      <c r="D27" s="17">
        <v>7655.1724137930996</v>
      </c>
      <c r="E27" s="16">
        <v>29.5</v>
      </c>
      <c r="F27" s="18">
        <v>344.827586206896</v>
      </c>
      <c r="G27" s="19">
        <v>39.700000000000003</v>
      </c>
      <c r="H27" s="18">
        <v>172.413793103448</v>
      </c>
      <c r="I27" s="19">
        <v>0</v>
      </c>
      <c r="J27" s="18"/>
      <c r="K27" s="16">
        <v>0</v>
      </c>
      <c r="L27" s="19"/>
      <c r="M27" s="238">
        <f t="shared" si="23"/>
        <v>0</v>
      </c>
      <c r="N27" s="85">
        <v>1379.3103448275799</v>
      </c>
      <c r="O27" s="16">
        <v>393.8</v>
      </c>
      <c r="P27" s="238">
        <v>1728</v>
      </c>
      <c r="Q27" s="19">
        <f t="shared" ref="Q27:Q31" si="27">SUM(O27:P27)</f>
        <v>2121.8000000000002</v>
      </c>
      <c r="R27" s="17">
        <v>1034.48275862069</v>
      </c>
      <c r="S27" s="16">
        <v>3270.7</v>
      </c>
      <c r="T27" s="17">
        <v>2827.5862068965498</v>
      </c>
      <c r="U27" s="91">
        <f t="shared" si="24"/>
        <v>10090.599999999999</v>
      </c>
      <c r="V27" s="89">
        <f t="shared" si="25"/>
        <v>13413.793103448264</v>
      </c>
      <c r="W27" s="16">
        <v>0</v>
      </c>
      <c r="X27" s="17"/>
      <c r="Y27" s="109">
        <f t="shared" si="26"/>
        <v>10090.599999999999</v>
      </c>
      <c r="Z27" s="110">
        <f t="shared" si="26"/>
        <v>13413.793103448264</v>
      </c>
      <c r="AA27" s="45" t="s">
        <v>60</v>
      </c>
      <c r="AB27" s="46">
        <v>9</v>
      </c>
      <c r="AC27" s="21" t="s">
        <v>7</v>
      </c>
      <c r="AD27" s="231"/>
      <c r="AE27" s="43"/>
      <c r="AF27" s="221">
        <f t="shared" si="1"/>
        <v>5091.8999999999996</v>
      </c>
    </row>
    <row r="28" spans="1:32" ht="18.600000000000001" customHeight="1" x14ac:dyDescent="0.25">
      <c r="A28" s="47">
        <f t="shared" ref="A28:A32" si="28">SUM(A27+1)</f>
        <v>21</v>
      </c>
      <c r="B28" s="15" t="s">
        <v>14</v>
      </c>
      <c r="C28" s="16">
        <v>4970.6000000000004</v>
      </c>
      <c r="D28" s="17">
        <v>7655.1724137930996</v>
      </c>
      <c r="E28" s="16">
        <v>12</v>
      </c>
      <c r="F28" s="18">
        <v>344.827586206896</v>
      </c>
      <c r="G28" s="19">
        <v>165.8</v>
      </c>
      <c r="H28" s="18">
        <v>172.413793103448</v>
      </c>
      <c r="I28" s="19">
        <v>0</v>
      </c>
      <c r="J28" s="18"/>
      <c r="K28" s="16">
        <v>0</v>
      </c>
      <c r="L28" s="19"/>
      <c r="M28" s="238">
        <f t="shared" si="23"/>
        <v>0</v>
      </c>
      <c r="N28" s="85">
        <v>1379.3103448275799</v>
      </c>
      <c r="O28" s="16">
        <v>0</v>
      </c>
      <c r="P28" s="238">
        <v>3413</v>
      </c>
      <c r="Q28" s="19">
        <f t="shared" si="27"/>
        <v>3413</v>
      </c>
      <c r="R28" s="17">
        <v>1034.48275862069</v>
      </c>
      <c r="S28" s="16">
        <v>1990.5</v>
      </c>
      <c r="T28" s="17">
        <v>2827.5862068965498</v>
      </c>
      <c r="U28" s="91">
        <f t="shared" si="24"/>
        <v>10551.900000000001</v>
      </c>
      <c r="V28" s="89">
        <f t="shared" si="25"/>
        <v>13413.793103448264</v>
      </c>
      <c r="W28" s="16">
        <v>0</v>
      </c>
      <c r="X28" s="17"/>
      <c r="Y28" s="109">
        <f t="shared" si="26"/>
        <v>10551.900000000001</v>
      </c>
      <c r="Z28" s="110">
        <f t="shared" si="26"/>
        <v>13413.793103448264</v>
      </c>
      <c r="AA28" s="45" t="s">
        <v>81</v>
      </c>
      <c r="AB28" s="46">
        <v>10</v>
      </c>
      <c r="AC28" s="21" t="s">
        <v>7</v>
      </c>
      <c r="AD28" s="231"/>
      <c r="AE28" s="43"/>
      <c r="AF28" s="221">
        <f t="shared" si="1"/>
        <v>5148.4000000000005</v>
      </c>
    </row>
    <row r="29" spans="1:32" s="43" customFormat="1" ht="18.600000000000001" customHeight="1" x14ac:dyDescent="0.25">
      <c r="A29" s="47">
        <f t="shared" si="28"/>
        <v>22</v>
      </c>
      <c r="B29" s="15" t="s">
        <v>15</v>
      </c>
      <c r="C29" s="16">
        <v>7805.2</v>
      </c>
      <c r="D29" s="17">
        <v>7655.1724137930996</v>
      </c>
      <c r="E29" s="16">
        <v>0</v>
      </c>
      <c r="F29" s="18">
        <v>344.827586206896</v>
      </c>
      <c r="G29" s="19">
        <v>0</v>
      </c>
      <c r="H29" s="18">
        <v>172.413793103448</v>
      </c>
      <c r="I29" s="19">
        <v>0</v>
      </c>
      <c r="J29" s="18"/>
      <c r="K29" s="16">
        <v>0</v>
      </c>
      <c r="L29" s="19"/>
      <c r="M29" s="238">
        <f t="shared" si="23"/>
        <v>0</v>
      </c>
      <c r="N29" s="85">
        <v>1379.3103448275799</v>
      </c>
      <c r="O29" s="16">
        <v>0</v>
      </c>
      <c r="P29" s="238">
        <v>0</v>
      </c>
      <c r="Q29" s="19">
        <f t="shared" si="27"/>
        <v>0</v>
      </c>
      <c r="R29" s="17">
        <v>1034.48275862069</v>
      </c>
      <c r="S29" s="16">
        <v>868.5</v>
      </c>
      <c r="T29" s="17">
        <v>2827.5862068965498</v>
      </c>
      <c r="U29" s="91">
        <f t="shared" si="24"/>
        <v>8673.7000000000007</v>
      </c>
      <c r="V29" s="89">
        <f t="shared" si="25"/>
        <v>13413.793103448264</v>
      </c>
      <c r="W29" s="16">
        <v>0</v>
      </c>
      <c r="X29" s="17"/>
      <c r="Y29" s="109">
        <f t="shared" si="26"/>
        <v>8673.7000000000007</v>
      </c>
      <c r="Z29" s="110">
        <f t="shared" si="26"/>
        <v>13413.793103448264</v>
      </c>
      <c r="AA29" s="45" t="s">
        <v>77</v>
      </c>
      <c r="AB29" s="46">
        <v>11</v>
      </c>
      <c r="AC29" s="21" t="s">
        <v>7</v>
      </c>
      <c r="AD29" s="231"/>
      <c r="AF29" s="221">
        <f t="shared" si="1"/>
        <v>7805.2</v>
      </c>
    </row>
    <row r="30" spans="1:32" ht="18.600000000000001" customHeight="1" x14ac:dyDescent="0.25">
      <c r="A30" s="47">
        <f t="shared" si="28"/>
        <v>23</v>
      </c>
      <c r="B30" s="52" t="s">
        <v>6</v>
      </c>
      <c r="C30" s="16">
        <v>9963.2999999999993</v>
      </c>
      <c r="D30" s="17">
        <v>7655.1724137930996</v>
      </c>
      <c r="E30" s="16">
        <v>73.5</v>
      </c>
      <c r="F30" s="18">
        <v>344.827586206896</v>
      </c>
      <c r="G30" s="19">
        <v>172.3</v>
      </c>
      <c r="H30" s="18">
        <v>172.413793103448</v>
      </c>
      <c r="I30" s="19">
        <v>0</v>
      </c>
      <c r="J30" s="18"/>
      <c r="K30" s="16">
        <v>0</v>
      </c>
      <c r="L30" s="19"/>
      <c r="M30" s="238">
        <f t="shared" si="23"/>
        <v>0</v>
      </c>
      <c r="N30" s="85">
        <v>1379.3103448275799</v>
      </c>
      <c r="O30" s="16">
        <v>492.7</v>
      </c>
      <c r="P30" s="238">
        <v>3743</v>
      </c>
      <c r="Q30" s="19">
        <f t="shared" si="27"/>
        <v>4235.7</v>
      </c>
      <c r="R30" s="17">
        <v>1034.48275862069</v>
      </c>
      <c r="S30" s="16">
        <v>3133.9</v>
      </c>
      <c r="T30" s="17">
        <v>2827.5862068965498</v>
      </c>
      <c r="U30" s="91">
        <f t="shared" si="24"/>
        <v>17578.7</v>
      </c>
      <c r="V30" s="89">
        <f t="shared" si="25"/>
        <v>13413.793103448264</v>
      </c>
      <c r="W30" s="16">
        <v>0</v>
      </c>
      <c r="X30" s="17"/>
      <c r="Y30" s="109">
        <f t="shared" si="26"/>
        <v>17578.7</v>
      </c>
      <c r="Z30" s="110">
        <f t="shared" si="26"/>
        <v>13413.793103448264</v>
      </c>
      <c r="AA30" s="45" t="s">
        <v>87</v>
      </c>
      <c r="AB30" s="46">
        <v>8</v>
      </c>
      <c r="AC30" s="21" t="s">
        <v>7</v>
      </c>
      <c r="AD30" s="231"/>
      <c r="AE30" s="43"/>
      <c r="AF30" s="221">
        <f t="shared" si="1"/>
        <v>10701.8</v>
      </c>
    </row>
    <row r="31" spans="1:32" ht="18.600000000000001" customHeight="1" x14ac:dyDescent="0.25">
      <c r="A31" s="23">
        <f t="shared" si="28"/>
        <v>24</v>
      </c>
      <c r="B31" s="24" t="s">
        <v>8</v>
      </c>
      <c r="C31" s="25">
        <v>12923.6</v>
      </c>
      <c r="D31" s="26">
        <v>7655.1724137930996</v>
      </c>
      <c r="E31" s="25">
        <v>48.1</v>
      </c>
      <c r="F31" s="27">
        <v>344.827586206896</v>
      </c>
      <c r="G31" s="28">
        <v>368.5</v>
      </c>
      <c r="H31" s="27">
        <v>172.413793103448</v>
      </c>
      <c r="I31" s="28">
        <v>0</v>
      </c>
      <c r="J31" s="27"/>
      <c r="K31" s="25">
        <v>3530.7</v>
      </c>
      <c r="L31" s="28"/>
      <c r="M31" s="239">
        <f t="shared" si="23"/>
        <v>3530.7</v>
      </c>
      <c r="N31" s="86">
        <v>1379.3103448275799</v>
      </c>
      <c r="O31" s="25">
        <v>111</v>
      </c>
      <c r="P31" s="239">
        <v>1560</v>
      </c>
      <c r="Q31" s="28">
        <f t="shared" si="27"/>
        <v>1671</v>
      </c>
      <c r="R31" s="26">
        <v>1034.48275862069</v>
      </c>
      <c r="S31" s="25">
        <v>3472.4</v>
      </c>
      <c r="T31" s="26">
        <v>2827.5862068965498</v>
      </c>
      <c r="U31" s="183">
        <f t="shared" si="24"/>
        <v>22014.300000000003</v>
      </c>
      <c r="V31" s="90">
        <f t="shared" si="25"/>
        <v>13413.793103448264</v>
      </c>
      <c r="W31" s="25">
        <v>0</v>
      </c>
      <c r="X31" s="26"/>
      <c r="Y31" s="92">
        <f t="shared" si="26"/>
        <v>22014.300000000003</v>
      </c>
      <c r="Z31" s="94">
        <f t="shared" si="26"/>
        <v>13413.793103448264</v>
      </c>
      <c r="AA31" s="45" t="s">
        <v>81</v>
      </c>
      <c r="AB31" s="30">
        <v>8</v>
      </c>
      <c r="AC31" s="31" t="s">
        <v>7</v>
      </c>
      <c r="AD31" s="232"/>
      <c r="AE31" s="43"/>
      <c r="AF31" s="221">
        <f t="shared" si="1"/>
        <v>16981.900000000001</v>
      </c>
    </row>
    <row r="32" spans="1:32" ht="18.600000000000001" customHeight="1" x14ac:dyDescent="0.25">
      <c r="A32" s="23">
        <f t="shared" si="28"/>
        <v>25</v>
      </c>
      <c r="B32" s="24" t="s">
        <v>9</v>
      </c>
      <c r="C32" s="25">
        <v>10113.6</v>
      </c>
      <c r="D32" s="26">
        <v>7655.1724137930996</v>
      </c>
      <c r="E32" s="25">
        <v>3458.7</v>
      </c>
      <c r="F32" s="27">
        <v>344.827586206896</v>
      </c>
      <c r="G32" s="28">
        <v>823.3</v>
      </c>
      <c r="H32" s="27">
        <v>172.413793103448</v>
      </c>
      <c r="I32" s="28">
        <v>0</v>
      </c>
      <c r="J32" s="27"/>
      <c r="K32" s="25">
        <v>4098.5</v>
      </c>
      <c r="L32" s="28"/>
      <c r="M32" s="239">
        <f t="shared" si="23"/>
        <v>4098.5</v>
      </c>
      <c r="N32" s="86">
        <v>1379.3103448275799</v>
      </c>
      <c r="O32" s="25">
        <v>0</v>
      </c>
      <c r="P32" s="239">
        <v>0</v>
      </c>
      <c r="Q32" s="28">
        <f>SUM(O32:P32)</f>
        <v>0</v>
      </c>
      <c r="R32" s="26">
        <v>1034.48275862069</v>
      </c>
      <c r="S32" s="25">
        <v>2600</v>
      </c>
      <c r="T32" s="26">
        <v>2827.5862068965498</v>
      </c>
      <c r="U32" s="183">
        <f t="shared" si="24"/>
        <v>21094.1</v>
      </c>
      <c r="V32" s="90">
        <f t="shared" si="25"/>
        <v>13413.793103448264</v>
      </c>
      <c r="W32" s="25">
        <v>0</v>
      </c>
      <c r="X32" s="26"/>
      <c r="Y32" s="92">
        <f t="shared" si="26"/>
        <v>21094.1</v>
      </c>
      <c r="Z32" s="94">
        <f t="shared" si="26"/>
        <v>13413.793103448264</v>
      </c>
      <c r="AA32" s="29" t="s">
        <v>58</v>
      </c>
      <c r="AB32" s="30">
        <v>9</v>
      </c>
      <c r="AC32" s="31" t="s">
        <v>7</v>
      </c>
      <c r="AD32" s="232"/>
      <c r="AE32" s="43"/>
      <c r="AF32" s="221">
        <f t="shared" si="1"/>
        <v>18494.099999999999</v>
      </c>
    </row>
    <row r="33" spans="1:34" ht="18.600000000000001" customHeight="1" x14ac:dyDescent="0.25">
      <c r="A33" s="33" t="s">
        <v>10</v>
      </c>
      <c r="B33" s="34">
        <f>SUM(B25+1)</f>
        <v>8</v>
      </c>
      <c r="C33" s="35">
        <f t="shared" ref="C33:Y33" si="29">SUM(C26:C32)</f>
        <v>57557.299999999996</v>
      </c>
      <c r="D33" s="36">
        <f t="shared" si="29"/>
        <v>53586.206896551703</v>
      </c>
      <c r="E33" s="35">
        <f t="shared" si="29"/>
        <v>3621.7999999999997</v>
      </c>
      <c r="F33" s="37">
        <f t="shared" si="29"/>
        <v>2413.7931034482717</v>
      </c>
      <c r="G33" s="38">
        <f t="shared" si="29"/>
        <v>1589.1</v>
      </c>
      <c r="H33" s="37">
        <f>SUM(H26:H32)</f>
        <v>1206.8965517241359</v>
      </c>
      <c r="I33" s="38">
        <f>SUM(I26:I32)</f>
        <v>0</v>
      </c>
      <c r="J33" s="37">
        <f>SUM(J26:J32)</f>
        <v>0</v>
      </c>
      <c r="K33" s="35">
        <f t="shared" si="29"/>
        <v>7629.2</v>
      </c>
      <c r="L33" s="38">
        <f t="shared" si="29"/>
        <v>0</v>
      </c>
      <c r="M33" s="297">
        <f t="shared" si="29"/>
        <v>7629.2</v>
      </c>
      <c r="N33" s="36">
        <f t="shared" si="29"/>
        <v>9655.1724137930596</v>
      </c>
      <c r="O33" s="36">
        <f>SUM(O26:O32)</f>
        <v>997.5</v>
      </c>
      <c r="P33" s="35">
        <f>SUM(P26:P32)</f>
        <v>10444</v>
      </c>
      <c r="Q33" s="35">
        <f>SUM(Q26:Q32)</f>
        <v>11441.5</v>
      </c>
      <c r="R33" s="36">
        <f t="shared" ref="R33" si="30">SUM(R26:R32)</f>
        <v>7241.3793103448306</v>
      </c>
      <c r="S33" s="35">
        <f t="shared" si="29"/>
        <v>17466.599999999999</v>
      </c>
      <c r="T33" s="36">
        <f t="shared" si="29"/>
        <v>19793.103448275851</v>
      </c>
      <c r="U33" s="35">
        <f t="shared" si="29"/>
        <v>99305.5</v>
      </c>
      <c r="V33" s="36">
        <f>SUM(V26:V32)</f>
        <v>93896.55172413784</v>
      </c>
      <c r="W33" s="35">
        <f>SUM(W26:W32)</f>
        <v>0</v>
      </c>
      <c r="X33" s="36">
        <f>SUM(X26:X32)</f>
        <v>0</v>
      </c>
      <c r="Y33" s="35">
        <f t="shared" si="29"/>
        <v>99305.5</v>
      </c>
      <c r="Z33" s="36">
        <f>SUM(Z26:Z32)</f>
        <v>93896.55172413784</v>
      </c>
      <c r="AA33" s="39" t="s">
        <v>11</v>
      </c>
      <c r="AB33" s="40">
        <f>SUM(AB26:AB32)/7</f>
        <v>9.4285714285714288</v>
      </c>
      <c r="AC33" s="41" t="s">
        <v>7</v>
      </c>
      <c r="AD33" s="287"/>
      <c r="AE33" s="43"/>
      <c r="AF33" s="221"/>
    </row>
    <row r="34" spans="1:34" ht="18.600000000000001" customHeight="1" x14ac:dyDescent="0.25">
      <c r="A34" s="47">
        <f t="shared" ref="A34" si="31">SUM(A32+1)</f>
        <v>26</v>
      </c>
      <c r="B34" s="15" t="s">
        <v>12</v>
      </c>
      <c r="C34" s="20">
        <v>4841.7</v>
      </c>
      <c r="D34" s="217">
        <v>7655.1724137930996</v>
      </c>
      <c r="E34" s="20">
        <v>0</v>
      </c>
      <c r="F34" s="218">
        <v>344.827586206896</v>
      </c>
      <c r="G34" s="226">
        <v>5.0999999999999996</v>
      </c>
      <c r="H34" s="218">
        <v>172.413793103448</v>
      </c>
      <c r="I34" s="226">
        <v>0</v>
      </c>
      <c r="J34" s="218"/>
      <c r="K34" s="20">
        <v>533</v>
      </c>
      <c r="L34" s="226"/>
      <c r="M34" s="250">
        <f t="shared" ref="M34:M37" si="32">K34+L34</f>
        <v>533</v>
      </c>
      <c r="N34" s="227">
        <v>1379.3103448275799</v>
      </c>
      <c r="O34" s="20">
        <v>31.6</v>
      </c>
      <c r="P34" s="238">
        <v>2749</v>
      </c>
      <c r="Q34" s="19">
        <f>SUM(O34:P34)</f>
        <v>2780.6</v>
      </c>
      <c r="R34" s="217">
        <v>1034.48275862069</v>
      </c>
      <c r="S34" s="20">
        <v>3556.2</v>
      </c>
      <c r="T34" s="217">
        <v>2827.5862068965498</v>
      </c>
      <c r="U34" s="219">
        <f t="shared" ref="U34:U36" si="33">C34+E34+G34+I34+M34+Q34+S34</f>
        <v>11716.599999999999</v>
      </c>
      <c r="V34" s="220">
        <f>D34+F34+H34+J34+N34+R34+T34</f>
        <v>13413.793103448264</v>
      </c>
      <c r="W34" s="20">
        <v>0</v>
      </c>
      <c r="X34" s="217"/>
      <c r="Y34" s="253">
        <f>SUM(U34+W34)</f>
        <v>11716.599999999999</v>
      </c>
      <c r="Z34" s="254">
        <f>SUM(V34+X34)</f>
        <v>13413.793103448264</v>
      </c>
      <c r="AA34" s="50" t="s">
        <v>78</v>
      </c>
      <c r="AB34" s="51">
        <v>10</v>
      </c>
      <c r="AC34" s="228" t="s">
        <v>7</v>
      </c>
      <c r="AD34" s="288"/>
      <c r="AE34" s="43"/>
      <c r="AF34" s="221">
        <f t="shared" si="1"/>
        <v>5411.4000000000005</v>
      </c>
    </row>
    <row r="35" spans="1:34" ht="18.600000000000001" customHeight="1" x14ac:dyDescent="0.25">
      <c r="A35" s="47">
        <f>SUM(A34+1)</f>
        <v>27</v>
      </c>
      <c r="B35" s="15" t="s">
        <v>98</v>
      </c>
      <c r="C35" s="20">
        <v>4364.3</v>
      </c>
      <c r="D35" s="217">
        <v>7655.1724137930996</v>
      </c>
      <c r="E35" s="20">
        <v>0</v>
      </c>
      <c r="F35" s="218">
        <v>344.827586206896</v>
      </c>
      <c r="G35" s="226">
        <v>20.9</v>
      </c>
      <c r="H35" s="218">
        <v>172.413793103448</v>
      </c>
      <c r="I35" s="226">
        <v>0</v>
      </c>
      <c r="J35" s="218"/>
      <c r="K35" s="20">
        <v>207.7</v>
      </c>
      <c r="L35" s="226"/>
      <c r="M35" s="250">
        <f t="shared" si="32"/>
        <v>207.7</v>
      </c>
      <c r="N35" s="227">
        <v>1379.3103448275799</v>
      </c>
      <c r="O35" s="20">
        <v>79</v>
      </c>
      <c r="P35" s="238">
        <v>3316</v>
      </c>
      <c r="Q35" s="19">
        <f t="shared" ref="Q35:Q36" si="34">SUM(O35:P35)</f>
        <v>3395</v>
      </c>
      <c r="R35" s="217">
        <v>1034.48275862069</v>
      </c>
      <c r="S35" s="20">
        <v>4156.7</v>
      </c>
      <c r="T35" s="217">
        <v>2827.5862068965498</v>
      </c>
      <c r="U35" s="219">
        <f t="shared" si="33"/>
        <v>12144.599999999999</v>
      </c>
      <c r="V35" s="220">
        <f t="shared" ref="V35:V36" si="35">D35+F35+H35+J35+N35+R35+T35</f>
        <v>13413.793103448264</v>
      </c>
      <c r="W35" s="20">
        <v>0</v>
      </c>
      <c r="X35" s="217"/>
      <c r="Y35" s="253">
        <f t="shared" ref="Y35:Y36" si="36">SUM(U35+W35)</f>
        <v>12144.599999999999</v>
      </c>
      <c r="Z35" s="254">
        <f t="shared" ref="Z35:Z36" si="37">SUM(V35+X35)</f>
        <v>13413.793103448264</v>
      </c>
      <c r="AA35" s="50" t="s">
        <v>78</v>
      </c>
      <c r="AB35" s="51">
        <v>8</v>
      </c>
      <c r="AC35" s="228" t="s">
        <v>7</v>
      </c>
      <c r="AD35" s="288"/>
      <c r="AE35" s="43"/>
      <c r="AF35" s="221">
        <f t="shared" si="1"/>
        <v>4671.8999999999996</v>
      </c>
    </row>
    <row r="36" spans="1:34" ht="18.600000000000001" customHeight="1" x14ac:dyDescent="0.25">
      <c r="A36" s="47">
        <f>SUM(A35+1)</f>
        <v>28</v>
      </c>
      <c r="B36" s="15" t="s">
        <v>99</v>
      </c>
      <c r="C36" s="20">
        <v>3779.7</v>
      </c>
      <c r="D36" s="217">
        <v>7655.1724137930996</v>
      </c>
      <c r="E36" s="20">
        <v>0</v>
      </c>
      <c r="F36" s="218">
        <v>344.827586206896</v>
      </c>
      <c r="G36" s="226">
        <v>0</v>
      </c>
      <c r="H36" s="218">
        <v>172.413793103448</v>
      </c>
      <c r="I36" s="226">
        <v>0</v>
      </c>
      <c r="J36" s="218"/>
      <c r="K36" s="20">
        <v>0</v>
      </c>
      <c r="L36" s="226"/>
      <c r="M36" s="250">
        <f t="shared" si="32"/>
        <v>0</v>
      </c>
      <c r="N36" s="227">
        <v>1379.3103448275799</v>
      </c>
      <c r="O36" s="20">
        <v>564.6</v>
      </c>
      <c r="P36" s="238">
        <v>4794</v>
      </c>
      <c r="Q36" s="19">
        <f t="shared" si="34"/>
        <v>5358.6</v>
      </c>
      <c r="R36" s="217">
        <v>1034.48275862069</v>
      </c>
      <c r="S36" s="20">
        <v>4194.3</v>
      </c>
      <c r="T36" s="217">
        <v>2827.5862068965498</v>
      </c>
      <c r="U36" s="219">
        <f t="shared" si="33"/>
        <v>13332.599999999999</v>
      </c>
      <c r="V36" s="220">
        <f t="shared" si="35"/>
        <v>13413.793103448264</v>
      </c>
      <c r="W36" s="20">
        <v>0</v>
      </c>
      <c r="X36" s="217"/>
      <c r="Y36" s="253">
        <f t="shared" si="36"/>
        <v>13332.599999999999</v>
      </c>
      <c r="Z36" s="254">
        <f t="shared" si="37"/>
        <v>13413.793103448264</v>
      </c>
      <c r="AA36" s="50" t="s">
        <v>72</v>
      </c>
      <c r="AB36" s="51">
        <v>7</v>
      </c>
      <c r="AC36" s="228" t="s">
        <v>7</v>
      </c>
      <c r="AD36" s="288"/>
      <c r="AE36" s="43"/>
      <c r="AF36" s="221">
        <f t="shared" si="1"/>
        <v>4344.3</v>
      </c>
    </row>
    <row r="37" spans="1:34" s="230" customFormat="1" ht="18.600000000000001" customHeight="1" x14ac:dyDescent="0.25">
      <c r="A37" s="47">
        <f>SUM(A36+1)</f>
        <v>29</v>
      </c>
      <c r="B37" s="15" t="s">
        <v>100</v>
      </c>
      <c r="C37" s="20">
        <v>5340</v>
      </c>
      <c r="D37" s="217">
        <v>7655.1724137930996</v>
      </c>
      <c r="E37" s="20">
        <v>24.5</v>
      </c>
      <c r="F37" s="218">
        <v>344.827586206896</v>
      </c>
      <c r="G37" s="226">
        <v>146.6</v>
      </c>
      <c r="H37" s="218">
        <v>172.413793103448</v>
      </c>
      <c r="I37" s="226">
        <v>0</v>
      </c>
      <c r="J37" s="218"/>
      <c r="K37" s="20">
        <v>-740.7</v>
      </c>
      <c r="L37" s="226"/>
      <c r="M37" s="250">
        <f t="shared" si="32"/>
        <v>-740.7</v>
      </c>
      <c r="N37" s="227">
        <v>1379.3103448275799</v>
      </c>
      <c r="O37" s="16">
        <v>959.5</v>
      </c>
      <c r="P37" s="250">
        <v>4798</v>
      </c>
      <c r="Q37" s="19">
        <f>SUM(O37:P37)</f>
        <v>5757.5</v>
      </c>
      <c r="R37" s="17">
        <v>1034.48275862069</v>
      </c>
      <c r="S37" s="20">
        <v>3193.5</v>
      </c>
      <c r="T37" s="217">
        <v>2827.5862068965498</v>
      </c>
      <c r="U37" s="219">
        <f>C37+E37+G37+I37+M37+Q37+S37</f>
        <v>13721.400000000001</v>
      </c>
      <c r="V37" s="220">
        <f>D37+F37+H37+J37+N37+R37+T37</f>
        <v>13413.793103448264</v>
      </c>
      <c r="W37" s="20">
        <v>0</v>
      </c>
      <c r="X37" s="217"/>
      <c r="Y37" s="253">
        <f>SUM(U37+W37)</f>
        <v>13721.400000000001</v>
      </c>
      <c r="Z37" s="254">
        <f>SUM(V37+X37)</f>
        <v>13413.793103448264</v>
      </c>
      <c r="AA37" s="50" t="s">
        <v>62</v>
      </c>
      <c r="AB37" s="51">
        <v>11</v>
      </c>
      <c r="AC37" s="228" t="s">
        <v>7</v>
      </c>
      <c r="AD37" s="288"/>
      <c r="AE37" s="43"/>
      <c r="AF37" s="221">
        <f t="shared" si="1"/>
        <v>5729.9000000000005</v>
      </c>
    </row>
    <row r="38" spans="1:34" ht="18.600000000000001" customHeight="1" thickBot="1" x14ac:dyDescent="0.3">
      <c r="A38" s="33" t="s">
        <v>10</v>
      </c>
      <c r="B38" s="34">
        <f>SUM(B33+1)</f>
        <v>9</v>
      </c>
      <c r="C38" s="54">
        <f>SUM(C34:C37)</f>
        <v>18325.7</v>
      </c>
      <c r="D38" s="55">
        <f t="shared" ref="D38:Z38" si="38">SUM(D34:D37)</f>
        <v>30620.689655172398</v>
      </c>
      <c r="E38" s="54">
        <f t="shared" si="38"/>
        <v>24.5</v>
      </c>
      <c r="F38" s="55">
        <f t="shared" si="38"/>
        <v>1379.310344827584</v>
      </c>
      <c r="G38" s="56">
        <f t="shared" si="38"/>
        <v>172.6</v>
      </c>
      <c r="H38" s="55">
        <f t="shared" si="38"/>
        <v>689.655172413792</v>
      </c>
      <c r="I38" s="56">
        <f t="shared" si="38"/>
        <v>0</v>
      </c>
      <c r="J38" s="55">
        <f t="shared" si="38"/>
        <v>0</v>
      </c>
      <c r="K38" s="54">
        <f>SUM(K34:K37)</f>
        <v>0</v>
      </c>
      <c r="L38" s="56">
        <f t="shared" si="38"/>
        <v>0</v>
      </c>
      <c r="M38" s="407">
        <f t="shared" si="38"/>
        <v>0</v>
      </c>
      <c r="N38" s="55">
        <f t="shared" si="38"/>
        <v>5517.2413793103196</v>
      </c>
      <c r="O38" s="272">
        <f t="shared" si="38"/>
        <v>1634.7</v>
      </c>
      <c r="P38" s="272">
        <f t="shared" si="38"/>
        <v>15657</v>
      </c>
      <c r="Q38" s="273">
        <f>SUM(Q34:Q37)</f>
        <v>17291.7</v>
      </c>
      <c r="R38" s="273">
        <f t="shared" si="38"/>
        <v>4137.93103448276</v>
      </c>
      <c r="S38" s="54">
        <f t="shared" si="38"/>
        <v>15100.7</v>
      </c>
      <c r="T38" s="55">
        <f t="shared" si="38"/>
        <v>11310.344827586199</v>
      </c>
      <c r="U38" s="54">
        <f>SUM(U34:U37)</f>
        <v>50915.199999999997</v>
      </c>
      <c r="V38" s="36">
        <f t="shared" si="38"/>
        <v>53655.172413793058</v>
      </c>
      <c r="W38" s="54">
        <f t="shared" si="38"/>
        <v>0</v>
      </c>
      <c r="X38" s="55">
        <f t="shared" si="38"/>
        <v>0</v>
      </c>
      <c r="Y38" s="54">
        <f t="shared" si="38"/>
        <v>50915.199999999997</v>
      </c>
      <c r="Z38" s="36">
        <f t="shared" si="38"/>
        <v>53655.172413793058</v>
      </c>
      <c r="AA38" s="57" t="s">
        <v>11</v>
      </c>
      <c r="AB38" s="58">
        <f>SUM(AB26:AB32)/7</f>
        <v>9.4285714285714288</v>
      </c>
      <c r="AC38" s="59" t="s">
        <v>7</v>
      </c>
      <c r="AD38" s="60"/>
      <c r="AE38" s="43"/>
      <c r="AF38" s="221"/>
    </row>
    <row r="39" spans="1:34" ht="19.149999999999999" customHeight="1" x14ac:dyDescent="0.25">
      <c r="A39" s="175" t="s">
        <v>16</v>
      </c>
      <c r="B39" s="127"/>
      <c r="C39" s="115">
        <f>SUM(C9+C17+C25+C33+C38)</f>
        <v>239354.4</v>
      </c>
      <c r="D39" s="128">
        <f t="shared" ref="D39:Z39" si="39">SUM(D9+D17+D25+D33+D38)</f>
        <v>221999.99999999991</v>
      </c>
      <c r="E39" s="115">
        <f t="shared" si="39"/>
        <v>8837.1</v>
      </c>
      <c r="F39" s="128">
        <f t="shared" si="39"/>
        <v>9999.9999999999818</v>
      </c>
      <c r="G39" s="115">
        <f t="shared" si="39"/>
        <v>5287.2000000000007</v>
      </c>
      <c r="H39" s="128">
        <f t="shared" si="39"/>
        <v>4999.9999999999909</v>
      </c>
      <c r="I39" s="115">
        <f t="shared" si="39"/>
        <v>0</v>
      </c>
      <c r="J39" s="128">
        <f t="shared" si="39"/>
        <v>0</v>
      </c>
      <c r="K39" s="115">
        <f t="shared" si="39"/>
        <v>23964.3</v>
      </c>
      <c r="L39" s="244">
        <f t="shared" si="39"/>
        <v>0</v>
      </c>
      <c r="M39" s="304">
        <f t="shared" si="39"/>
        <v>23964.3</v>
      </c>
      <c r="N39" s="128">
        <f t="shared" si="39"/>
        <v>39999.999999999818</v>
      </c>
      <c r="O39" s="115">
        <f t="shared" si="39"/>
        <v>8462.4</v>
      </c>
      <c r="P39" s="115">
        <f t="shared" si="39"/>
        <v>49917</v>
      </c>
      <c r="Q39" s="244">
        <f>SUM(Q9+Q17+Q25+Q33+Q38)</f>
        <v>58379.399999999994</v>
      </c>
      <c r="R39" s="116">
        <f t="shared" si="39"/>
        <v>30000.000000000011</v>
      </c>
      <c r="S39" s="115">
        <f t="shared" si="39"/>
        <v>76089.100000000006</v>
      </c>
      <c r="T39" s="128">
        <f t="shared" si="39"/>
        <v>81999.999999999956</v>
      </c>
      <c r="U39" s="115">
        <f t="shared" si="39"/>
        <v>411911.5</v>
      </c>
      <c r="V39" s="128">
        <f>SUM(V9+V17+V25+V33+V38)</f>
        <v>388999.99999999965</v>
      </c>
      <c r="W39" s="115">
        <f t="shared" si="39"/>
        <v>0</v>
      </c>
      <c r="X39" s="128">
        <f t="shared" si="39"/>
        <v>0</v>
      </c>
      <c r="Y39" s="115">
        <f>SUM(Y9+Y17+Y25+Y33+Y38)</f>
        <v>411911.5</v>
      </c>
      <c r="Z39" s="128">
        <f t="shared" si="39"/>
        <v>388999.99999999965</v>
      </c>
      <c r="AA39" s="126" t="s">
        <v>16</v>
      </c>
      <c r="AB39" s="101"/>
      <c r="AC39" s="102"/>
      <c r="AD39" s="103"/>
      <c r="AF39" s="221">
        <f>SUM(AF5:AF38)</f>
        <v>285905.40000000002</v>
      </c>
      <c r="AH39" s="221"/>
    </row>
    <row r="40" spans="1:34" ht="19.5" customHeight="1" thickBot="1" x14ac:dyDescent="0.3">
      <c r="A40" s="177" t="s">
        <v>28</v>
      </c>
      <c r="B40" s="178"/>
      <c r="C40" s="65">
        <f>C39/28</f>
        <v>8548.3714285714286</v>
      </c>
      <c r="D40" s="66">
        <f t="shared" ref="D40:Z40" si="40">D39/28</f>
        <v>7928.5714285714257</v>
      </c>
      <c r="E40" s="65">
        <f t="shared" si="40"/>
        <v>315.61071428571432</v>
      </c>
      <c r="F40" s="66">
        <f t="shared" si="40"/>
        <v>357.14285714285649</v>
      </c>
      <c r="G40" s="65">
        <f t="shared" si="40"/>
        <v>188.82857142857145</v>
      </c>
      <c r="H40" s="66">
        <f t="shared" si="40"/>
        <v>178.57142857142824</v>
      </c>
      <c r="I40" s="65">
        <f>I39/28</f>
        <v>0</v>
      </c>
      <c r="J40" s="66">
        <f>J39/28</f>
        <v>0</v>
      </c>
      <c r="K40" s="65">
        <f t="shared" si="40"/>
        <v>855.86785714285713</v>
      </c>
      <c r="L40" s="245"/>
      <c r="M40" s="240"/>
      <c r="N40" s="66">
        <f t="shared" si="40"/>
        <v>1428.5714285714221</v>
      </c>
      <c r="O40" s="65">
        <f t="shared" ref="O40:R40" si="41">O39/30</f>
        <v>282.08</v>
      </c>
      <c r="P40" s="240"/>
      <c r="Q40" s="245"/>
      <c r="R40" s="66">
        <f t="shared" si="41"/>
        <v>1000.0000000000003</v>
      </c>
      <c r="S40" s="65">
        <f t="shared" si="40"/>
        <v>2717.4678571428572</v>
      </c>
      <c r="T40" s="66">
        <f t="shared" si="40"/>
        <v>2928.5714285714271</v>
      </c>
      <c r="U40" s="65">
        <f>U39/28</f>
        <v>14711.125</v>
      </c>
      <c r="V40" s="66">
        <f>V39/28</f>
        <v>13892.85714285713</v>
      </c>
      <c r="W40" s="65">
        <f t="shared" si="40"/>
        <v>0</v>
      </c>
      <c r="X40" s="66">
        <f t="shared" si="40"/>
        <v>0</v>
      </c>
      <c r="Y40" s="65">
        <f t="shared" si="40"/>
        <v>14711.125</v>
      </c>
      <c r="Z40" s="66">
        <f t="shared" si="40"/>
        <v>13892.85714285713</v>
      </c>
      <c r="AA40" s="176" t="s">
        <v>17</v>
      </c>
      <c r="AB40" s="98"/>
      <c r="AC40" s="99"/>
      <c r="AD40" s="100"/>
      <c r="AE40" s="43"/>
      <c r="AF40" s="221"/>
    </row>
    <row r="41" spans="1:34" ht="20.100000000000001" customHeight="1" x14ac:dyDescent="0.25">
      <c r="A41" s="72" t="s">
        <v>18</v>
      </c>
      <c r="B41" s="73"/>
      <c r="C41" s="74">
        <f>SUM(C39-D39)</f>
        <v>17354.400000000081</v>
      </c>
      <c r="D41" s="75"/>
      <c r="E41" s="74">
        <f>SUM(E39-F39)</f>
        <v>-1162.8999999999814</v>
      </c>
      <c r="F41" s="75"/>
      <c r="G41" s="74">
        <f>SUM(G39-H39)</f>
        <v>287.20000000000982</v>
      </c>
      <c r="H41" s="75"/>
      <c r="I41" s="74">
        <f>SUM(I39-J39)</f>
        <v>0</v>
      </c>
      <c r="J41" s="75"/>
      <c r="K41" s="74">
        <f>SUM(K39-N39)</f>
        <v>-16035.699999999819</v>
      </c>
      <c r="L41" s="246"/>
      <c r="M41" s="241"/>
      <c r="N41" s="75"/>
      <c r="O41" s="279"/>
      <c r="P41" s="280"/>
      <c r="Q41" s="281"/>
      <c r="R41" s="282">
        <f>SUM(Q39-R39)</f>
        <v>28379.399999999983</v>
      </c>
      <c r="S41" s="74">
        <f>SUM(S39-T39)</f>
        <v>-5910.8999999999505</v>
      </c>
      <c r="T41" s="75"/>
      <c r="U41" s="96">
        <f>SUM(U39-V39)</f>
        <v>22911.500000000349</v>
      </c>
      <c r="V41" s="75"/>
      <c r="W41" s="74">
        <f>SUM(W39-X39)</f>
        <v>0</v>
      </c>
      <c r="X41" s="75"/>
      <c r="Y41" s="111">
        <f>SUM(Y39-Z39)</f>
        <v>22911.500000000349</v>
      </c>
      <c r="Z41" s="112"/>
      <c r="AF41" s="221"/>
    </row>
    <row r="42" spans="1:34" ht="20.100000000000001" customHeight="1" thickBot="1" x14ac:dyDescent="0.3">
      <c r="A42" s="76" t="s">
        <v>19</v>
      </c>
      <c r="B42" s="77"/>
      <c r="C42" s="95">
        <f>SUM(100/D39*C39)</f>
        <v>107.81729729729733</v>
      </c>
      <c r="D42" s="78"/>
      <c r="E42" s="95">
        <f>SUM(100/F39*E39)</f>
        <v>88.371000000000166</v>
      </c>
      <c r="F42" s="78"/>
      <c r="G42" s="95">
        <f>SUM(100/H39*G39)</f>
        <v>105.7440000000002</v>
      </c>
      <c r="H42" s="78"/>
      <c r="I42" s="95" t="e">
        <f>SUM(100/J39*I39)</f>
        <v>#DIV/0!</v>
      </c>
      <c r="J42" s="78"/>
      <c r="K42" s="95">
        <f>SUM(100/N39*K39)</f>
        <v>59.91075000000027</v>
      </c>
      <c r="L42" s="247"/>
      <c r="M42" s="242"/>
      <c r="N42" s="78"/>
      <c r="O42" s="275"/>
      <c r="P42" s="276"/>
      <c r="Q42" s="277">
        <f>SUM(100/R39*Q39)</f>
        <v>194.59799999999993</v>
      </c>
      <c r="R42" s="278"/>
      <c r="S42" s="95">
        <f>SUM(100/T39*S39)</f>
        <v>92.79158536585372</v>
      </c>
      <c r="T42" s="78"/>
      <c r="U42" s="97">
        <f>SUM(100/V39*U39)</f>
        <v>105.88984575835487</v>
      </c>
      <c r="V42" s="78"/>
      <c r="W42" s="95" t="e">
        <f>SUM(100/X39*W39)</f>
        <v>#DIV/0!</v>
      </c>
      <c r="X42" s="78"/>
      <c r="Y42" s="113">
        <f>SUM(100/Z39*Y39)</f>
        <v>105.88984575835487</v>
      </c>
      <c r="Z42" s="114"/>
      <c r="AF42" s="221"/>
    </row>
    <row r="43" spans="1:34" x14ac:dyDescent="0.25">
      <c r="Y43" s="2"/>
      <c r="Z43" s="2"/>
      <c r="AC43" s="4"/>
      <c r="AD43" s="4"/>
      <c r="AF43" s="221"/>
    </row>
    <row r="44" spans="1:34" x14ac:dyDescent="0.25">
      <c r="A44" s="393"/>
      <c r="B44" s="230"/>
      <c r="C44" s="421"/>
      <c r="D44" s="230"/>
      <c r="E44" s="230"/>
      <c r="F44" s="230"/>
      <c r="G44" s="360"/>
      <c r="H44" s="360"/>
      <c r="I44" s="360"/>
      <c r="J44" s="36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B44" s="221"/>
      <c r="AC44" s="4"/>
      <c r="AD44" s="4"/>
    </row>
    <row r="45" spans="1:34" x14ac:dyDescent="0.25">
      <c r="Y45" s="2"/>
      <c r="Z45" s="2"/>
      <c r="AC45" s="4"/>
      <c r="AD45" s="4"/>
    </row>
    <row r="46" spans="1:34" x14ac:dyDescent="0.25">
      <c r="Y46" s="2"/>
      <c r="Z46" s="2"/>
      <c r="AC46" s="4"/>
      <c r="AD46" s="4"/>
    </row>
    <row r="47" spans="1:34" x14ac:dyDescent="0.25">
      <c r="Y47" s="2"/>
      <c r="Z47" s="2"/>
      <c r="AC47" s="4"/>
      <c r="AD47" s="4"/>
    </row>
  </sheetData>
  <customSheetViews>
    <customSheetView guid="{512075D7-6EE7-4EEF-842F-09AF15E6D8B5}" scale="80" showPageBreaks="1" fitToPage="1" printArea="1">
      <pane ySplit="4" topLeftCell="A14" activePane="bottomLeft" state="frozen"/>
      <selection pane="bottomLeft" activeCell="Q39" sqref="Q39"/>
      <pageMargins left="0.59055118110236227" right="0.59055118110236227" top="1.1811023622047245" bottom="0.59055118110236227" header="0.11811023622047245" footer="0.31496062992125984"/>
      <pageSetup paperSize="9" scale="52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>
      <pane ySplit="4" topLeftCell="A14" activePane="bottomLeft" state="frozen"/>
      <selection pane="bottomLeft" activeCell="Q39" sqref="Q39"/>
      <pageMargins left="0.59055118110236227" right="0.59055118110236227" top="1.1811023622047245" bottom="0.59055118110236227" header="0.11811023622047245" footer="0.31496062992125984"/>
      <pageSetup paperSize="9" scale="52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80" showPageBreaks="1" fitToPage="1" printArea="1">
      <pane ySplit="4" topLeftCell="A14" activePane="bottomLeft" state="frozen"/>
      <selection pane="bottomLeft" activeCell="Q39" sqref="Q39"/>
      <pageMargins left="0.59055118110236227" right="0.59055118110236227" top="1.1811023622047245" bottom="0.59055118110236227" header="0.11811023622047245" footer="0.31496062992125984"/>
      <pageSetup paperSize="9" scale="52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M1">
      <pane ySplit="4" topLeftCell="A26" activePane="bottomLeft" state="frozen"/>
      <selection pane="bottomLeft" activeCell="T35" sqref="T35"/>
      <pageMargins left="0.59055118110236227" right="0.59055118110236227" top="1.1811023622047245" bottom="0.59055118110236227" header="0.11811023622047245" footer="0.31496062992125984"/>
      <pageSetup paperSize="9" scale="52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17" activePane="bottomLeft" state="frozen"/>
      <selection pane="bottomLeft" activeCell="P39" sqref="P39"/>
      <pageMargins left="0.59055118110236227" right="0.59055118110236227" top="1.1811023622047245" bottom="0.59055118110236227" header="0.11811023622047245" footer="0.31496062992125984"/>
      <pageSetup paperSize="9" scale="52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23" activePane="bottomLeft" state="frozen"/>
      <selection pane="bottomLeft" activeCell="P37" sqref="P37"/>
      <pageMargins left="0.59055118110236227" right="0.59055118110236227" top="1.1811023622047245" bottom="0.59055118110236227" header="0.11811023622047245" footer="0.31496062992125984"/>
      <pageSetup paperSize="9" scale="52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80" showPageBreaks="1" fitToPage="1" printArea="1">
      <pane ySplit="4" topLeftCell="A17" activePane="bottomLeft" state="frozen"/>
      <selection pane="bottomLeft" activeCell="Q16" sqref="Q16"/>
      <pageMargins left="0.59055118110236227" right="0.59055118110236227" top="1.1811023622047245" bottom="0.59055118110236227" header="0.11811023622047245" footer="0.31496062992125984"/>
      <pageSetup paperSize="9" scale="52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11" activePane="bottomLeft" state="frozen"/>
      <selection pane="bottomLeft" activeCell="S31" sqref="S31"/>
      <pageMargins left="0.59055118110236227" right="0.59055118110236227" top="1.1811023622047245" bottom="0.59055118110236227" header="0.11811023622047245" footer="0.31496062992125984"/>
      <pageSetup paperSize="9" scale="57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90" showPageBreaks="1" fitToPage="1" printArea="1">
      <pane ySplit="4" topLeftCell="A5" activePane="bottomLeft" state="frozen"/>
      <selection pane="bottomLeft" activeCell="W45" sqref="W45"/>
      <pageMargins left="0.59055118110236227" right="0.59055118110236227" top="1.1811023622047245" bottom="0.59055118110236227" header="0.11811023622047245" footer="0.31496062992125984"/>
      <pageSetup paperSize="9" scale="52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showPageBreaks="1" fitToPage="1" printArea="1">
      <pane ySplit="4" topLeftCell="A17" activePane="bottomLeft" state="frozen"/>
      <selection pane="bottomLeft" activeCell="S45" sqref="S45"/>
      <pageMargins left="0.59055118110236227" right="0.59055118110236227" top="1.1811023622047245" bottom="0.59055118110236227" header="0.11811023622047245" footer="0.31496062992125984"/>
      <pageSetup paperSize="9" scale="52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80" showPageBreaks="1" fitToPage="1" printArea="1">
      <pane ySplit="4" topLeftCell="A14" activePane="bottomLeft" state="frozen"/>
      <selection pane="bottomLeft" activeCell="Q39" sqref="Q39"/>
      <pageMargins left="0.59055118110236227" right="0.59055118110236227" top="1.1811023622047245" bottom="0.59055118110236227" header="0.11811023622047245" footer="0.31496062992125984"/>
      <pageSetup paperSize="9" scale="52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I3:J3"/>
    <mergeCell ref="O3:R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52" orientation="landscape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46"/>
  <sheetViews>
    <sheetView topLeftCell="J1" zoomScale="80" zoomScaleNormal="100" workbookViewId="0">
      <pane ySplit="4" topLeftCell="A29" activePane="bottomLeft" state="frozen"/>
      <selection activeCell="J1" sqref="J1"/>
      <selection pane="bottomLeft" activeCell="S52" sqref="S52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3.85546875" style="2" customWidth="1"/>
    <col min="4" max="4" width="14.7109375" style="2" customWidth="1"/>
    <col min="5" max="5" width="13.28515625" style="2" customWidth="1"/>
    <col min="6" max="6" width="13.7109375" style="2" customWidth="1"/>
    <col min="7" max="7" width="13.140625" style="6" customWidth="1"/>
    <col min="8" max="10" width="11.7109375" style="6" customWidth="1"/>
    <col min="11" max="11" width="13.5703125" style="2" customWidth="1"/>
    <col min="12" max="12" width="11.7109375" style="2" customWidth="1"/>
    <col min="13" max="13" width="14.140625" style="2" customWidth="1"/>
    <col min="14" max="14" width="14.42578125" style="2" customWidth="1"/>
    <col min="15" max="15" width="13.7109375" style="2" customWidth="1"/>
    <col min="16" max="16" width="14" style="2" customWidth="1"/>
    <col min="17" max="17" width="14.5703125" style="2" bestFit="1" customWidth="1"/>
    <col min="18" max="18" width="15.7109375" style="2" customWidth="1"/>
    <col min="19" max="19" width="14.140625" style="2" customWidth="1"/>
    <col min="20" max="20" width="14" style="2" customWidth="1"/>
    <col min="21" max="21" width="16.5703125" style="2" customWidth="1"/>
    <col min="22" max="22" width="15.42578125" style="2" customWidth="1"/>
    <col min="23" max="23" width="11.7109375" style="2" customWidth="1"/>
    <col min="24" max="24" width="12.28515625" style="2" customWidth="1"/>
    <col min="25" max="25" width="16.42578125" style="2" customWidth="1"/>
    <col min="26" max="26" width="14.28515625" style="2" customWidth="1"/>
    <col min="27" max="27" width="34.28515625" style="2" bestFit="1" customWidth="1"/>
    <col min="28" max="28" width="6.5703125" style="2" bestFit="1" customWidth="1"/>
    <col min="29" max="29" width="5.140625" style="4" customWidth="1"/>
    <col min="30" max="30" width="17.42578125" style="4" customWidth="1"/>
    <col min="31" max="31" width="11.42578125" style="2"/>
    <col min="32" max="32" width="11.140625" style="2" customWidth="1"/>
    <col min="33" max="16384" width="11.42578125" style="2"/>
  </cols>
  <sheetData>
    <row r="1" spans="1:32" ht="34.15" customHeight="1" x14ac:dyDescent="0.25">
      <c r="A1" s="104" t="s">
        <v>55</v>
      </c>
      <c r="G1" s="2"/>
      <c r="H1" s="521">
        <v>45352</v>
      </c>
      <c r="I1" s="521"/>
      <c r="J1" s="521"/>
      <c r="K1" s="521"/>
      <c r="L1" s="409"/>
      <c r="M1" s="409"/>
    </row>
    <row r="2" spans="1:32" ht="21" thickBot="1" x14ac:dyDescent="0.3">
      <c r="A2" s="105"/>
    </row>
    <row r="3" spans="1:32" s="8" customFormat="1" ht="44.25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3" t="s">
        <v>53</v>
      </c>
      <c r="J3" s="514"/>
      <c r="K3" s="513" t="s">
        <v>25</v>
      </c>
      <c r="L3" s="515"/>
      <c r="M3" s="515"/>
      <c r="N3" s="514"/>
      <c r="O3" s="293" t="s">
        <v>30</v>
      </c>
      <c r="P3" s="294"/>
      <c r="Q3" s="294"/>
      <c r="R3" s="295"/>
      <c r="S3" s="515" t="s">
        <v>2</v>
      </c>
      <c r="T3" s="515"/>
      <c r="U3" s="522" t="s">
        <v>29</v>
      </c>
      <c r="V3" s="523"/>
      <c r="W3" s="513" t="s">
        <v>26</v>
      </c>
      <c r="X3" s="514"/>
      <c r="Y3" s="524" t="s">
        <v>27</v>
      </c>
      <c r="Z3" s="525"/>
      <c r="AA3" s="513" t="s">
        <v>0</v>
      </c>
      <c r="AB3" s="515"/>
      <c r="AC3" s="515"/>
      <c r="AD3" s="514"/>
      <c r="AF3" s="356" t="s">
        <v>80</v>
      </c>
    </row>
    <row r="4" spans="1:32" s="4" customFormat="1" ht="18.600000000000001" customHeight="1" x14ac:dyDescent="0.25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43" t="s">
        <v>69</v>
      </c>
      <c r="M4" s="237" t="s">
        <v>70</v>
      </c>
      <c r="N4" s="12" t="s">
        <v>21</v>
      </c>
      <c r="O4" s="11" t="s">
        <v>68</v>
      </c>
      <c r="P4" s="237" t="s">
        <v>69</v>
      </c>
      <c r="Q4" s="243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19" t="s">
        <v>4</v>
      </c>
      <c r="AC4" s="520"/>
      <c r="AD4" s="14" t="s">
        <v>5</v>
      </c>
    </row>
    <row r="5" spans="1:32" ht="18.600000000000001" customHeight="1" x14ac:dyDescent="0.25">
      <c r="A5" s="47">
        <v>1</v>
      </c>
      <c r="B5" s="15" t="s">
        <v>6</v>
      </c>
      <c r="C5" s="16">
        <v>9673.9</v>
      </c>
      <c r="D5" s="17">
        <v>8064.5161200000002</v>
      </c>
      <c r="E5" s="16">
        <v>0</v>
      </c>
      <c r="F5" s="18">
        <v>645.16129000000001</v>
      </c>
      <c r="G5" s="19">
        <v>0</v>
      </c>
      <c r="H5" s="18">
        <v>161.290322</v>
      </c>
      <c r="I5" s="19">
        <v>0</v>
      </c>
      <c r="J5" s="18">
        <v>0</v>
      </c>
      <c r="K5" s="48">
        <v>4219</v>
      </c>
      <c r="L5" s="19"/>
      <c r="M5" s="238">
        <f>K5+L5</f>
        <v>4219</v>
      </c>
      <c r="N5" s="85">
        <v>1935.48387</v>
      </c>
      <c r="O5" s="20">
        <v>-3</v>
      </c>
      <c r="P5" s="250">
        <v>0</v>
      </c>
      <c r="Q5" s="226">
        <f>SUM(O5:P5)</f>
        <v>-3</v>
      </c>
      <c r="R5" s="217">
        <v>3225.80645</v>
      </c>
      <c r="S5" s="16">
        <v>2780.1</v>
      </c>
      <c r="T5" s="17">
        <v>3735.48387</v>
      </c>
      <c r="U5" s="91">
        <f>SUM(C5+E5+G5+I5+M5+Q5+S5)</f>
        <v>16670</v>
      </c>
      <c r="V5" s="89">
        <f>SUM(D5+F5+H5+J5+N5+R5+T5)</f>
        <v>17767.741922000001</v>
      </c>
      <c r="W5" s="16">
        <v>0</v>
      </c>
      <c r="X5" s="17"/>
      <c r="Y5" s="109">
        <f>SUM(U5+W5)</f>
        <v>16670</v>
      </c>
      <c r="Z5" s="110">
        <f t="shared" ref="Y5:Z7" si="0">SUM(V5+X5)</f>
        <v>17767.741922000001</v>
      </c>
      <c r="AA5" s="45" t="s">
        <v>90</v>
      </c>
      <c r="AB5" s="46">
        <v>9</v>
      </c>
      <c r="AC5" s="21" t="s">
        <v>7</v>
      </c>
      <c r="AD5" s="22"/>
      <c r="AE5" s="2" t="s">
        <v>119</v>
      </c>
      <c r="AF5" s="221">
        <f>C5+E5+G5+K5+O5+W5</f>
        <v>13889.9</v>
      </c>
    </row>
    <row r="6" spans="1:32" s="43" customFormat="1" ht="18.600000000000001" customHeight="1" x14ac:dyDescent="0.25">
      <c r="A6" s="47">
        <f>SUM(A5+1)</f>
        <v>2</v>
      </c>
      <c r="B6" s="15" t="s">
        <v>8</v>
      </c>
      <c r="C6" s="16">
        <v>11755.6</v>
      </c>
      <c r="D6" s="17">
        <v>8064.5161200000002</v>
      </c>
      <c r="E6" s="16">
        <v>1211.2</v>
      </c>
      <c r="F6" s="18">
        <v>645.16129000000001</v>
      </c>
      <c r="G6" s="19">
        <v>912.7</v>
      </c>
      <c r="H6" s="18">
        <v>161.290322</v>
      </c>
      <c r="I6" s="19">
        <v>0</v>
      </c>
      <c r="J6" s="18">
        <v>0</v>
      </c>
      <c r="K6" s="16">
        <v>0</v>
      </c>
      <c r="L6" s="19"/>
      <c r="M6" s="238">
        <f t="shared" ref="M6:M7" si="1">K6+L6</f>
        <v>0</v>
      </c>
      <c r="N6" s="85">
        <v>1935.48387</v>
      </c>
      <c r="O6" s="20">
        <v>0</v>
      </c>
      <c r="P6" s="250">
        <v>0</v>
      </c>
      <c r="Q6" s="226">
        <f t="shared" ref="Q6:Q7" si="2">SUM(O6:P6)</f>
        <v>0</v>
      </c>
      <c r="R6" s="217">
        <v>3225.80645</v>
      </c>
      <c r="S6" s="123">
        <v>5473</v>
      </c>
      <c r="T6" s="17">
        <v>3735.48387</v>
      </c>
      <c r="U6" s="91">
        <f>SUM(C6+E6+G6+I6+K6+Q6+S6)</f>
        <v>19352.5</v>
      </c>
      <c r="V6" s="89">
        <f>SUM(D6+F6+H6+J6+N6+R6+T6)</f>
        <v>17767.741922000001</v>
      </c>
      <c r="W6" s="16">
        <v>0</v>
      </c>
      <c r="X6" s="17"/>
      <c r="Y6" s="109">
        <f t="shared" si="0"/>
        <v>19352.5</v>
      </c>
      <c r="Z6" s="110">
        <f t="shared" si="0"/>
        <v>17767.741922000001</v>
      </c>
      <c r="AA6" s="45" t="s">
        <v>86</v>
      </c>
      <c r="AB6" s="46">
        <v>11</v>
      </c>
      <c r="AC6" s="21" t="s">
        <v>7</v>
      </c>
      <c r="AD6" s="22"/>
      <c r="AE6" s="2" t="s">
        <v>119</v>
      </c>
      <c r="AF6" s="221">
        <f t="shared" ref="AF6:AF39" si="3">C6+E6+G6+K6+O6+W6</f>
        <v>13879.500000000002</v>
      </c>
    </row>
    <row r="7" spans="1:32" ht="18.600000000000001" customHeight="1" x14ac:dyDescent="0.25">
      <c r="A7" s="47">
        <f>SUM(A6+1)</f>
        <v>3</v>
      </c>
      <c r="B7" s="15" t="s">
        <v>9</v>
      </c>
      <c r="C7" s="16">
        <v>9719.7000000000007</v>
      </c>
      <c r="D7" s="17">
        <v>8064.5161200000002</v>
      </c>
      <c r="E7" s="16">
        <v>1746.2</v>
      </c>
      <c r="F7" s="18">
        <v>645.16129000000001</v>
      </c>
      <c r="G7" s="19">
        <v>463.5</v>
      </c>
      <c r="H7" s="18">
        <v>161.290322</v>
      </c>
      <c r="I7" s="19">
        <v>0</v>
      </c>
      <c r="J7" s="18">
        <v>0</v>
      </c>
      <c r="K7" s="16">
        <v>5500</v>
      </c>
      <c r="L7" s="19"/>
      <c r="M7" s="238">
        <f t="shared" si="1"/>
        <v>5500</v>
      </c>
      <c r="N7" s="85">
        <v>1935.48387</v>
      </c>
      <c r="O7" s="16">
        <v>0</v>
      </c>
      <c r="P7" s="250">
        <v>0</v>
      </c>
      <c r="Q7" s="226">
        <f t="shared" si="2"/>
        <v>0</v>
      </c>
      <c r="R7" s="17">
        <v>3225.80645</v>
      </c>
      <c r="S7" s="16">
        <v>1323.3</v>
      </c>
      <c r="T7" s="17">
        <v>3735.48387</v>
      </c>
      <c r="U7" s="91">
        <f>SUM(C7+E7+G7+I7+K7+Q7+S7)</f>
        <v>18752.7</v>
      </c>
      <c r="V7" s="89">
        <f>SUM(D7+F7+H7+J7+N7+R7+T7)</f>
        <v>17767.741922000001</v>
      </c>
      <c r="W7" s="16">
        <v>0</v>
      </c>
      <c r="X7" s="17"/>
      <c r="Y7" s="109">
        <f t="shared" si="0"/>
        <v>18752.7</v>
      </c>
      <c r="Z7" s="110">
        <f t="shared" si="0"/>
        <v>17767.741922000001</v>
      </c>
      <c r="AA7" s="45" t="s">
        <v>74</v>
      </c>
      <c r="AB7" s="46">
        <v>14</v>
      </c>
      <c r="AC7" s="21" t="s">
        <v>7</v>
      </c>
      <c r="AD7" s="22"/>
      <c r="AE7" s="2" t="s">
        <v>119</v>
      </c>
      <c r="AF7" s="221">
        <f t="shared" si="3"/>
        <v>17429.400000000001</v>
      </c>
    </row>
    <row r="8" spans="1:32" ht="18.600000000000001" customHeight="1" x14ac:dyDescent="0.25">
      <c r="A8" s="33" t="s">
        <v>10</v>
      </c>
      <c r="B8" s="34">
        <v>9</v>
      </c>
      <c r="C8" s="35">
        <f t="shared" ref="C8:Z8" si="4">SUM(C5:C7)</f>
        <v>31149.200000000001</v>
      </c>
      <c r="D8" s="36">
        <f t="shared" si="4"/>
        <v>24193.548360000001</v>
      </c>
      <c r="E8" s="35">
        <f t="shared" si="4"/>
        <v>2957.4</v>
      </c>
      <c r="F8" s="37">
        <f t="shared" si="4"/>
        <v>1935.48387</v>
      </c>
      <c r="G8" s="38">
        <f t="shared" si="4"/>
        <v>1376.2</v>
      </c>
      <c r="H8" s="37">
        <f t="shared" si="4"/>
        <v>483.87096600000001</v>
      </c>
      <c r="I8" s="38">
        <f t="shared" si="4"/>
        <v>0</v>
      </c>
      <c r="J8" s="37">
        <f t="shared" si="4"/>
        <v>0</v>
      </c>
      <c r="K8" s="35">
        <f t="shared" si="4"/>
        <v>9719</v>
      </c>
      <c r="L8" s="82">
        <f t="shared" si="4"/>
        <v>0</v>
      </c>
      <c r="M8" s="35">
        <f t="shared" si="4"/>
        <v>9719</v>
      </c>
      <c r="N8" s="36">
        <f t="shared" si="4"/>
        <v>5806.4516100000001</v>
      </c>
      <c r="O8" s="35">
        <f t="shared" si="4"/>
        <v>-3</v>
      </c>
      <c r="P8" s="82">
        <f t="shared" si="4"/>
        <v>0</v>
      </c>
      <c r="Q8" s="38">
        <f t="shared" si="4"/>
        <v>-3</v>
      </c>
      <c r="R8" s="82">
        <f t="shared" si="4"/>
        <v>9677.4193500000001</v>
      </c>
      <c r="S8" s="35">
        <f t="shared" si="4"/>
        <v>9576.4</v>
      </c>
      <c r="T8" s="36">
        <f t="shared" si="4"/>
        <v>11206.45161</v>
      </c>
      <c r="U8" s="35">
        <f t="shared" si="4"/>
        <v>54775.199999999997</v>
      </c>
      <c r="V8" s="36">
        <f t="shared" si="4"/>
        <v>53303.225766000003</v>
      </c>
      <c r="W8" s="35">
        <f t="shared" si="4"/>
        <v>0</v>
      </c>
      <c r="X8" s="36">
        <f t="shared" si="4"/>
        <v>0</v>
      </c>
      <c r="Y8" s="35">
        <f t="shared" si="4"/>
        <v>54775.199999999997</v>
      </c>
      <c r="Z8" s="36">
        <f t="shared" si="4"/>
        <v>53303.225766000003</v>
      </c>
      <c r="AA8" s="39" t="s">
        <v>11</v>
      </c>
      <c r="AB8" s="40">
        <f>SUM(AB5:AB7)/7</f>
        <v>4.8571428571428568</v>
      </c>
      <c r="AC8" s="41" t="s">
        <v>7</v>
      </c>
      <c r="AD8" s="42"/>
      <c r="AF8" s="221"/>
    </row>
    <row r="9" spans="1:32" ht="18.600000000000001" customHeight="1" x14ac:dyDescent="0.25">
      <c r="A9" s="44">
        <f>SUM(A7+1)</f>
        <v>4</v>
      </c>
      <c r="B9" s="15" t="s">
        <v>12</v>
      </c>
      <c r="C9" s="49">
        <v>3732.3</v>
      </c>
      <c r="D9" s="17">
        <v>8064.5161200000002</v>
      </c>
      <c r="E9" s="49">
        <v>0</v>
      </c>
      <c r="F9" s="18">
        <v>645.16129000000001</v>
      </c>
      <c r="G9" s="19">
        <v>334</v>
      </c>
      <c r="H9" s="18">
        <v>161.290322</v>
      </c>
      <c r="I9" s="19">
        <v>0</v>
      </c>
      <c r="J9" s="18">
        <v>0</v>
      </c>
      <c r="K9" s="16">
        <v>0</v>
      </c>
      <c r="L9" s="19"/>
      <c r="M9" s="238">
        <f t="shared" ref="M9:M15" si="5">K9+L9</f>
        <v>0</v>
      </c>
      <c r="N9" s="85">
        <v>1935.48387</v>
      </c>
      <c r="O9" s="16">
        <v>580.70000000000005</v>
      </c>
      <c r="P9" s="238">
        <v>3090</v>
      </c>
      <c r="Q9" s="19">
        <f>SUM(O9:P9)</f>
        <v>3670.7</v>
      </c>
      <c r="R9" s="17">
        <v>3225.80645</v>
      </c>
      <c r="S9" s="16">
        <v>1328.7</v>
      </c>
      <c r="T9" s="17">
        <v>3735.48387</v>
      </c>
      <c r="U9" s="91">
        <f t="shared" ref="U9:U15" si="6">SUM(C9+E9+G9+I9+K9+Q9+S9)</f>
        <v>9065.7000000000007</v>
      </c>
      <c r="V9" s="89">
        <f t="shared" ref="V9:V15" si="7">SUM(D9+F9+H9+J9+N9+R9+T9)</f>
        <v>17767.741922000001</v>
      </c>
      <c r="W9" s="16">
        <v>0</v>
      </c>
      <c r="X9" s="17"/>
      <c r="Y9" s="109">
        <f t="shared" ref="Y9:Z15" si="8">SUM(U9+W9)</f>
        <v>9065.7000000000007</v>
      </c>
      <c r="Z9" s="110">
        <f t="shared" si="8"/>
        <v>17767.741922000001</v>
      </c>
      <c r="AA9" s="50" t="s">
        <v>60</v>
      </c>
      <c r="AB9" s="46">
        <v>8</v>
      </c>
      <c r="AC9" s="21" t="s">
        <v>7</v>
      </c>
      <c r="AD9" s="22"/>
      <c r="AE9" s="2" t="s">
        <v>119</v>
      </c>
      <c r="AF9" s="221">
        <f t="shared" si="3"/>
        <v>4647</v>
      </c>
    </row>
    <row r="10" spans="1:32" ht="18.600000000000001" customHeight="1" x14ac:dyDescent="0.25">
      <c r="A10" s="47">
        <f t="shared" ref="A10:A15" si="9">SUM(A9+1)</f>
        <v>5</v>
      </c>
      <c r="B10" s="15" t="s">
        <v>13</v>
      </c>
      <c r="C10" s="16">
        <v>6198.5</v>
      </c>
      <c r="D10" s="17">
        <v>8064.5161200000002</v>
      </c>
      <c r="E10" s="16">
        <v>0</v>
      </c>
      <c r="F10" s="18">
        <v>645.16129000000001</v>
      </c>
      <c r="G10" s="19">
        <v>0</v>
      </c>
      <c r="H10" s="18">
        <v>161.290322</v>
      </c>
      <c r="I10" s="19">
        <v>0</v>
      </c>
      <c r="J10" s="18">
        <v>0</v>
      </c>
      <c r="K10" s="16">
        <v>1000</v>
      </c>
      <c r="L10" s="19"/>
      <c r="M10" s="238">
        <f t="shared" si="5"/>
        <v>1000</v>
      </c>
      <c r="N10" s="85">
        <v>1935.48387</v>
      </c>
      <c r="O10" s="20">
        <v>0</v>
      </c>
      <c r="P10" s="250">
        <v>2266</v>
      </c>
      <c r="Q10" s="19">
        <f t="shared" ref="Q10:Q15" si="10">SUM(O10:P10)</f>
        <v>2266</v>
      </c>
      <c r="R10" s="217">
        <v>3225.80645</v>
      </c>
      <c r="S10" s="16">
        <v>1370.5</v>
      </c>
      <c r="T10" s="17">
        <v>3735.48387</v>
      </c>
      <c r="U10" s="91">
        <f t="shared" si="6"/>
        <v>10835</v>
      </c>
      <c r="V10" s="89">
        <f t="shared" si="7"/>
        <v>17767.741922000001</v>
      </c>
      <c r="W10" s="16">
        <v>0</v>
      </c>
      <c r="X10" s="17"/>
      <c r="Y10" s="109">
        <f t="shared" si="8"/>
        <v>10835</v>
      </c>
      <c r="Z10" s="110">
        <f t="shared" si="8"/>
        <v>17767.741922000001</v>
      </c>
      <c r="AA10" s="50" t="s">
        <v>117</v>
      </c>
      <c r="AB10" s="46">
        <v>6</v>
      </c>
      <c r="AC10" s="21" t="s">
        <v>7</v>
      </c>
      <c r="AD10" s="22"/>
      <c r="AE10" s="2" t="s">
        <v>119</v>
      </c>
      <c r="AF10" s="221">
        <f t="shared" si="3"/>
        <v>7198.5</v>
      </c>
    </row>
    <row r="11" spans="1:32" ht="18.600000000000001" customHeight="1" x14ac:dyDescent="0.25">
      <c r="A11" s="47">
        <f t="shared" si="9"/>
        <v>6</v>
      </c>
      <c r="B11" s="15" t="s">
        <v>14</v>
      </c>
      <c r="C11" s="16">
        <v>3697.2</v>
      </c>
      <c r="D11" s="17">
        <v>8064.5161200000002</v>
      </c>
      <c r="E11" s="16">
        <v>0</v>
      </c>
      <c r="F11" s="18">
        <v>645.16129000000001</v>
      </c>
      <c r="G11" s="19">
        <v>0</v>
      </c>
      <c r="H11" s="18">
        <v>161.290322</v>
      </c>
      <c r="I11" s="19">
        <v>0</v>
      </c>
      <c r="J11" s="18">
        <v>0</v>
      </c>
      <c r="K11" s="16">
        <v>0</v>
      </c>
      <c r="L11" s="19"/>
      <c r="M11" s="238">
        <f t="shared" si="5"/>
        <v>0</v>
      </c>
      <c r="N11" s="85">
        <v>1935.48387</v>
      </c>
      <c r="O11" s="20">
        <v>891.7</v>
      </c>
      <c r="P11" s="238">
        <v>896</v>
      </c>
      <c r="Q11" s="19">
        <f t="shared" si="10"/>
        <v>1787.7</v>
      </c>
      <c r="R11" s="217">
        <v>3225.80645</v>
      </c>
      <c r="S11" s="16">
        <v>3995</v>
      </c>
      <c r="T11" s="17">
        <v>3735.48387</v>
      </c>
      <c r="U11" s="91">
        <f t="shared" si="6"/>
        <v>9479.9</v>
      </c>
      <c r="V11" s="89">
        <f t="shared" si="7"/>
        <v>17767.741922000001</v>
      </c>
      <c r="W11" s="16">
        <v>0</v>
      </c>
      <c r="X11" s="17"/>
      <c r="Y11" s="109">
        <f t="shared" si="8"/>
        <v>9479.9</v>
      </c>
      <c r="Z11" s="110">
        <f t="shared" si="8"/>
        <v>17767.741922000001</v>
      </c>
      <c r="AA11" s="50" t="s">
        <v>118</v>
      </c>
      <c r="AB11" s="46">
        <v>4</v>
      </c>
      <c r="AC11" s="21" t="s">
        <v>7</v>
      </c>
      <c r="AD11" s="22"/>
      <c r="AE11" s="2" t="s">
        <v>119</v>
      </c>
      <c r="AF11" s="221">
        <f t="shared" si="3"/>
        <v>4588.8999999999996</v>
      </c>
    </row>
    <row r="12" spans="1:32" s="43" customFormat="1" ht="18.600000000000001" customHeight="1" x14ac:dyDescent="0.25">
      <c r="A12" s="47">
        <f t="shared" si="9"/>
        <v>7</v>
      </c>
      <c r="B12" s="15" t="s">
        <v>15</v>
      </c>
      <c r="C12" s="16">
        <v>6109.6</v>
      </c>
      <c r="D12" s="17">
        <v>8064.5161200000002</v>
      </c>
      <c r="E12" s="16">
        <v>0</v>
      </c>
      <c r="F12" s="18">
        <v>645.16129000000001</v>
      </c>
      <c r="G12" s="19">
        <v>0</v>
      </c>
      <c r="H12" s="18">
        <v>161.290322</v>
      </c>
      <c r="I12" s="19">
        <v>0</v>
      </c>
      <c r="J12" s="18">
        <v>0</v>
      </c>
      <c r="K12" s="16">
        <v>2325.3000000000002</v>
      </c>
      <c r="L12" s="19"/>
      <c r="M12" s="238">
        <f t="shared" si="5"/>
        <v>2325.3000000000002</v>
      </c>
      <c r="N12" s="85">
        <v>1935.48387</v>
      </c>
      <c r="O12" s="20">
        <v>60</v>
      </c>
      <c r="P12" s="238">
        <v>2251</v>
      </c>
      <c r="Q12" s="19">
        <f t="shared" si="10"/>
        <v>2311</v>
      </c>
      <c r="R12" s="217">
        <v>3225.80645</v>
      </c>
      <c r="S12" s="16">
        <v>1688.6</v>
      </c>
      <c r="T12" s="17">
        <v>3735.48387</v>
      </c>
      <c r="U12" s="91">
        <f t="shared" si="6"/>
        <v>12434.500000000002</v>
      </c>
      <c r="V12" s="89">
        <f t="shared" si="7"/>
        <v>17767.741922000001</v>
      </c>
      <c r="W12" s="16">
        <v>0</v>
      </c>
      <c r="X12" s="17"/>
      <c r="Y12" s="109">
        <f t="shared" si="8"/>
        <v>12434.500000000002</v>
      </c>
      <c r="Z12" s="110">
        <f t="shared" si="8"/>
        <v>17767.741922000001</v>
      </c>
      <c r="AA12" s="45" t="s">
        <v>74</v>
      </c>
      <c r="AB12" s="46">
        <v>8</v>
      </c>
      <c r="AC12" s="21" t="s">
        <v>7</v>
      </c>
      <c r="AD12" s="22"/>
      <c r="AE12" s="2"/>
      <c r="AF12" s="221">
        <f t="shared" si="3"/>
        <v>8494.9000000000015</v>
      </c>
    </row>
    <row r="13" spans="1:32" ht="18.600000000000001" customHeight="1" x14ac:dyDescent="0.25">
      <c r="A13" s="47">
        <f t="shared" si="9"/>
        <v>8</v>
      </c>
      <c r="B13" s="15" t="s">
        <v>6</v>
      </c>
      <c r="C13" s="16">
        <v>9738.2999999999993</v>
      </c>
      <c r="D13" s="17">
        <v>8064.5161200000002</v>
      </c>
      <c r="E13" s="16">
        <v>0</v>
      </c>
      <c r="F13" s="18">
        <v>645.16129000000001</v>
      </c>
      <c r="G13" s="19">
        <v>192.8</v>
      </c>
      <c r="H13" s="18">
        <v>161.290322</v>
      </c>
      <c r="I13" s="19">
        <v>0</v>
      </c>
      <c r="J13" s="18">
        <v>0</v>
      </c>
      <c r="K13" s="16">
        <v>1111.7</v>
      </c>
      <c r="L13" s="19"/>
      <c r="M13" s="238">
        <f t="shared" si="5"/>
        <v>1111.7</v>
      </c>
      <c r="N13" s="85">
        <v>1935.48387</v>
      </c>
      <c r="O13" s="16">
        <v>0</v>
      </c>
      <c r="P13" s="238">
        <v>0</v>
      </c>
      <c r="Q13" s="19">
        <f t="shared" si="10"/>
        <v>0</v>
      </c>
      <c r="R13" s="17">
        <v>3225.80645</v>
      </c>
      <c r="S13" s="16">
        <v>2551.3000000000002</v>
      </c>
      <c r="T13" s="17">
        <v>3735.48387</v>
      </c>
      <c r="U13" s="91">
        <f t="shared" si="6"/>
        <v>13594.099999999999</v>
      </c>
      <c r="V13" s="89">
        <f t="shared" si="7"/>
        <v>17767.741922000001</v>
      </c>
      <c r="W13" s="16">
        <v>0</v>
      </c>
      <c r="X13" s="17"/>
      <c r="Y13" s="109">
        <f t="shared" si="8"/>
        <v>13594.099999999999</v>
      </c>
      <c r="Z13" s="110">
        <f t="shared" si="8"/>
        <v>17767.741922000001</v>
      </c>
      <c r="AA13" s="45" t="s">
        <v>96</v>
      </c>
      <c r="AB13" s="46">
        <v>10</v>
      </c>
      <c r="AC13" s="21" t="s">
        <v>7</v>
      </c>
      <c r="AD13" s="22"/>
      <c r="AF13" s="221">
        <f t="shared" si="3"/>
        <v>11042.8</v>
      </c>
    </row>
    <row r="14" spans="1:32" ht="18.600000000000001" customHeight="1" x14ac:dyDescent="0.25">
      <c r="A14" s="23">
        <f t="shared" si="9"/>
        <v>9</v>
      </c>
      <c r="B14" s="24" t="s">
        <v>8</v>
      </c>
      <c r="C14" s="25">
        <v>10815.2</v>
      </c>
      <c r="D14" s="26">
        <v>8064.5161200000002</v>
      </c>
      <c r="E14" s="25">
        <v>556.9</v>
      </c>
      <c r="F14" s="27">
        <v>645.16129000000001</v>
      </c>
      <c r="G14" s="28">
        <v>464.4</v>
      </c>
      <c r="H14" s="27">
        <v>161.290322</v>
      </c>
      <c r="I14" s="28">
        <v>0</v>
      </c>
      <c r="J14" s="27">
        <v>0</v>
      </c>
      <c r="K14" s="25">
        <v>8866.1</v>
      </c>
      <c r="L14" s="28"/>
      <c r="M14" s="239">
        <f t="shared" si="5"/>
        <v>8866.1</v>
      </c>
      <c r="N14" s="86">
        <v>1935.48387</v>
      </c>
      <c r="O14" s="25">
        <v>0</v>
      </c>
      <c r="P14" s="239">
        <v>0</v>
      </c>
      <c r="Q14" s="28">
        <f t="shared" si="10"/>
        <v>0</v>
      </c>
      <c r="R14" s="26">
        <v>3225.80645</v>
      </c>
      <c r="S14" s="25">
        <v>5314.8</v>
      </c>
      <c r="T14" s="26">
        <v>3735.48387</v>
      </c>
      <c r="U14" s="183">
        <f t="shared" si="6"/>
        <v>26017.399999999998</v>
      </c>
      <c r="V14" s="90">
        <f t="shared" si="7"/>
        <v>17767.741922000001</v>
      </c>
      <c r="W14" s="25">
        <v>0</v>
      </c>
      <c r="X14" s="26"/>
      <c r="Y14" s="92">
        <f t="shared" si="8"/>
        <v>26017.399999999998</v>
      </c>
      <c r="Z14" s="94">
        <f t="shared" si="8"/>
        <v>17767.741922000001</v>
      </c>
      <c r="AA14" s="29" t="s">
        <v>86</v>
      </c>
      <c r="AB14" s="30">
        <v>13</v>
      </c>
      <c r="AC14" s="31" t="s">
        <v>7</v>
      </c>
      <c r="AD14" s="32"/>
      <c r="AF14" s="221">
        <f>C14+E14+G14+K14+O14+W14</f>
        <v>20702.599999999999</v>
      </c>
    </row>
    <row r="15" spans="1:32" ht="18.600000000000001" customHeight="1" x14ac:dyDescent="0.25">
      <c r="A15" s="23">
        <f t="shared" si="9"/>
        <v>10</v>
      </c>
      <c r="B15" s="24" t="s">
        <v>9</v>
      </c>
      <c r="C15" s="25">
        <v>12581.2</v>
      </c>
      <c r="D15" s="26">
        <v>8064.5161200000002</v>
      </c>
      <c r="E15" s="25">
        <v>0</v>
      </c>
      <c r="F15" s="27">
        <v>645.16129000000001</v>
      </c>
      <c r="G15" s="28">
        <v>23</v>
      </c>
      <c r="H15" s="27">
        <v>161.290322</v>
      </c>
      <c r="I15" s="28">
        <v>0</v>
      </c>
      <c r="J15" s="27">
        <v>0</v>
      </c>
      <c r="K15" s="25">
        <v>7885.6</v>
      </c>
      <c r="L15" s="28"/>
      <c r="M15" s="239">
        <f t="shared" si="5"/>
        <v>7885.6</v>
      </c>
      <c r="N15" s="86">
        <v>1935.48387</v>
      </c>
      <c r="O15" s="25">
        <v>2009.8</v>
      </c>
      <c r="P15" s="239">
        <v>0</v>
      </c>
      <c r="Q15" s="28">
        <f t="shared" si="10"/>
        <v>2009.8</v>
      </c>
      <c r="R15" s="26">
        <v>3225.80645</v>
      </c>
      <c r="S15" s="25">
        <v>3651</v>
      </c>
      <c r="T15" s="26">
        <v>3735.48387</v>
      </c>
      <c r="U15" s="183">
        <f t="shared" si="6"/>
        <v>26150.600000000002</v>
      </c>
      <c r="V15" s="90">
        <f t="shared" si="7"/>
        <v>17767.741922000001</v>
      </c>
      <c r="W15" s="25">
        <v>0</v>
      </c>
      <c r="X15" s="26"/>
      <c r="Y15" s="92">
        <f t="shared" si="8"/>
        <v>26150.600000000002</v>
      </c>
      <c r="Z15" s="94">
        <f t="shared" si="8"/>
        <v>17767.741922000001</v>
      </c>
      <c r="AA15" s="29" t="s">
        <v>120</v>
      </c>
      <c r="AB15" s="30">
        <v>12</v>
      </c>
      <c r="AC15" s="31" t="s">
        <v>7</v>
      </c>
      <c r="AD15" s="32"/>
      <c r="AF15" s="221">
        <f t="shared" si="3"/>
        <v>22499.600000000002</v>
      </c>
    </row>
    <row r="16" spans="1:32" ht="18.600000000000001" customHeight="1" x14ac:dyDescent="0.25">
      <c r="A16" s="33" t="s">
        <v>10</v>
      </c>
      <c r="B16" s="34">
        <f>SUM(B8+1)</f>
        <v>10</v>
      </c>
      <c r="C16" s="35">
        <f t="shared" ref="C16:Y16" si="11">SUM(C9:C15)</f>
        <v>52872.3</v>
      </c>
      <c r="D16" s="36">
        <f t="shared" si="11"/>
        <v>56451.612840000002</v>
      </c>
      <c r="E16" s="35">
        <f t="shared" si="11"/>
        <v>556.9</v>
      </c>
      <c r="F16" s="37">
        <f t="shared" si="11"/>
        <v>4516.1290300000001</v>
      </c>
      <c r="G16" s="38">
        <f t="shared" si="11"/>
        <v>1014.1999999999999</v>
      </c>
      <c r="H16" s="37">
        <f>SUM(H9:H15)</f>
        <v>1129.0322540000002</v>
      </c>
      <c r="I16" s="38">
        <f>SUM(I9:I15)</f>
        <v>0</v>
      </c>
      <c r="J16" s="37">
        <f>SUM(J9:J15)</f>
        <v>0</v>
      </c>
      <c r="K16" s="35">
        <f>SUM(K9:K15)</f>
        <v>21188.7</v>
      </c>
      <c r="L16" s="38">
        <f t="shared" ref="L16:M16" si="12">SUM(L9:L15)</f>
        <v>0</v>
      </c>
      <c r="M16" s="82">
        <f t="shared" si="12"/>
        <v>21188.7</v>
      </c>
      <c r="N16" s="36">
        <f t="shared" si="11"/>
        <v>13548.38709</v>
      </c>
      <c r="O16" s="35">
        <f>SUM(O9:O15)</f>
        <v>3542.2</v>
      </c>
      <c r="P16" s="38">
        <f t="shared" ref="P16" si="13">SUM(P9:P15)</f>
        <v>8503</v>
      </c>
      <c r="Q16" s="38">
        <f>SUM(Q9:Q15)</f>
        <v>12045.199999999999</v>
      </c>
      <c r="R16" s="82">
        <f>SUM(R9:R15)</f>
        <v>22580.64515</v>
      </c>
      <c r="S16" s="35">
        <f>SUM(S9:S15)</f>
        <v>19899.899999999998</v>
      </c>
      <c r="T16" s="36">
        <f t="shared" si="11"/>
        <v>26148.38709</v>
      </c>
      <c r="U16" s="35">
        <f t="shared" si="11"/>
        <v>107577.2</v>
      </c>
      <c r="V16" s="36">
        <f>SUM(V9:V15)</f>
        <v>124374.19345400001</v>
      </c>
      <c r="W16" s="35">
        <f>SUM(W9:W15)</f>
        <v>0</v>
      </c>
      <c r="X16" s="36">
        <f>SUM(X9:X15)</f>
        <v>0</v>
      </c>
      <c r="Y16" s="35">
        <f t="shared" si="11"/>
        <v>107577.2</v>
      </c>
      <c r="Z16" s="36">
        <f>SUM(Z9:Z15)</f>
        <v>124374.19345400001</v>
      </c>
      <c r="AA16" s="39" t="s">
        <v>11</v>
      </c>
      <c r="AB16" s="40">
        <f>SUM(AB9:AB15)/7</f>
        <v>8.7142857142857135</v>
      </c>
      <c r="AC16" s="41" t="s">
        <v>7</v>
      </c>
      <c r="AD16" s="42"/>
      <c r="AF16" s="221"/>
    </row>
    <row r="17" spans="1:32" ht="18.600000000000001" customHeight="1" x14ac:dyDescent="0.25">
      <c r="A17" s="44">
        <f>SUM(A15+1)</f>
        <v>11</v>
      </c>
      <c r="B17" s="15" t="s">
        <v>12</v>
      </c>
      <c r="C17" s="16">
        <v>7727.6</v>
      </c>
      <c r="D17" s="17">
        <v>8064.5161200000002</v>
      </c>
      <c r="E17" s="16">
        <v>24</v>
      </c>
      <c r="F17" s="18">
        <v>645.16129000000001</v>
      </c>
      <c r="G17" s="19">
        <v>97.8</v>
      </c>
      <c r="H17" s="18">
        <v>161.290322</v>
      </c>
      <c r="I17" s="19">
        <v>0</v>
      </c>
      <c r="J17" s="18">
        <v>0</v>
      </c>
      <c r="K17" s="16">
        <v>0</v>
      </c>
      <c r="L17" s="19"/>
      <c r="M17" s="238">
        <f t="shared" ref="M17:M23" si="14">K17+L17</f>
        <v>0</v>
      </c>
      <c r="N17" s="85">
        <v>1935.48387</v>
      </c>
      <c r="O17" s="16">
        <v>1115.9000000000001</v>
      </c>
      <c r="P17" s="250">
        <v>1177</v>
      </c>
      <c r="Q17" s="19">
        <f>SUM(O17:P17)</f>
        <v>2292.9</v>
      </c>
      <c r="R17" s="17">
        <v>3225.80645</v>
      </c>
      <c r="S17" s="16">
        <v>5667.4</v>
      </c>
      <c r="T17" s="17">
        <v>3735.48387</v>
      </c>
      <c r="U17" s="91">
        <f t="shared" ref="U17:U23" si="15">SUM(C17+E17+G17+I17+K17+Q17+S17)</f>
        <v>15809.7</v>
      </c>
      <c r="V17" s="89">
        <f t="shared" ref="V17:V23" si="16">SUM(D17+F17+H17+J17+N17+R17+T17)</f>
        <v>17767.741922000001</v>
      </c>
      <c r="W17" s="16">
        <v>0</v>
      </c>
      <c r="X17" s="17"/>
      <c r="Y17" s="109">
        <f t="shared" ref="Y17:Z23" si="17">SUM(U17+W17)</f>
        <v>15809.7</v>
      </c>
      <c r="Z17" s="110">
        <f t="shared" si="17"/>
        <v>17767.741922000001</v>
      </c>
      <c r="AA17" s="50" t="s">
        <v>114</v>
      </c>
      <c r="AB17" s="51">
        <v>10</v>
      </c>
      <c r="AC17" s="21" t="s">
        <v>7</v>
      </c>
      <c r="AD17" s="22"/>
      <c r="AF17" s="221">
        <f t="shared" si="3"/>
        <v>8965.3000000000011</v>
      </c>
    </row>
    <row r="18" spans="1:32" ht="18.600000000000001" customHeight="1" x14ac:dyDescent="0.25">
      <c r="A18" s="47">
        <f t="shared" ref="A18:A23" si="18">SUM(A17+1)</f>
        <v>12</v>
      </c>
      <c r="B18" s="15" t="s">
        <v>13</v>
      </c>
      <c r="C18" s="16">
        <v>2757.8</v>
      </c>
      <c r="D18" s="17">
        <v>8064.5161200000002</v>
      </c>
      <c r="E18" s="16">
        <v>0</v>
      </c>
      <c r="F18" s="18">
        <v>645.16129000000001</v>
      </c>
      <c r="G18" s="19">
        <v>9.5</v>
      </c>
      <c r="H18" s="18">
        <v>161.290322</v>
      </c>
      <c r="I18" s="19">
        <v>0</v>
      </c>
      <c r="J18" s="18">
        <v>0</v>
      </c>
      <c r="K18" s="16">
        <v>1668.8</v>
      </c>
      <c r="L18" s="19"/>
      <c r="M18" s="238">
        <f t="shared" si="14"/>
        <v>1668.8</v>
      </c>
      <c r="N18" s="85">
        <v>1935.48387</v>
      </c>
      <c r="O18" s="20">
        <v>1361</v>
      </c>
      <c r="P18" s="250">
        <v>7456</v>
      </c>
      <c r="Q18" s="19">
        <f t="shared" ref="Q18:Q23" si="19">SUM(O18:P18)</f>
        <v>8817</v>
      </c>
      <c r="R18" s="217">
        <v>3225.80645</v>
      </c>
      <c r="S18" s="123">
        <v>6985.7</v>
      </c>
      <c r="T18" s="17">
        <v>3735.48387</v>
      </c>
      <c r="U18" s="91">
        <f t="shared" si="15"/>
        <v>20238.8</v>
      </c>
      <c r="V18" s="89">
        <f t="shared" si="16"/>
        <v>17767.741922000001</v>
      </c>
      <c r="W18" s="16">
        <v>0</v>
      </c>
      <c r="X18" s="17"/>
      <c r="Y18" s="109">
        <f t="shared" si="17"/>
        <v>20238.8</v>
      </c>
      <c r="Z18" s="110">
        <f t="shared" si="17"/>
        <v>17767.741922000001</v>
      </c>
      <c r="AA18" s="45" t="s">
        <v>81</v>
      </c>
      <c r="AB18" s="46">
        <v>9</v>
      </c>
      <c r="AC18" s="21" t="s">
        <v>7</v>
      </c>
      <c r="AD18" s="22"/>
      <c r="AF18" s="221">
        <f t="shared" si="3"/>
        <v>5797.1</v>
      </c>
    </row>
    <row r="19" spans="1:32" ht="18.600000000000001" customHeight="1" x14ac:dyDescent="0.25">
      <c r="A19" s="47">
        <f t="shared" si="18"/>
        <v>13</v>
      </c>
      <c r="B19" s="15" t="s">
        <v>14</v>
      </c>
      <c r="C19" s="16">
        <v>5438.8</v>
      </c>
      <c r="D19" s="17">
        <v>8064.5161200000002</v>
      </c>
      <c r="E19" s="16">
        <v>0</v>
      </c>
      <c r="F19" s="18">
        <v>645.16129000000001</v>
      </c>
      <c r="G19" s="19">
        <v>0</v>
      </c>
      <c r="H19" s="18">
        <v>161.290322</v>
      </c>
      <c r="I19" s="19">
        <v>0</v>
      </c>
      <c r="J19" s="18">
        <v>0</v>
      </c>
      <c r="K19" s="16">
        <v>0</v>
      </c>
      <c r="L19" s="19"/>
      <c r="M19" s="238">
        <f t="shared" si="14"/>
        <v>0</v>
      </c>
      <c r="N19" s="85">
        <v>1935.48387</v>
      </c>
      <c r="O19" s="20">
        <v>1085.2</v>
      </c>
      <c r="P19" s="250">
        <v>4503</v>
      </c>
      <c r="Q19" s="19">
        <f t="shared" si="19"/>
        <v>5588.2</v>
      </c>
      <c r="R19" s="217">
        <v>3225.80645</v>
      </c>
      <c r="S19" s="16">
        <v>6786.4</v>
      </c>
      <c r="T19" s="17">
        <v>3735.48387</v>
      </c>
      <c r="U19" s="91">
        <f t="shared" si="15"/>
        <v>17813.400000000001</v>
      </c>
      <c r="V19" s="89">
        <f t="shared" si="16"/>
        <v>17767.741922000001</v>
      </c>
      <c r="W19" s="16">
        <v>0</v>
      </c>
      <c r="X19" s="17"/>
      <c r="Y19" s="109">
        <f t="shared" si="17"/>
        <v>17813.400000000001</v>
      </c>
      <c r="Z19" s="110">
        <f t="shared" si="17"/>
        <v>17767.741922000001</v>
      </c>
      <c r="AA19" s="45" t="s">
        <v>62</v>
      </c>
      <c r="AB19" s="46">
        <v>9</v>
      </c>
      <c r="AC19" s="21" t="s">
        <v>7</v>
      </c>
      <c r="AD19" s="22"/>
      <c r="AF19" s="221">
        <f t="shared" si="3"/>
        <v>6524</v>
      </c>
    </row>
    <row r="20" spans="1:32" s="43" customFormat="1" ht="18.600000000000001" customHeight="1" x14ac:dyDescent="0.25">
      <c r="A20" s="47">
        <f t="shared" si="18"/>
        <v>14</v>
      </c>
      <c r="B20" s="15" t="s">
        <v>15</v>
      </c>
      <c r="C20" s="16">
        <v>8425.9</v>
      </c>
      <c r="D20" s="17">
        <v>8064.5161200000002</v>
      </c>
      <c r="E20" s="16">
        <v>1019.2</v>
      </c>
      <c r="F20" s="18">
        <v>645.16129000000001</v>
      </c>
      <c r="G20" s="19">
        <v>374.1</v>
      </c>
      <c r="H20" s="18">
        <v>161.290322</v>
      </c>
      <c r="I20" s="19">
        <v>0</v>
      </c>
      <c r="J20" s="18">
        <v>0</v>
      </c>
      <c r="K20" s="16">
        <v>175.5</v>
      </c>
      <c r="L20" s="19"/>
      <c r="M20" s="238">
        <f t="shared" si="14"/>
        <v>175.5</v>
      </c>
      <c r="N20" s="85">
        <v>1935.48387</v>
      </c>
      <c r="O20" s="20">
        <v>1967.8</v>
      </c>
      <c r="P20" s="250">
        <v>2953</v>
      </c>
      <c r="Q20" s="19">
        <f t="shared" si="19"/>
        <v>4920.8</v>
      </c>
      <c r="R20" s="217">
        <v>3225.80645</v>
      </c>
      <c r="S20" s="16">
        <v>6778.5</v>
      </c>
      <c r="T20" s="17">
        <v>3735.48387</v>
      </c>
      <c r="U20" s="91">
        <f t="shared" si="15"/>
        <v>21694</v>
      </c>
      <c r="V20" s="89">
        <f t="shared" si="16"/>
        <v>17767.741922000001</v>
      </c>
      <c r="W20" s="16">
        <v>0</v>
      </c>
      <c r="X20" s="17"/>
      <c r="Y20" s="109">
        <f t="shared" si="17"/>
        <v>21694</v>
      </c>
      <c r="Z20" s="110">
        <f t="shared" si="17"/>
        <v>17767.741922000001</v>
      </c>
      <c r="AA20" s="45" t="s">
        <v>121</v>
      </c>
      <c r="AB20" s="46">
        <v>15</v>
      </c>
      <c r="AC20" s="21" t="s">
        <v>7</v>
      </c>
      <c r="AD20" s="22"/>
      <c r="AE20" s="2"/>
      <c r="AF20" s="221">
        <f t="shared" si="3"/>
        <v>11962.5</v>
      </c>
    </row>
    <row r="21" spans="1:32" ht="18.600000000000001" customHeight="1" x14ac:dyDescent="0.25">
      <c r="A21" s="47">
        <f t="shared" si="18"/>
        <v>15</v>
      </c>
      <c r="B21" s="15" t="s">
        <v>6</v>
      </c>
      <c r="C21" s="16">
        <v>8266</v>
      </c>
      <c r="D21" s="17">
        <v>8064.5161200000002</v>
      </c>
      <c r="E21" s="16">
        <v>0</v>
      </c>
      <c r="F21" s="18">
        <v>645.16129000000001</v>
      </c>
      <c r="G21" s="19">
        <v>249.5</v>
      </c>
      <c r="H21" s="18">
        <v>161.290322</v>
      </c>
      <c r="I21" s="19">
        <v>0</v>
      </c>
      <c r="J21" s="18">
        <v>0</v>
      </c>
      <c r="K21" s="16">
        <v>0</v>
      </c>
      <c r="L21" s="19"/>
      <c r="M21" s="238">
        <f t="shared" si="14"/>
        <v>0</v>
      </c>
      <c r="N21" s="85">
        <v>1935.48387</v>
      </c>
      <c r="O21" s="16">
        <v>1228.9000000000001</v>
      </c>
      <c r="P21" s="238">
        <v>7423</v>
      </c>
      <c r="Q21" s="19">
        <f t="shared" si="19"/>
        <v>8651.9</v>
      </c>
      <c r="R21" s="17">
        <v>3225.80645</v>
      </c>
      <c r="S21" s="16">
        <v>4334.1000000000004</v>
      </c>
      <c r="T21" s="17">
        <v>3735.48387</v>
      </c>
      <c r="U21" s="91">
        <f t="shared" si="15"/>
        <v>21501.5</v>
      </c>
      <c r="V21" s="89">
        <f t="shared" si="16"/>
        <v>17767.741922000001</v>
      </c>
      <c r="W21" s="16">
        <v>0</v>
      </c>
      <c r="X21" s="17"/>
      <c r="Y21" s="109">
        <f t="shared" si="17"/>
        <v>21501.5</v>
      </c>
      <c r="Z21" s="110">
        <f t="shared" si="17"/>
        <v>17767.741922000001</v>
      </c>
      <c r="AA21" s="45" t="s">
        <v>81</v>
      </c>
      <c r="AB21" s="46">
        <v>16</v>
      </c>
      <c r="AC21" s="21" t="s">
        <v>7</v>
      </c>
      <c r="AD21" s="22"/>
      <c r="AF21" s="221">
        <f t="shared" si="3"/>
        <v>9744.4</v>
      </c>
    </row>
    <row r="22" spans="1:32" ht="18.600000000000001" customHeight="1" x14ac:dyDescent="0.25">
      <c r="A22" s="23">
        <f t="shared" si="18"/>
        <v>16</v>
      </c>
      <c r="B22" s="24" t="s">
        <v>8</v>
      </c>
      <c r="C22" s="25">
        <v>14353.6</v>
      </c>
      <c r="D22" s="26">
        <v>8064.5161200000002</v>
      </c>
      <c r="E22" s="25">
        <v>24</v>
      </c>
      <c r="F22" s="27">
        <v>645.16129000000001</v>
      </c>
      <c r="G22" s="28">
        <v>184.6</v>
      </c>
      <c r="H22" s="27">
        <v>161.290322</v>
      </c>
      <c r="I22" s="28">
        <v>0</v>
      </c>
      <c r="J22" s="27">
        <v>0</v>
      </c>
      <c r="K22" s="25">
        <v>0</v>
      </c>
      <c r="L22" s="28"/>
      <c r="M22" s="239">
        <f t="shared" si="14"/>
        <v>0</v>
      </c>
      <c r="N22" s="86">
        <v>1935.48387</v>
      </c>
      <c r="O22" s="25">
        <v>8</v>
      </c>
      <c r="P22" s="239">
        <v>1494</v>
      </c>
      <c r="Q22" s="28">
        <f t="shared" si="19"/>
        <v>1502</v>
      </c>
      <c r="R22" s="26">
        <v>3225.80645</v>
      </c>
      <c r="S22" s="25">
        <v>4017.6</v>
      </c>
      <c r="T22" s="26">
        <v>3735.48387</v>
      </c>
      <c r="U22" s="183">
        <f t="shared" si="15"/>
        <v>20081.8</v>
      </c>
      <c r="V22" s="90">
        <f t="shared" si="16"/>
        <v>17767.741922000001</v>
      </c>
      <c r="W22" s="25">
        <v>0</v>
      </c>
      <c r="X22" s="26"/>
      <c r="Y22" s="92">
        <f t="shared" si="17"/>
        <v>20081.8</v>
      </c>
      <c r="Z22" s="94">
        <f t="shared" si="17"/>
        <v>17767.741922000001</v>
      </c>
      <c r="AA22" s="29" t="s">
        <v>81</v>
      </c>
      <c r="AB22" s="30">
        <v>11</v>
      </c>
      <c r="AC22" s="31" t="s">
        <v>7</v>
      </c>
      <c r="AD22" s="32"/>
      <c r="AF22" s="221">
        <f t="shared" si="3"/>
        <v>14570.2</v>
      </c>
    </row>
    <row r="23" spans="1:32" ht="18.600000000000001" customHeight="1" x14ac:dyDescent="0.25">
      <c r="A23" s="23">
        <f t="shared" si="18"/>
        <v>17</v>
      </c>
      <c r="B23" s="24" t="s">
        <v>9</v>
      </c>
      <c r="C23" s="25">
        <v>12780.6</v>
      </c>
      <c r="D23" s="26">
        <v>8064.5161200000002</v>
      </c>
      <c r="E23" s="25">
        <v>0</v>
      </c>
      <c r="F23" s="27">
        <v>645.16129000000001</v>
      </c>
      <c r="G23" s="28">
        <v>0</v>
      </c>
      <c r="H23" s="27">
        <v>161.290322</v>
      </c>
      <c r="I23" s="28">
        <v>0</v>
      </c>
      <c r="J23" s="27">
        <v>0</v>
      </c>
      <c r="K23" s="25">
        <v>9436.5</v>
      </c>
      <c r="L23" s="28"/>
      <c r="M23" s="239">
        <f t="shared" si="14"/>
        <v>9436.5</v>
      </c>
      <c r="N23" s="86">
        <v>1935.48387</v>
      </c>
      <c r="O23" s="25">
        <v>0</v>
      </c>
      <c r="P23" s="239">
        <v>0</v>
      </c>
      <c r="Q23" s="28">
        <f t="shared" si="19"/>
        <v>0</v>
      </c>
      <c r="R23" s="26">
        <v>3225.80645</v>
      </c>
      <c r="S23" s="25">
        <v>2084.1999999999998</v>
      </c>
      <c r="T23" s="26">
        <v>3735.48387</v>
      </c>
      <c r="U23" s="183">
        <f t="shared" si="15"/>
        <v>24301.3</v>
      </c>
      <c r="V23" s="90">
        <f t="shared" si="16"/>
        <v>17767.741922000001</v>
      </c>
      <c r="W23" s="25">
        <v>0</v>
      </c>
      <c r="X23" s="26"/>
      <c r="Y23" s="92">
        <f t="shared" si="17"/>
        <v>24301.3</v>
      </c>
      <c r="Z23" s="94">
        <f t="shared" si="17"/>
        <v>17767.741922000001</v>
      </c>
      <c r="AA23" s="29" t="s">
        <v>89</v>
      </c>
      <c r="AB23" s="30">
        <v>11</v>
      </c>
      <c r="AC23" s="31" t="s">
        <v>7</v>
      </c>
      <c r="AD23" s="32"/>
      <c r="AF23" s="221">
        <f t="shared" si="3"/>
        <v>22217.1</v>
      </c>
    </row>
    <row r="24" spans="1:32" ht="18.600000000000001" customHeight="1" x14ac:dyDescent="0.25">
      <c r="A24" s="33" t="s">
        <v>10</v>
      </c>
      <c r="B24" s="34">
        <f>SUM(B16+1)</f>
        <v>11</v>
      </c>
      <c r="C24" s="35">
        <f t="shared" ref="C24:Y24" si="20">SUM(C17:C23)</f>
        <v>59750.299999999996</v>
      </c>
      <c r="D24" s="36">
        <f t="shared" si="20"/>
        <v>56451.612840000002</v>
      </c>
      <c r="E24" s="35">
        <f t="shared" si="20"/>
        <v>1067.2</v>
      </c>
      <c r="F24" s="37">
        <f t="shared" si="20"/>
        <v>4516.1290300000001</v>
      </c>
      <c r="G24" s="38">
        <f t="shared" si="20"/>
        <v>915.50000000000011</v>
      </c>
      <c r="H24" s="37">
        <f>SUM(H17:H23)</f>
        <v>1129.0322540000002</v>
      </c>
      <c r="I24" s="38">
        <f>SUM(I17:I23)</f>
        <v>0</v>
      </c>
      <c r="J24" s="37">
        <f>SUM(J17:J23)</f>
        <v>0</v>
      </c>
      <c r="K24" s="35">
        <f t="shared" si="20"/>
        <v>11280.8</v>
      </c>
      <c r="L24" s="38">
        <f t="shared" si="20"/>
        <v>0</v>
      </c>
      <c r="M24" s="82">
        <f t="shared" si="20"/>
        <v>11280.8</v>
      </c>
      <c r="N24" s="36">
        <f t="shared" si="20"/>
        <v>13548.38709</v>
      </c>
      <c r="O24" s="35">
        <f>SUM(O17:O23)</f>
        <v>6766.8000000000011</v>
      </c>
      <c r="P24" s="82">
        <f t="shared" ref="P24" si="21">SUM(P17:P23)</f>
        <v>25006</v>
      </c>
      <c r="Q24" s="38">
        <f>SUM(Q17:Q23)</f>
        <v>31772.799999999996</v>
      </c>
      <c r="R24" s="82">
        <f>SUM(R17:R23)</f>
        <v>22580.64515</v>
      </c>
      <c r="S24" s="35">
        <f>SUM(S17:S23)</f>
        <v>36653.899999999994</v>
      </c>
      <c r="T24" s="36">
        <f t="shared" si="20"/>
        <v>26148.38709</v>
      </c>
      <c r="U24" s="35">
        <f t="shared" si="20"/>
        <v>141440.5</v>
      </c>
      <c r="V24" s="36">
        <f>SUM(V17:V23)</f>
        <v>124374.19345400001</v>
      </c>
      <c r="W24" s="35">
        <f>SUM(W17:W23)</f>
        <v>0</v>
      </c>
      <c r="X24" s="36">
        <f>SUM(X17:X23)</f>
        <v>0</v>
      </c>
      <c r="Y24" s="35">
        <f t="shared" si="20"/>
        <v>141440.5</v>
      </c>
      <c r="Z24" s="36">
        <f>SUM(Z17:Z23)</f>
        <v>124374.19345400001</v>
      </c>
      <c r="AA24" s="39" t="s">
        <v>11</v>
      </c>
      <c r="AB24" s="40">
        <f>SUM(AB17:AB23)/7</f>
        <v>11.571428571428571</v>
      </c>
      <c r="AC24" s="41" t="s">
        <v>7</v>
      </c>
      <c r="AD24" s="42"/>
      <c r="AF24" s="221"/>
    </row>
    <row r="25" spans="1:32" ht="18.600000000000001" customHeight="1" x14ac:dyDescent="0.25">
      <c r="A25" s="44">
        <f>SUM(A23+1)</f>
        <v>18</v>
      </c>
      <c r="B25" s="15" t="s">
        <v>12</v>
      </c>
      <c r="C25" s="16">
        <v>5532.6</v>
      </c>
      <c r="D25" s="17">
        <v>8064.5161200000002</v>
      </c>
      <c r="E25" s="16">
        <v>0</v>
      </c>
      <c r="F25" s="18">
        <v>645.16129000000001</v>
      </c>
      <c r="G25" s="19">
        <v>0</v>
      </c>
      <c r="H25" s="18">
        <v>161.290322</v>
      </c>
      <c r="I25" s="19">
        <v>0</v>
      </c>
      <c r="J25" s="18">
        <v>0</v>
      </c>
      <c r="K25" s="16">
        <v>0</v>
      </c>
      <c r="L25" s="238"/>
      <c r="M25" s="19">
        <f t="shared" ref="M25:M31" si="22">K25+L25</f>
        <v>0</v>
      </c>
      <c r="N25" s="85">
        <v>1935.48387</v>
      </c>
      <c r="O25" s="16">
        <v>0</v>
      </c>
      <c r="P25" s="238">
        <v>0</v>
      </c>
      <c r="Q25" s="19">
        <f>SUM(O25:P25)</f>
        <v>0</v>
      </c>
      <c r="R25" s="17">
        <v>3225.80645</v>
      </c>
      <c r="S25" s="16">
        <v>2000.3</v>
      </c>
      <c r="T25" s="17">
        <v>3735.48387</v>
      </c>
      <c r="U25" s="91">
        <f t="shared" ref="U25:U31" si="23">SUM(C25+E25+G25+I25+K25+Q25+S25)</f>
        <v>7532.9000000000005</v>
      </c>
      <c r="V25" s="89">
        <f t="shared" ref="V25:V31" si="24">SUM(D25+F25+H25+J25+N25+R25+T25)</f>
        <v>17767.741922000001</v>
      </c>
      <c r="W25" s="16">
        <v>0</v>
      </c>
      <c r="X25" s="17"/>
      <c r="Y25" s="109">
        <f t="shared" ref="Y25:Z31" si="25">SUM(U25+W25)</f>
        <v>7532.9000000000005</v>
      </c>
      <c r="Z25" s="110">
        <f t="shared" si="25"/>
        <v>17767.741922000001</v>
      </c>
      <c r="AA25" s="50" t="s">
        <v>77</v>
      </c>
      <c r="AB25" s="51">
        <v>10</v>
      </c>
      <c r="AC25" s="21" t="s">
        <v>7</v>
      </c>
      <c r="AD25" s="22"/>
      <c r="AF25" s="221">
        <f t="shared" si="3"/>
        <v>5532.6</v>
      </c>
    </row>
    <row r="26" spans="1:32" ht="18.600000000000001" customHeight="1" x14ac:dyDescent="0.25">
      <c r="A26" s="47">
        <f t="shared" ref="A26:A31" si="26">SUM(A25+1)</f>
        <v>19</v>
      </c>
      <c r="B26" s="15" t="s">
        <v>13</v>
      </c>
      <c r="C26" s="16">
        <v>5510.2</v>
      </c>
      <c r="D26" s="17">
        <v>8064.5161200000002</v>
      </c>
      <c r="E26" s="16">
        <v>520</v>
      </c>
      <c r="F26" s="18">
        <v>645.16129000000001</v>
      </c>
      <c r="G26" s="19">
        <v>538.6</v>
      </c>
      <c r="H26" s="18">
        <v>161.290322</v>
      </c>
      <c r="I26" s="19">
        <v>0</v>
      </c>
      <c r="J26" s="18">
        <v>0</v>
      </c>
      <c r="K26" s="16">
        <v>760</v>
      </c>
      <c r="L26" s="238"/>
      <c r="M26" s="19">
        <f t="shared" si="22"/>
        <v>760</v>
      </c>
      <c r="N26" s="85">
        <v>1935.48387</v>
      </c>
      <c r="O26" s="16">
        <v>692</v>
      </c>
      <c r="P26" s="238">
        <v>4374</v>
      </c>
      <c r="Q26" s="19">
        <f t="shared" ref="Q26:Q31" si="27">SUM(O26:P26)</f>
        <v>5066</v>
      </c>
      <c r="R26" s="17">
        <v>3225.80645</v>
      </c>
      <c r="S26" s="123">
        <v>5557.3</v>
      </c>
      <c r="T26" s="17">
        <v>3735.48387</v>
      </c>
      <c r="U26" s="91">
        <f t="shared" si="23"/>
        <v>17952.099999999999</v>
      </c>
      <c r="V26" s="89">
        <f t="shared" si="24"/>
        <v>17767.741922000001</v>
      </c>
      <c r="W26" s="16">
        <v>0</v>
      </c>
      <c r="X26" s="17"/>
      <c r="Y26" s="109">
        <f t="shared" si="25"/>
        <v>17952.099999999999</v>
      </c>
      <c r="Z26" s="110">
        <f t="shared" si="25"/>
        <v>17767.741922000001</v>
      </c>
      <c r="AA26" s="432" t="s">
        <v>82</v>
      </c>
      <c r="AB26" s="431">
        <v>15</v>
      </c>
      <c r="AC26" s="21" t="s">
        <v>7</v>
      </c>
      <c r="AD26" s="22"/>
      <c r="AF26" s="221">
        <f t="shared" si="3"/>
        <v>8020.8</v>
      </c>
    </row>
    <row r="27" spans="1:32" ht="18.600000000000001" customHeight="1" x14ac:dyDescent="0.25">
      <c r="A27" s="47">
        <f t="shared" si="26"/>
        <v>20</v>
      </c>
      <c r="B27" s="15" t="s">
        <v>14</v>
      </c>
      <c r="C27" s="16">
        <v>5881.2</v>
      </c>
      <c r="D27" s="17">
        <v>8064.5161200000002</v>
      </c>
      <c r="E27" s="16">
        <v>1955.1</v>
      </c>
      <c r="F27" s="18">
        <v>645.16129000000001</v>
      </c>
      <c r="G27" s="19">
        <v>684.3</v>
      </c>
      <c r="H27" s="18">
        <v>161.290322</v>
      </c>
      <c r="I27" s="19">
        <v>0</v>
      </c>
      <c r="J27" s="18">
        <v>0</v>
      </c>
      <c r="K27" s="16">
        <v>0</v>
      </c>
      <c r="L27" s="238"/>
      <c r="M27" s="19">
        <f t="shared" si="22"/>
        <v>0</v>
      </c>
      <c r="N27" s="85">
        <v>1935.48387</v>
      </c>
      <c r="O27" s="16">
        <v>1471.1</v>
      </c>
      <c r="P27" s="250">
        <v>4400</v>
      </c>
      <c r="Q27" s="19">
        <f t="shared" si="27"/>
        <v>5871.1</v>
      </c>
      <c r="R27" s="17">
        <v>3225.80645</v>
      </c>
      <c r="S27" s="123">
        <v>6574.1</v>
      </c>
      <c r="T27" s="17">
        <v>3735.48387</v>
      </c>
      <c r="U27" s="91">
        <f t="shared" si="23"/>
        <v>20965.8</v>
      </c>
      <c r="V27" s="89">
        <f t="shared" si="24"/>
        <v>17767.741922000001</v>
      </c>
      <c r="W27" s="16">
        <v>0</v>
      </c>
      <c r="X27" s="17"/>
      <c r="Y27" s="109">
        <f t="shared" si="25"/>
        <v>20965.8</v>
      </c>
      <c r="Z27" s="110">
        <f t="shared" si="25"/>
        <v>17767.741922000001</v>
      </c>
      <c r="AA27" s="45" t="s">
        <v>122</v>
      </c>
      <c r="AB27" s="46">
        <v>17</v>
      </c>
      <c r="AC27" s="21" t="s">
        <v>7</v>
      </c>
      <c r="AD27" s="22"/>
      <c r="AF27" s="221">
        <f t="shared" si="3"/>
        <v>9991.6999999999989</v>
      </c>
    </row>
    <row r="28" spans="1:32" s="43" customFormat="1" ht="18.600000000000001" customHeight="1" x14ac:dyDescent="0.25">
      <c r="A28" s="47">
        <f t="shared" si="26"/>
        <v>21</v>
      </c>
      <c r="B28" s="15" t="s">
        <v>15</v>
      </c>
      <c r="C28" s="16">
        <v>6205.1</v>
      </c>
      <c r="D28" s="17">
        <v>8064.5161200000002</v>
      </c>
      <c r="E28" s="16">
        <v>200.5</v>
      </c>
      <c r="F28" s="18">
        <v>645.16129000000001</v>
      </c>
      <c r="G28" s="19">
        <v>173.8</v>
      </c>
      <c r="H28" s="18">
        <v>161.290322</v>
      </c>
      <c r="I28" s="19">
        <v>0</v>
      </c>
      <c r="J28" s="18">
        <v>0</v>
      </c>
      <c r="K28" s="16">
        <v>2014.4</v>
      </c>
      <c r="L28" s="238"/>
      <c r="M28" s="19">
        <f t="shared" si="22"/>
        <v>2014.4</v>
      </c>
      <c r="N28" s="85">
        <v>1935.48387</v>
      </c>
      <c r="O28" s="16">
        <v>1557.3</v>
      </c>
      <c r="P28" s="238">
        <v>5633</v>
      </c>
      <c r="Q28" s="19">
        <f t="shared" si="27"/>
        <v>7190.3</v>
      </c>
      <c r="R28" s="17">
        <v>3225.80645</v>
      </c>
      <c r="S28" s="123">
        <v>6598.3</v>
      </c>
      <c r="T28" s="17">
        <v>3735.48387</v>
      </c>
      <c r="U28" s="91">
        <f t="shared" si="23"/>
        <v>22382.400000000001</v>
      </c>
      <c r="V28" s="89">
        <f t="shared" si="24"/>
        <v>17767.741922000001</v>
      </c>
      <c r="W28" s="16">
        <v>0</v>
      </c>
      <c r="X28" s="17"/>
      <c r="Y28" s="109">
        <f t="shared" si="25"/>
        <v>22382.400000000001</v>
      </c>
      <c r="Z28" s="110">
        <f t="shared" si="25"/>
        <v>17767.741922000001</v>
      </c>
      <c r="AA28" s="45" t="s">
        <v>73</v>
      </c>
      <c r="AB28" s="46">
        <v>12</v>
      </c>
      <c r="AC28" s="21" t="s">
        <v>7</v>
      </c>
      <c r="AD28" s="22"/>
      <c r="AE28" s="434"/>
      <c r="AF28" s="221">
        <f t="shared" si="3"/>
        <v>10151.1</v>
      </c>
    </row>
    <row r="29" spans="1:32" ht="18.600000000000001" customHeight="1" x14ac:dyDescent="0.25">
      <c r="A29" s="47">
        <f t="shared" si="26"/>
        <v>22</v>
      </c>
      <c r="B29" s="52" t="s">
        <v>6</v>
      </c>
      <c r="C29" s="16">
        <v>9918.2000000000007</v>
      </c>
      <c r="D29" s="17">
        <v>8064.5161200000002</v>
      </c>
      <c r="E29" s="16">
        <v>3193.6</v>
      </c>
      <c r="F29" s="18">
        <v>645.16129000000001</v>
      </c>
      <c r="G29" s="19">
        <v>294.5</v>
      </c>
      <c r="H29" s="18">
        <v>161.290322</v>
      </c>
      <c r="I29" s="19">
        <v>0</v>
      </c>
      <c r="J29" s="18">
        <v>0</v>
      </c>
      <c r="K29" s="16">
        <v>5898.7</v>
      </c>
      <c r="L29" s="238"/>
      <c r="M29" s="19">
        <f t="shared" si="22"/>
        <v>5898.7</v>
      </c>
      <c r="N29" s="85">
        <v>1935.48387</v>
      </c>
      <c r="O29" s="16">
        <v>124.6</v>
      </c>
      <c r="P29" s="238">
        <v>6275</v>
      </c>
      <c r="Q29" s="19">
        <f t="shared" si="27"/>
        <v>6399.6</v>
      </c>
      <c r="R29" s="17">
        <v>3225.80645</v>
      </c>
      <c r="S29" s="123">
        <v>3930.7</v>
      </c>
      <c r="T29" s="17">
        <v>3735.48387</v>
      </c>
      <c r="U29" s="91">
        <f t="shared" si="23"/>
        <v>29635.3</v>
      </c>
      <c r="V29" s="89">
        <f t="shared" si="24"/>
        <v>17767.741922000001</v>
      </c>
      <c r="W29" s="16">
        <v>0</v>
      </c>
      <c r="X29" s="17"/>
      <c r="Y29" s="109">
        <f t="shared" si="25"/>
        <v>29635.3</v>
      </c>
      <c r="Z29" s="110">
        <f t="shared" si="25"/>
        <v>17767.741922000001</v>
      </c>
      <c r="AA29" s="45" t="s">
        <v>122</v>
      </c>
      <c r="AB29" s="46">
        <v>18</v>
      </c>
      <c r="AC29" s="21" t="s">
        <v>7</v>
      </c>
      <c r="AD29" s="22"/>
      <c r="AE29" s="434"/>
      <c r="AF29" s="221">
        <f t="shared" si="3"/>
        <v>19429.599999999999</v>
      </c>
    </row>
    <row r="30" spans="1:32" ht="18.600000000000001" customHeight="1" x14ac:dyDescent="0.25">
      <c r="A30" s="47">
        <f t="shared" si="26"/>
        <v>23</v>
      </c>
      <c r="B30" s="24" t="s">
        <v>8</v>
      </c>
      <c r="C30" s="25">
        <v>10442.700000000001</v>
      </c>
      <c r="D30" s="26">
        <v>8064.5161200000002</v>
      </c>
      <c r="E30" s="25">
        <v>0</v>
      </c>
      <c r="F30" s="27">
        <v>645.16129000000001</v>
      </c>
      <c r="G30" s="28">
        <v>40.700000000000003</v>
      </c>
      <c r="H30" s="27">
        <v>161.290322</v>
      </c>
      <c r="I30" s="28">
        <v>0</v>
      </c>
      <c r="J30" s="27">
        <v>0</v>
      </c>
      <c r="K30" s="25">
        <v>15255.6</v>
      </c>
      <c r="L30" s="239"/>
      <c r="M30" s="28">
        <f t="shared" si="22"/>
        <v>15255.6</v>
      </c>
      <c r="N30" s="86">
        <v>1935.48387</v>
      </c>
      <c r="O30" s="25">
        <v>0</v>
      </c>
      <c r="P30" s="239">
        <v>1452</v>
      </c>
      <c r="Q30" s="28">
        <f t="shared" si="27"/>
        <v>1452</v>
      </c>
      <c r="R30" s="26">
        <v>3225.80645</v>
      </c>
      <c r="S30" s="25">
        <v>5632.5</v>
      </c>
      <c r="T30" s="26">
        <v>3735.48387</v>
      </c>
      <c r="U30" s="183">
        <f t="shared" si="23"/>
        <v>32823.5</v>
      </c>
      <c r="V30" s="90">
        <f t="shared" si="24"/>
        <v>17767.741922000001</v>
      </c>
      <c r="W30" s="25">
        <v>0</v>
      </c>
      <c r="X30" s="26"/>
      <c r="Y30" s="92">
        <f t="shared" si="25"/>
        <v>32823.5</v>
      </c>
      <c r="Z30" s="94">
        <f t="shared" si="25"/>
        <v>17767.741922000001</v>
      </c>
      <c r="AA30" s="29" t="s">
        <v>90</v>
      </c>
      <c r="AB30" s="30">
        <v>12</v>
      </c>
      <c r="AC30" s="31" t="s">
        <v>7</v>
      </c>
      <c r="AD30" s="32"/>
      <c r="AE30" s="434"/>
      <c r="AF30" s="221">
        <f t="shared" si="3"/>
        <v>25739</v>
      </c>
    </row>
    <row r="31" spans="1:32" ht="18.600000000000001" customHeight="1" x14ac:dyDescent="0.25">
      <c r="A31" s="47">
        <f t="shared" si="26"/>
        <v>24</v>
      </c>
      <c r="B31" s="24" t="s">
        <v>9</v>
      </c>
      <c r="C31" s="25">
        <v>12537.6</v>
      </c>
      <c r="D31" s="26">
        <v>8064.5161200000002</v>
      </c>
      <c r="E31" s="25">
        <v>0</v>
      </c>
      <c r="F31" s="27">
        <v>645.16129000000001</v>
      </c>
      <c r="G31" s="28">
        <v>10.4</v>
      </c>
      <c r="H31" s="27">
        <v>161.290322</v>
      </c>
      <c r="I31" s="28">
        <v>0</v>
      </c>
      <c r="J31" s="27">
        <v>0</v>
      </c>
      <c r="K31" s="25">
        <v>8561.2000000000007</v>
      </c>
      <c r="L31" s="239"/>
      <c r="M31" s="28">
        <f t="shared" si="22"/>
        <v>8561.2000000000007</v>
      </c>
      <c r="N31" s="86">
        <v>1935.48387</v>
      </c>
      <c r="O31" s="25">
        <v>1531.2</v>
      </c>
      <c r="P31" s="239">
        <v>400</v>
      </c>
      <c r="Q31" s="28">
        <f t="shared" si="27"/>
        <v>1931.2</v>
      </c>
      <c r="R31" s="26">
        <v>3225.80645</v>
      </c>
      <c r="S31" s="25">
        <v>3376.3</v>
      </c>
      <c r="T31" s="26">
        <v>3735.48387</v>
      </c>
      <c r="U31" s="183">
        <f t="shared" si="23"/>
        <v>26416.7</v>
      </c>
      <c r="V31" s="90">
        <f t="shared" si="24"/>
        <v>17767.741922000001</v>
      </c>
      <c r="W31" s="25">
        <v>0</v>
      </c>
      <c r="X31" s="26"/>
      <c r="Y31" s="92">
        <f t="shared" si="25"/>
        <v>26416.7</v>
      </c>
      <c r="Z31" s="94">
        <f t="shared" si="25"/>
        <v>17767.741922000001</v>
      </c>
      <c r="AA31" s="29" t="s">
        <v>137</v>
      </c>
      <c r="AB31" s="30">
        <v>5</v>
      </c>
      <c r="AC31" s="31" t="s">
        <v>7</v>
      </c>
      <c r="AD31" s="32"/>
      <c r="AE31" s="434"/>
      <c r="AF31" s="221">
        <f t="shared" si="3"/>
        <v>22640.400000000001</v>
      </c>
    </row>
    <row r="32" spans="1:32" ht="18.600000000000001" customHeight="1" x14ac:dyDescent="0.25">
      <c r="A32" s="33" t="s">
        <v>10</v>
      </c>
      <c r="B32" s="34">
        <f>SUM(B24+1)</f>
        <v>12</v>
      </c>
      <c r="C32" s="35">
        <f t="shared" ref="C32:J32" si="28">SUM(C25:C31)</f>
        <v>56027.6</v>
      </c>
      <c r="D32" s="36">
        <f t="shared" si="28"/>
        <v>56451.612840000002</v>
      </c>
      <c r="E32" s="35">
        <f t="shared" si="28"/>
        <v>5869.2</v>
      </c>
      <c r="F32" s="37">
        <f t="shared" si="28"/>
        <v>4516.1290300000001</v>
      </c>
      <c r="G32" s="38">
        <f t="shared" si="28"/>
        <v>1742.3000000000002</v>
      </c>
      <c r="H32" s="37">
        <f t="shared" si="28"/>
        <v>1129.0322540000002</v>
      </c>
      <c r="I32" s="38">
        <f t="shared" si="28"/>
        <v>0</v>
      </c>
      <c r="J32" s="37">
        <f t="shared" si="28"/>
        <v>0</v>
      </c>
      <c r="K32" s="266">
        <f t="shared" ref="K32:U32" si="29">SUM(K25:K31)</f>
        <v>32489.9</v>
      </c>
      <c r="L32" s="38">
        <f t="shared" si="29"/>
        <v>0</v>
      </c>
      <c r="M32" s="82">
        <f t="shared" si="29"/>
        <v>32489.9</v>
      </c>
      <c r="N32" s="36">
        <f t="shared" si="29"/>
        <v>13548.38709</v>
      </c>
      <c r="O32" s="35">
        <f>SUM(O25:O31)</f>
        <v>5376.2</v>
      </c>
      <c r="P32" s="38">
        <f>SUM(P25:P31)</f>
        <v>22534</v>
      </c>
      <c r="Q32" s="82">
        <f>SUM(Q25:Q31)</f>
        <v>27910.2</v>
      </c>
      <c r="R32" s="36">
        <f>SUM(R25:R31)</f>
        <v>22580.64515</v>
      </c>
      <c r="S32" s="35">
        <f>SUM(S25:S31)</f>
        <v>33669.5</v>
      </c>
      <c r="T32" s="36">
        <f t="shared" si="29"/>
        <v>26148.38709</v>
      </c>
      <c r="U32" s="35">
        <f t="shared" si="29"/>
        <v>157708.70000000001</v>
      </c>
      <c r="V32" s="36">
        <f>SUM(V25:V31)</f>
        <v>124374.19345400001</v>
      </c>
      <c r="W32" s="35">
        <f>SUM(W25:W31)</f>
        <v>0</v>
      </c>
      <c r="X32" s="36">
        <f>SUM(X25:X31)</f>
        <v>0</v>
      </c>
      <c r="Y32" s="35">
        <f>SUM(Y25:Y31)</f>
        <v>157708.70000000001</v>
      </c>
      <c r="Z32" s="36">
        <f>SUM(Z25:Z31)</f>
        <v>124374.19345400001</v>
      </c>
      <c r="AA32" s="39" t="s">
        <v>11</v>
      </c>
      <c r="AB32" s="40">
        <f>SUM(AB25:AB31)/7</f>
        <v>12.714285714285714</v>
      </c>
      <c r="AC32" s="41" t="s">
        <v>7</v>
      </c>
      <c r="AD32" s="42"/>
      <c r="AE32" s="434"/>
      <c r="AF32" s="221"/>
    </row>
    <row r="33" spans="1:32" ht="19.5" customHeight="1" x14ac:dyDescent="0.25">
      <c r="A33" s="44">
        <f>SUM(A31+1)</f>
        <v>25</v>
      </c>
      <c r="B33" s="15" t="s">
        <v>12</v>
      </c>
      <c r="C33" s="16">
        <v>5773.4</v>
      </c>
      <c r="D33" s="17">
        <v>8064.5161200000002</v>
      </c>
      <c r="E33" s="16">
        <v>509.7</v>
      </c>
      <c r="F33" s="18">
        <v>645.16129000000001</v>
      </c>
      <c r="G33" s="19">
        <v>352.5</v>
      </c>
      <c r="H33" s="18">
        <v>161.290322</v>
      </c>
      <c r="I33" s="19">
        <v>0</v>
      </c>
      <c r="J33" s="18">
        <v>0</v>
      </c>
      <c r="K33" s="16">
        <v>0</v>
      </c>
      <c r="L33" s="80"/>
      <c r="M33" s="238">
        <f t="shared" ref="M33:M37" si="30">K33+L33</f>
        <v>0</v>
      </c>
      <c r="N33" s="85">
        <v>1935.48387</v>
      </c>
      <c r="O33" s="16">
        <v>1541.6</v>
      </c>
      <c r="P33" s="238">
        <v>3679.5</v>
      </c>
      <c r="Q33" s="19">
        <f>SUM(O33:P33)</f>
        <v>5221.1000000000004</v>
      </c>
      <c r="R33" s="17">
        <v>3225.80645</v>
      </c>
      <c r="S33" s="123">
        <v>5861.4</v>
      </c>
      <c r="T33" s="17">
        <v>3735.48387</v>
      </c>
      <c r="U33" s="91">
        <f>SUM(C33+E33+G33+I33+K33+Q33+S33)</f>
        <v>17718.099999999999</v>
      </c>
      <c r="V33" s="89">
        <f>SUM(D33+F33+H33+J33+N33+R33+T33)</f>
        <v>17767.741922000001</v>
      </c>
      <c r="W33" s="16">
        <v>0</v>
      </c>
      <c r="X33" s="17"/>
      <c r="Y33" s="109">
        <f t="shared" ref="Y33:Z36" si="31">SUM(U33+W33)</f>
        <v>17718.099999999999</v>
      </c>
      <c r="Z33" s="110">
        <f t="shared" si="31"/>
        <v>17767.741922000001</v>
      </c>
      <c r="AA33" s="50" t="s">
        <v>58</v>
      </c>
      <c r="AB33" s="51">
        <v>11</v>
      </c>
      <c r="AC33" s="21" t="s">
        <v>7</v>
      </c>
      <c r="AD33" s="22"/>
      <c r="AE33" s="434"/>
      <c r="AF33" s="221">
        <f t="shared" si="3"/>
        <v>8177.1999999999989</v>
      </c>
    </row>
    <row r="34" spans="1:32" ht="19.5" customHeight="1" x14ac:dyDescent="0.25">
      <c r="A34" s="47">
        <f>SUM(A33+1)</f>
        <v>26</v>
      </c>
      <c r="B34" s="15" t="s">
        <v>13</v>
      </c>
      <c r="C34" s="16">
        <v>5609.3</v>
      </c>
      <c r="D34" s="17">
        <v>8064.5161200000002</v>
      </c>
      <c r="E34" s="16">
        <v>926.9</v>
      </c>
      <c r="F34" s="18">
        <v>645.16129000000001</v>
      </c>
      <c r="G34" s="19">
        <v>502.3</v>
      </c>
      <c r="H34" s="18">
        <v>161.290322</v>
      </c>
      <c r="I34" s="19">
        <v>0</v>
      </c>
      <c r="J34" s="18">
        <v>0</v>
      </c>
      <c r="K34" s="16">
        <v>4230.2</v>
      </c>
      <c r="L34" s="80"/>
      <c r="M34" s="238">
        <f t="shared" si="30"/>
        <v>4230.2</v>
      </c>
      <c r="N34" s="85">
        <v>1935.48387</v>
      </c>
      <c r="O34" s="16">
        <v>1010.4</v>
      </c>
      <c r="P34" s="238">
        <v>4878</v>
      </c>
      <c r="Q34" s="19">
        <f t="shared" ref="Q34:Q37" si="32">SUM(O34:P34)</f>
        <v>5888.4</v>
      </c>
      <c r="R34" s="17">
        <v>3225.80645</v>
      </c>
      <c r="S34" s="16">
        <v>6279.5</v>
      </c>
      <c r="T34" s="17">
        <v>3735.48387</v>
      </c>
      <c r="U34" s="91">
        <f>SUM(C34+E34+G34+I34+K34+Q34+S34)</f>
        <v>23436.6</v>
      </c>
      <c r="V34" s="89">
        <f>SUM(D34+F34+H34+J34+N34+R34+T34)</f>
        <v>17767.741922000001</v>
      </c>
      <c r="W34" s="16">
        <v>0</v>
      </c>
      <c r="X34" s="17"/>
      <c r="Y34" s="109">
        <f t="shared" si="31"/>
        <v>23436.6</v>
      </c>
      <c r="Z34" s="110">
        <f t="shared" si="31"/>
        <v>17767.741922000001</v>
      </c>
      <c r="AA34" s="45" t="s">
        <v>60</v>
      </c>
      <c r="AB34" s="46">
        <v>15</v>
      </c>
      <c r="AC34" s="21" t="s">
        <v>7</v>
      </c>
      <c r="AD34" s="22"/>
      <c r="AE34" s="434"/>
      <c r="AF34" s="221">
        <f t="shared" si="3"/>
        <v>12279.1</v>
      </c>
    </row>
    <row r="35" spans="1:32" ht="20.100000000000001" customHeight="1" x14ac:dyDescent="0.25">
      <c r="A35" s="47">
        <f>SUM(A34+1)</f>
        <v>27</v>
      </c>
      <c r="B35" s="15" t="s">
        <v>14</v>
      </c>
      <c r="C35" s="16">
        <v>4074.2</v>
      </c>
      <c r="D35" s="17">
        <v>8064.5161200000002</v>
      </c>
      <c r="E35" s="16">
        <v>0</v>
      </c>
      <c r="F35" s="18">
        <v>645.16129000000001</v>
      </c>
      <c r="G35" s="19">
        <v>54.1</v>
      </c>
      <c r="H35" s="18">
        <v>161.290322</v>
      </c>
      <c r="I35" s="19">
        <v>0</v>
      </c>
      <c r="J35" s="18">
        <v>0</v>
      </c>
      <c r="K35" s="16">
        <v>0</v>
      </c>
      <c r="L35" s="80"/>
      <c r="M35" s="238">
        <f t="shared" si="30"/>
        <v>0</v>
      </c>
      <c r="N35" s="85">
        <v>1935.48387</v>
      </c>
      <c r="O35" s="16">
        <v>3919.2</v>
      </c>
      <c r="P35" s="238">
        <v>9876</v>
      </c>
      <c r="Q35" s="19">
        <f t="shared" si="32"/>
        <v>13795.2</v>
      </c>
      <c r="R35" s="17">
        <v>3225.80645</v>
      </c>
      <c r="S35" s="16">
        <v>7729.8</v>
      </c>
      <c r="T35" s="17">
        <v>3735.48387</v>
      </c>
      <c r="U35" s="91">
        <f>SUM(C35+E35+G35+I35+K35+Q35+S35)</f>
        <v>25653.3</v>
      </c>
      <c r="V35" s="89">
        <f>SUM(D35+F35+H35+J35+N35+R35+T35)</f>
        <v>17767.741922000001</v>
      </c>
      <c r="W35" s="16">
        <v>0</v>
      </c>
      <c r="X35" s="17"/>
      <c r="Y35" s="109">
        <f t="shared" si="31"/>
        <v>25653.3</v>
      </c>
      <c r="Z35" s="110">
        <f>SUM(V35+X35)</f>
        <v>17767.741922000001</v>
      </c>
      <c r="AA35" s="45" t="s">
        <v>138</v>
      </c>
      <c r="AB35" s="46">
        <v>7</v>
      </c>
      <c r="AC35" s="21" t="s">
        <v>7</v>
      </c>
      <c r="AD35" s="22"/>
      <c r="AE35" s="434"/>
      <c r="AF35" s="221">
        <f t="shared" si="3"/>
        <v>8047.5</v>
      </c>
    </row>
    <row r="36" spans="1:32" ht="20.100000000000001" customHeight="1" x14ac:dyDescent="0.25">
      <c r="A36" s="47">
        <f>SUM(A35+1)</f>
        <v>28</v>
      </c>
      <c r="B36" s="15" t="s">
        <v>15</v>
      </c>
      <c r="C36" s="16">
        <v>8647.2999999999993</v>
      </c>
      <c r="D36" s="17">
        <v>8064.5161200000002</v>
      </c>
      <c r="E36" s="16">
        <v>0</v>
      </c>
      <c r="F36" s="18">
        <v>645.16129000000001</v>
      </c>
      <c r="G36" s="19">
        <v>56.5</v>
      </c>
      <c r="H36" s="18">
        <v>161.290322</v>
      </c>
      <c r="I36" s="19">
        <v>0</v>
      </c>
      <c r="J36" s="18">
        <v>0</v>
      </c>
      <c r="K36" s="16">
        <v>300</v>
      </c>
      <c r="L36" s="80"/>
      <c r="M36" s="238">
        <f t="shared" si="30"/>
        <v>300</v>
      </c>
      <c r="N36" s="85">
        <v>1935.48387</v>
      </c>
      <c r="O36" s="16">
        <v>95.1</v>
      </c>
      <c r="P36" s="238">
        <v>4475</v>
      </c>
      <c r="Q36" s="19">
        <f t="shared" si="32"/>
        <v>4570.1000000000004</v>
      </c>
      <c r="R36" s="17">
        <v>3225.80645</v>
      </c>
      <c r="S36" s="16">
        <v>3256.7</v>
      </c>
      <c r="T36" s="17">
        <v>3735.48387</v>
      </c>
      <c r="U36" s="91">
        <f>SUM(C36+E36+G36+I36+K36+Q36+S36)</f>
        <v>16830.599999999999</v>
      </c>
      <c r="V36" s="89">
        <f>SUM(D36+F36+H36+J36+N36+R36+T36)</f>
        <v>17767.741922000001</v>
      </c>
      <c r="W36" s="16">
        <v>0</v>
      </c>
      <c r="X36" s="17"/>
      <c r="Y36" s="109">
        <f t="shared" si="31"/>
        <v>16830.599999999999</v>
      </c>
      <c r="Z36" s="110">
        <f t="shared" si="31"/>
        <v>17767.741922000001</v>
      </c>
      <c r="AA36" s="45" t="s">
        <v>139</v>
      </c>
      <c r="AB36" s="46">
        <v>11</v>
      </c>
      <c r="AC36" s="21" t="s">
        <v>7</v>
      </c>
      <c r="AD36" s="22"/>
      <c r="AE36" s="434"/>
      <c r="AF36" s="221">
        <f t="shared" si="3"/>
        <v>9098.9</v>
      </c>
    </row>
    <row r="37" spans="1:32" ht="20.100000000000001" customHeight="1" x14ac:dyDescent="0.3">
      <c r="A37" s="23">
        <f>SUM(A36+1)</f>
        <v>29</v>
      </c>
      <c r="B37" s="24" t="s">
        <v>6</v>
      </c>
      <c r="C37" s="25">
        <v>26778.2</v>
      </c>
      <c r="D37" s="26">
        <v>8064.5161200000002</v>
      </c>
      <c r="E37" s="25">
        <v>1555.3</v>
      </c>
      <c r="F37" s="27">
        <v>645.16129000000001</v>
      </c>
      <c r="G37" s="28">
        <v>779.6</v>
      </c>
      <c r="H37" s="27">
        <v>161.290322</v>
      </c>
      <c r="I37" s="28">
        <v>0</v>
      </c>
      <c r="J37" s="27">
        <v>0</v>
      </c>
      <c r="K37" s="25">
        <v>0</v>
      </c>
      <c r="L37" s="81"/>
      <c r="M37" s="239">
        <f t="shared" si="30"/>
        <v>0</v>
      </c>
      <c r="N37" s="86">
        <v>1935.48387</v>
      </c>
      <c r="O37" s="25">
        <v>0</v>
      </c>
      <c r="P37" s="239">
        <v>0</v>
      </c>
      <c r="Q37" s="28">
        <f t="shared" si="32"/>
        <v>0</v>
      </c>
      <c r="R37" s="26">
        <v>3225.80645</v>
      </c>
      <c r="S37" s="427">
        <v>7998.6</v>
      </c>
      <c r="T37" s="26">
        <v>3735.48387</v>
      </c>
      <c r="U37" s="183">
        <f>SUM(C37+E37+G37+I37+K37+Q37+S37)</f>
        <v>37111.699999999997</v>
      </c>
      <c r="V37" s="90">
        <f>SUM(D37+F37+H37+J37+N37+R37+T37)</f>
        <v>17767.741922000001</v>
      </c>
      <c r="W37" s="25">
        <v>0</v>
      </c>
      <c r="X37" s="26"/>
      <c r="Y37" s="92">
        <f>SUM(U37+W37)</f>
        <v>37111.699999999997</v>
      </c>
      <c r="Z37" s="234">
        <f>SUM(V37+X37)</f>
        <v>17767.741922000001</v>
      </c>
      <c r="AA37" s="29" t="s">
        <v>140</v>
      </c>
      <c r="AB37" s="30">
        <v>18</v>
      </c>
      <c r="AC37" s="31" t="s">
        <v>7</v>
      </c>
      <c r="AD37" s="32" t="s">
        <v>67</v>
      </c>
      <c r="AE37" s="434"/>
      <c r="AF37" s="221">
        <f t="shared" si="3"/>
        <v>29113.1</v>
      </c>
    </row>
    <row r="38" spans="1:32" ht="20.100000000000001" customHeight="1" x14ac:dyDescent="0.3">
      <c r="A38" s="23">
        <f t="shared" ref="A38:A39" si="33">SUM(A37+1)</f>
        <v>30</v>
      </c>
      <c r="B38" s="24" t="s">
        <v>8</v>
      </c>
      <c r="C38" s="428">
        <v>15624</v>
      </c>
      <c r="D38" s="26">
        <v>8064.5161200000002</v>
      </c>
      <c r="E38" s="25">
        <v>284.7</v>
      </c>
      <c r="F38" s="27">
        <v>645.16129000000001</v>
      </c>
      <c r="G38" s="28">
        <v>572.4</v>
      </c>
      <c r="H38" s="27">
        <v>161.290322</v>
      </c>
      <c r="I38" s="28">
        <v>0</v>
      </c>
      <c r="J38" s="27">
        <v>0</v>
      </c>
      <c r="K38" s="25">
        <v>0</v>
      </c>
      <c r="L38" s="81"/>
      <c r="M38" s="239">
        <f t="shared" ref="M38:M39" si="34">K38+L38</f>
        <v>0</v>
      </c>
      <c r="N38" s="86">
        <v>1935.48387</v>
      </c>
      <c r="O38" s="25">
        <v>0</v>
      </c>
      <c r="P38" s="239">
        <v>0</v>
      </c>
      <c r="Q38" s="28">
        <f t="shared" ref="Q38:Q39" si="35">SUM(O38:P38)</f>
        <v>0</v>
      </c>
      <c r="R38" s="26">
        <v>3225.80645</v>
      </c>
      <c r="S38" s="427">
        <v>10294.9</v>
      </c>
      <c r="T38" s="26">
        <v>3735.48387</v>
      </c>
      <c r="U38" s="183">
        <f t="shared" ref="U38:U39" si="36">SUM(C38+E38+G38+I38+K38+Q38+S38)</f>
        <v>26776</v>
      </c>
      <c r="V38" s="90">
        <f t="shared" ref="V38:V39" si="37">SUM(D38+F38+H38+J38+N38+R38+T38)</f>
        <v>17767.741922000001</v>
      </c>
      <c r="W38" s="25">
        <v>0</v>
      </c>
      <c r="X38" s="26"/>
      <c r="Y38" s="92">
        <f t="shared" ref="Y38:Y39" si="38">SUM(U38+W38)</f>
        <v>26776</v>
      </c>
      <c r="Z38" s="234">
        <f t="shared" ref="Z38:Z39" si="39">SUM(V38+X38)</f>
        <v>17767.741922000001</v>
      </c>
      <c r="AA38" s="29" t="s">
        <v>141</v>
      </c>
      <c r="AB38" s="30">
        <v>18</v>
      </c>
      <c r="AC38" s="31" t="s">
        <v>7</v>
      </c>
      <c r="AD38" s="32" t="s">
        <v>116</v>
      </c>
      <c r="AF38" s="221">
        <f t="shared" si="3"/>
        <v>16481.100000000002</v>
      </c>
    </row>
    <row r="39" spans="1:32" ht="20.100000000000001" customHeight="1" x14ac:dyDescent="0.3">
      <c r="A39" s="23">
        <f t="shared" si="33"/>
        <v>31</v>
      </c>
      <c r="B39" s="24" t="s">
        <v>9</v>
      </c>
      <c r="C39" s="428">
        <v>24421.599999999999</v>
      </c>
      <c r="D39" s="26">
        <v>8064.5161200000002</v>
      </c>
      <c r="E39" s="25">
        <v>1299.4000000000001</v>
      </c>
      <c r="F39" s="27">
        <v>645.16129000000001</v>
      </c>
      <c r="G39" s="28">
        <v>771.1</v>
      </c>
      <c r="H39" s="27">
        <v>161.290322</v>
      </c>
      <c r="I39" s="28">
        <v>0</v>
      </c>
      <c r="J39" s="27">
        <v>0</v>
      </c>
      <c r="K39" s="25">
        <v>4293.1000000000004</v>
      </c>
      <c r="L39" s="81"/>
      <c r="M39" s="239">
        <f t="shared" si="34"/>
        <v>4293.1000000000004</v>
      </c>
      <c r="N39" s="86">
        <v>1935.48387</v>
      </c>
      <c r="O39" s="25">
        <v>0</v>
      </c>
      <c r="P39" s="239">
        <v>0</v>
      </c>
      <c r="Q39" s="28">
        <f t="shared" si="35"/>
        <v>0</v>
      </c>
      <c r="R39" s="26">
        <v>3225.80645</v>
      </c>
      <c r="S39" s="427">
        <v>5238.6000000000004</v>
      </c>
      <c r="T39" s="26">
        <v>3735.48387</v>
      </c>
      <c r="U39" s="183">
        <f t="shared" si="36"/>
        <v>36023.799999999996</v>
      </c>
      <c r="V39" s="429">
        <f t="shared" si="37"/>
        <v>17767.741922000001</v>
      </c>
      <c r="W39" s="25">
        <v>0</v>
      </c>
      <c r="X39" s="26"/>
      <c r="Y39" s="333">
        <f t="shared" si="38"/>
        <v>36023.799999999996</v>
      </c>
      <c r="Z39" s="234">
        <f t="shared" si="39"/>
        <v>17767.741922000001</v>
      </c>
      <c r="AA39" s="29" t="s">
        <v>81</v>
      </c>
      <c r="AB39" s="30">
        <v>16</v>
      </c>
      <c r="AC39" s="31" t="s">
        <v>7</v>
      </c>
      <c r="AD39" s="430" t="s">
        <v>66</v>
      </c>
      <c r="AF39" s="221">
        <f t="shared" si="3"/>
        <v>30785.199999999997</v>
      </c>
    </row>
    <row r="40" spans="1:32" ht="18.600000000000001" customHeight="1" thickBot="1" x14ac:dyDescent="0.3">
      <c r="A40" s="33" t="s">
        <v>10</v>
      </c>
      <c r="B40" s="34">
        <f>SUM(B32+1)</f>
        <v>13</v>
      </c>
      <c r="C40" s="55">
        <f>SUM(C33:C39)</f>
        <v>90928</v>
      </c>
      <c r="D40" s="55">
        <f>SUM(D33:D39)</f>
        <v>56451.612840000002</v>
      </c>
      <c r="E40" s="55">
        <f t="shared" ref="E40:Z40" si="40">SUM(E33:E39)</f>
        <v>4576</v>
      </c>
      <c r="F40" s="55">
        <f t="shared" si="40"/>
        <v>4516.1290300000001</v>
      </c>
      <c r="G40" s="55">
        <f t="shared" si="40"/>
        <v>3088.5</v>
      </c>
      <c r="H40" s="55">
        <f t="shared" si="40"/>
        <v>1129.0322540000002</v>
      </c>
      <c r="I40" s="55">
        <f t="shared" si="40"/>
        <v>0</v>
      </c>
      <c r="J40" s="55">
        <f t="shared" si="40"/>
        <v>0</v>
      </c>
      <c r="K40" s="423">
        <f t="shared" si="40"/>
        <v>8823.2999999999993</v>
      </c>
      <c r="L40" s="424">
        <f t="shared" si="40"/>
        <v>0</v>
      </c>
      <c r="M40" s="425">
        <f t="shared" si="40"/>
        <v>8823.2999999999993</v>
      </c>
      <c r="N40" s="426">
        <f>SUM(N33:N39)</f>
        <v>13548.38709</v>
      </c>
      <c r="O40" s="423">
        <f t="shared" si="40"/>
        <v>6566.3</v>
      </c>
      <c r="P40" s="425">
        <f t="shared" si="40"/>
        <v>22908.5</v>
      </c>
      <c r="Q40" s="425">
        <f t="shared" si="40"/>
        <v>29474.800000000003</v>
      </c>
      <c r="R40" s="273">
        <f t="shared" si="40"/>
        <v>22580.64515</v>
      </c>
      <c r="S40" s="55">
        <f t="shared" si="40"/>
        <v>46659.5</v>
      </c>
      <c r="T40" s="55">
        <f t="shared" si="40"/>
        <v>26148.38709</v>
      </c>
      <c r="U40" s="55">
        <f t="shared" si="40"/>
        <v>183550.09999999998</v>
      </c>
      <c r="V40" s="55">
        <f t="shared" si="40"/>
        <v>124374.19345400001</v>
      </c>
      <c r="W40" s="55">
        <f t="shared" si="40"/>
        <v>0</v>
      </c>
      <c r="X40" s="55">
        <f t="shared" si="40"/>
        <v>0</v>
      </c>
      <c r="Y40" s="55">
        <f t="shared" si="40"/>
        <v>183550.09999999998</v>
      </c>
      <c r="Z40" s="55">
        <f t="shared" si="40"/>
        <v>124374.19345400001</v>
      </c>
      <c r="AA40" s="57" t="s">
        <v>11</v>
      </c>
      <c r="AB40" s="58">
        <f>SUM(AB33:AB37)/4</f>
        <v>15.5</v>
      </c>
      <c r="AC40" s="59" t="s">
        <v>7</v>
      </c>
      <c r="AD40" s="60"/>
      <c r="AF40" s="221">
        <f>SUM(AF5:AF39)</f>
        <v>419641</v>
      </c>
    </row>
    <row r="41" spans="1:32" ht="19.149999999999999" customHeight="1" x14ac:dyDescent="0.25">
      <c r="A41" s="175" t="s">
        <v>16</v>
      </c>
      <c r="B41" s="127"/>
      <c r="C41" s="115">
        <f>SUM(C8+C16+C24+C32+C40)</f>
        <v>290727.40000000002</v>
      </c>
      <c r="D41" s="128">
        <f t="shared" ref="D41:H41" si="41">SUM(D8+D16+D24+D32+D40)</f>
        <v>249999.99972000002</v>
      </c>
      <c r="E41" s="115">
        <f t="shared" si="41"/>
        <v>15026.7</v>
      </c>
      <c r="F41" s="128">
        <f t="shared" si="41"/>
        <v>19999.99999</v>
      </c>
      <c r="G41" s="115">
        <f t="shared" si="41"/>
        <v>8136.7000000000007</v>
      </c>
      <c r="H41" s="128">
        <f t="shared" si="41"/>
        <v>4999.9999820000012</v>
      </c>
      <c r="I41" s="115">
        <f>SUM(I8+I16+I24+I40)</f>
        <v>0</v>
      </c>
      <c r="J41" s="128">
        <f>SUM(J8+J16+J24+J40)</f>
        <v>0</v>
      </c>
      <c r="K41" s="115">
        <f>SUM(K8+K16+K24+K32+K40)</f>
        <v>83501.7</v>
      </c>
      <c r="L41" s="244">
        <f t="shared" ref="L41:M41" si="42">SUM(L8+L16+L24+L32+L40)</f>
        <v>0</v>
      </c>
      <c r="M41" s="304">
        <f t="shared" si="42"/>
        <v>83501.7</v>
      </c>
      <c r="N41" s="128">
        <f>SUM(N8+N16+N24+N32+N40)</f>
        <v>59999.999970000004</v>
      </c>
      <c r="O41" s="116">
        <f>SUM(O8+O16+O24+O32+O40)</f>
        <v>22248.5</v>
      </c>
      <c r="P41" s="116">
        <f>SUM(P8+P16+P24+P32+P40)</f>
        <v>78951.5</v>
      </c>
      <c r="Q41" s="116">
        <f>SUM(Q8+Q16+Q24+Q32+Q40)</f>
        <v>101200</v>
      </c>
      <c r="R41" s="116">
        <f>R8+R16+R24+R32+R40</f>
        <v>99999.999949999998</v>
      </c>
      <c r="S41" s="115">
        <f>SUM(S8+S16+S24+S32+S40)</f>
        <v>146459.19999999998</v>
      </c>
      <c r="T41" s="128">
        <f>SUM(T8+T16+T24+T32+T40)</f>
        <v>115799.99997</v>
      </c>
      <c r="U41" s="115">
        <f>SUM(U8+U16+U24+U32+U40)</f>
        <v>645051.69999999995</v>
      </c>
      <c r="V41" s="128">
        <f>SUM(V8+V16+V24+V32+V40)</f>
        <v>550799.99958200008</v>
      </c>
      <c r="W41" s="115">
        <f t="shared" ref="W41:X41" si="43">SUM(W8+W16+W24+W32+W40)</f>
        <v>0</v>
      </c>
      <c r="X41" s="128">
        <f t="shared" si="43"/>
        <v>0</v>
      </c>
      <c r="Y41" s="115">
        <f>SUM(Y8+Y16+Y24+Y32+Y40)</f>
        <v>645051.69999999995</v>
      </c>
      <c r="Z41" s="128">
        <f>SUM(Z8+Z16+Z24+Z32+Z40)</f>
        <v>550799.99958200008</v>
      </c>
      <c r="AA41" s="126" t="s">
        <v>16</v>
      </c>
      <c r="AB41" s="101"/>
      <c r="AC41" s="102"/>
      <c r="AD41" s="103"/>
    </row>
    <row r="42" spans="1:32" ht="19.5" customHeight="1" thickBot="1" x14ac:dyDescent="0.3">
      <c r="A42" s="177" t="s">
        <v>28</v>
      </c>
      <c r="B42" s="178"/>
      <c r="C42" s="65">
        <f t="shared" ref="C42:Z42" si="44">C41/31</f>
        <v>9378.3032258064522</v>
      </c>
      <c r="D42" s="66">
        <f t="shared" si="44"/>
        <v>8064.5161200000011</v>
      </c>
      <c r="E42" s="65">
        <f t="shared" si="44"/>
        <v>484.73225806451615</v>
      </c>
      <c r="F42" s="66">
        <f t="shared" si="44"/>
        <v>645.16129000000001</v>
      </c>
      <c r="G42" s="65">
        <f t="shared" si="44"/>
        <v>262.47419354838712</v>
      </c>
      <c r="H42" s="66">
        <f t="shared" si="44"/>
        <v>161.29032200000003</v>
      </c>
      <c r="I42" s="65">
        <f>I41/31</f>
        <v>0</v>
      </c>
      <c r="J42" s="66">
        <f>J41/31</f>
        <v>0</v>
      </c>
      <c r="K42" s="65">
        <f>K41/31</f>
        <v>2693.6032258064515</v>
      </c>
      <c r="L42" s="245"/>
      <c r="M42" s="240"/>
      <c r="N42" s="66">
        <f t="shared" si="44"/>
        <v>1935.4838700000003</v>
      </c>
      <c r="O42" s="65">
        <f>O41/30</f>
        <v>741.61666666666667</v>
      </c>
      <c r="P42" s="240">
        <f>P41/31</f>
        <v>2546.8225806451615</v>
      </c>
      <c r="Q42" s="245"/>
      <c r="R42" s="66">
        <f t="shared" ref="R42" si="45">R41/30</f>
        <v>3333.3333316666667</v>
      </c>
      <c r="S42" s="65">
        <f>S41/31</f>
        <v>4724.4903225806447</v>
      </c>
      <c r="T42" s="66">
        <f t="shared" si="44"/>
        <v>3735.48387</v>
      </c>
      <c r="U42" s="65">
        <f t="shared" si="44"/>
        <v>20808.119354838709</v>
      </c>
      <c r="V42" s="66">
        <f t="shared" si="44"/>
        <v>17767.741922000001</v>
      </c>
      <c r="W42" s="65">
        <f t="shared" si="44"/>
        <v>0</v>
      </c>
      <c r="X42" s="66">
        <f t="shared" si="44"/>
        <v>0</v>
      </c>
      <c r="Y42" s="65">
        <f t="shared" si="44"/>
        <v>20808.119354838709</v>
      </c>
      <c r="Z42" s="66">
        <f t="shared" si="44"/>
        <v>17767.741922000001</v>
      </c>
      <c r="AA42" s="176" t="s">
        <v>17</v>
      </c>
      <c r="AB42" s="98"/>
      <c r="AC42" s="99"/>
      <c r="AD42" s="100"/>
    </row>
    <row r="43" spans="1:32" ht="20.100000000000001" customHeight="1" x14ac:dyDescent="0.25">
      <c r="A43" s="72" t="s">
        <v>18</v>
      </c>
      <c r="B43" s="73"/>
      <c r="C43" s="74">
        <f>SUM(C41-D41)</f>
        <v>40727.400280000002</v>
      </c>
      <c r="D43" s="75"/>
      <c r="E43" s="74">
        <f>SUM(E41-F41)</f>
        <v>-4973.2999899999995</v>
      </c>
      <c r="F43" s="75"/>
      <c r="G43" s="74">
        <f>SUM(G41-H41)</f>
        <v>3136.7000179999995</v>
      </c>
      <c r="H43" s="75"/>
      <c r="I43" s="74">
        <f>SUM(I41-J41)</f>
        <v>0</v>
      </c>
      <c r="J43" s="75"/>
      <c r="K43" s="74">
        <f>SUM(K41-N41)</f>
        <v>23501.700029999993</v>
      </c>
      <c r="L43" s="246"/>
      <c r="M43" s="241"/>
      <c r="N43" s="75"/>
      <c r="O43" s="279"/>
      <c r="P43" s="280"/>
      <c r="Q43" s="282">
        <f>SUM(Q41-R41)</f>
        <v>1200.0000500000024</v>
      </c>
      <c r="S43" s="74">
        <f>SUM(S41-T41)</f>
        <v>30659.200029999978</v>
      </c>
      <c r="T43" s="75"/>
      <c r="U43" s="96">
        <f>SUM(U41-V41)</f>
        <v>94251.700417999877</v>
      </c>
      <c r="V43" s="75"/>
      <c r="W43" s="74">
        <f>SUM(W41-X41)</f>
        <v>0</v>
      </c>
      <c r="X43" s="75"/>
      <c r="Y43" s="111">
        <f>SUM(Y41-Z41)</f>
        <v>94251.700417999877</v>
      </c>
      <c r="Z43" s="112"/>
      <c r="AC43" s="2"/>
      <c r="AD43" s="2"/>
    </row>
    <row r="44" spans="1:32" ht="20.100000000000001" customHeight="1" thickBot="1" x14ac:dyDescent="0.3">
      <c r="A44" s="76" t="s">
        <v>19</v>
      </c>
      <c r="B44" s="77"/>
      <c r="C44" s="95">
        <f>SUM(100/D41*C41)</f>
        <v>116.29096013024586</v>
      </c>
      <c r="D44" s="78"/>
      <c r="E44" s="95">
        <f>SUM(100/F41*E41)</f>
        <v>75.133500037566762</v>
      </c>
      <c r="F44" s="78"/>
      <c r="G44" s="95">
        <f>SUM(100/H41*G41)</f>
        <v>162.73400058584238</v>
      </c>
      <c r="H44" s="78"/>
      <c r="I44" s="95" t="e">
        <f>SUM(100/J41*I41)</f>
        <v>#DIV/0!</v>
      </c>
      <c r="J44" s="78"/>
      <c r="K44" s="95">
        <f>SUM(100/N41*K41)</f>
        <v>139.16950006958473</v>
      </c>
      <c r="L44" s="247"/>
      <c r="M44" s="242"/>
      <c r="N44" s="78"/>
      <c r="O44" s="275"/>
      <c r="P44" s="276"/>
      <c r="Q44" s="277">
        <f>SUM(100/R41*Q41)</f>
        <v>101.2000000506</v>
      </c>
      <c r="R44" s="87"/>
      <c r="S44" s="95">
        <f>SUM(100/T41*S41)</f>
        <v>126.47599312430292</v>
      </c>
      <c r="T44" s="78"/>
      <c r="U44" s="97">
        <f>SUM(100/V41*U41)</f>
        <v>117.11178295016832</v>
      </c>
      <c r="V44" s="78"/>
      <c r="W44" s="95" t="e">
        <f>SUM(100/X41*W41)</f>
        <v>#DIV/0!</v>
      </c>
      <c r="X44" s="78"/>
      <c r="Y44" s="113">
        <f>SUM(100/Z41*Y41)</f>
        <v>117.11178295016832</v>
      </c>
      <c r="Z44" s="114"/>
      <c r="AC44" s="2"/>
      <c r="AD44" s="2"/>
    </row>
    <row r="45" spans="1:32" x14ac:dyDescent="0.25">
      <c r="P45" s="296"/>
    </row>
    <row r="46" spans="1:32" x14ac:dyDescent="0.25">
      <c r="C46" s="230"/>
      <c r="D46" s="230"/>
      <c r="E46" s="230"/>
      <c r="F46" s="230"/>
      <c r="G46" s="230"/>
      <c r="H46" s="360"/>
      <c r="I46" s="360"/>
      <c r="J46" s="36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</row>
  </sheetData>
  <customSheetViews>
    <customSheetView guid="{512075D7-6EE7-4EEF-842F-09AF15E6D8B5}" scale="80" showPageBreaks="1" fitToPage="1" printArea="1" topLeftCell="J1">
      <pane ySplit="4" topLeftCell="A29" activePane="bottomLeft" state="frozen"/>
      <selection pane="bottomLeft" activeCell="S52" sqref="S52"/>
      <pageMargins left="0.59055118110236227" right="0.59055118110236227" top="1.1811023622047245" bottom="0.59055118110236227" header="0.11811023622047245" footer="0.31496062992125984"/>
      <pageSetup paperSize="9" scale="38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 topLeftCell="J1">
      <pane ySplit="4" topLeftCell="A29" activePane="bottomLeft" state="frozen"/>
      <selection pane="bottomLeft" activeCell="S52" sqref="S52"/>
      <pageMargins left="0.59055118110236227" right="0.59055118110236227" top="1.1811023622047245" bottom="0.59055118110236227" header="0.11811023622047245" footer="0.31496062992125984"/>
      <pageSetup paperSize="9" scale="38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howPageBreaks="1" fitToPage="1" printArea="1">
      <pane ySplit="4" topLeftCell="A23" activePane="bottomLeft" state="frozen"/>
      <selection pane="bottomLeft" activeCell="AF25" sqref="AF25"/>
      <pageMargins left="0.59055118110236227" right="0.59055118110236227" top="1.1811023622047245" bottom="0.59055118110236227" header="0.11811023622047245" footer="0.31496062992125984"/>
      <pageSetup paperSize="9" scale="38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showPageBreaks="1" fitToPage="1" printArea="1" topLeftCell="D1">
      <pane ySplit="4" topLeftCell="A26" activePane="bottomLeft" state="frozen"/>
      <selection pane="bottomLeft" activeCell="E46" sqref="E46"/>
      <pageMargins left="0.59055118110236227" right="0.59055118110236227" top="1.1811023622047245" bottom="0.59055118110236227" header="0.11811023622047245" footer="0.31496062992125984"/>
      <pageSetup paperSize="9" scale="38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23" activePane="bottomLeft" state="frozen"/>
      <selection pane="bottomLeft" activeCell="Q46" sqref="Q46"/>
      <pageMargins left="0.59055118110236227" right="0.59055118110236227" top="1.1811023622047245" bottom="0.59055118110236227" header="0.11811023622047245" footer="0.31496062992125984"/>
      <pageSetup paperSize="9" scale="38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90" showPageBreaks="1" fitToPage="1" printArea="1" topLeftCell="H1">
      <pane ySplit="4" topLeftCell="A17" activePane="bottomLeft" state="frozen"/>
      <selection pane="bottomLeft" activeCell="P46" sqref="P46"/>
      <pageMargins left="0.59055118110236227" right="0.59055118110236227" top="1.1811023622047245" bottom="0.59055118110236227" header="0.11811023622047245" footer="0.31496062992125984"/>
      <pageSetup paperSize="9" scale="38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80" showPageBreaks="1" fitToPage="1" printArea="1">
      <pane ySplit="4" topLeftCell="A11" activePane="bottomLeft" state="frozen"/>
      <selection pane="bottomLeft" activeCell="Q18" sqref="Q18"/>
      <pageMargins left="0.59055118110236227" right="0.59055118110236227" top="1.1811023622047245" bottom="0.59055118110236227" header="0.11811023622047245" footer="0.31496062992125984"/>
      <pageSetup paperSize="9" scale="47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5" showPageBreaks="1" fitToPage="1" printArea="1">
      <pane ySplit="4" topLeftCell="A17" activePane="bottomLeft" state="frozen"/>
      <selection pane="bottomLeft" activeCell="R38" sqref="R38"/>
      <pageMargins left="0.59055118110236227" right="0.59055118110236227" top="1.1811023622047245" bottom="0.59055118110236227" header="0.11811023622047245" footer="0.31496062992125984"/>
      <pageSetup paperSize="9" scale="47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60" showPageBreaks="1" fitToPage="1" printArea="1">
      <pane ySplit="4" topLeftCell="A8" activePane="bottomLeft" state="frozen"/>
      <selection pane="bottomLeft" activeCell="AF35" sqref="AF35"/>
      <pageMargins left="0.59055118110236227" right="0.59055118110236227" top="1.1811023622047245" bottom="0.59055118110236227" header="0.11811023622047245" footer="0.31496062992125984"/>
      <pageSetup paperSize="9" scale="38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showPageBreaks="1" fitToPage="1" printArea="1">
      <pane ySplit="4" topLeftCell="A23" activePane="bottomLeft" state="frozen"/>
      <selection pane="bottomLeft" activeCell="X48" sqref="X48"/>
      <pageMargins left="0.59055118110236227" right="0.59055118110236227" top="1.1811023622047245" bottom="0.59055118110236227" header="0.11811023622047245" footer="0.31496062992125984"/>
      <pageSetup paperSize="9" scale="38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howPageBreaks="1" fitToPage="1" printArea="1">
      <pane ySplit="4" topLeftCell="A23" activePane="bottomLeft" state="frozen"/>
      <selection pane="bottomLeft" activeCell="AF25" sqref="AF25"/>
      <pageMargins left="0.59055118110236227" right="0.59055118110236227" top="1.1811023622047245" bottom="0.59055118110236227" header="0.11811023622047245" footer="0.31496062992125984"/>
      <pageSetup paperSize="9" scale="38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2">
    <mergeCell ref="S3:T3"/>
    <mergeCell ref="H1:K1"/>
    <mergeCell ref="C3:D3"/>
    <mergeCell ref="E3:F3"/>
    <mergeCell ref="G3:H3"/>
    <mergeCell ref="K3:N3"/>
    <mergeCell ref="I3:J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8" orientation="landscape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48"/>
  <sheetViews>
    <sheetView zoomScale="80" zoomScaleNormal="100" workbookViewId="0">
      <pane ySplit="4" topLeftCell="A5" activePane="bottomLeft" state="frozen"/>
      <selection pane="bottomLeft" activeCell="P45" sqref="P45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4.5703125" style="2" bestFit="1" customWidth="1"/>
    <col min="4" max="4" width="14.5703125" style="2" customWidth="1"/>
    <col min="5" max="5" width="12.85546875" style="2" bestFit="1" customWidth="1"/>
    <col min="6" max="6" width="13.140625" style="2" bestFit="1" customWidth="1"/>
    <col min="7" max="7" width="12.5703125" style="6" customWidth="1"/>
    <col min="8" max="8" width="12.85546875" style="6" bestFit="1" customWidth="1"/>
    <col min="9" max="10" width="11.7109375" style="6" customWidth="1"/>
    <col min="11" max="11" width="13.85546875" style="2" bestFit="1" customWidth="1"/>
    <col min="12" max="13" width="13.85546875" style="2" customWidth="1"/>
    <col min="14" max="14" width="14.28515625" style="2" bestFit="1" customWidth="1"/>
    <col min="15" max="15" width="14.5703125" style="2" bestFit="1" customWidth="1"/>
    <col min="16" max="16" width="12.85546875" style="2" bestFit="1" customWidth="1"/>
    <col min="17" max="17" width="15" style="2" bestFit="1" customWidth="1"/>
    <col min="18" max="18" width="14.28515625" style="2" bestFit="1" customWidth="1"/>
    <col min="19" max="19" width="13.85546875" style="2" bestFit="1" customWidth="1"/>
    <col min="20" max="20" width="14.28515625" style="2" bestFit="1" customWidth="1"/>
    <col min="21" max="21" width="15.85546875" style="2" bestFit="1" customWidth="1"/>
    <col min="22" max="22" width="14.5703125" style="2" bestFit="1" customWidth="1"/>
    <col min="23" max="24" width="11.7109375" style="2" customWidth="1"/>
    <col min="25" max="25" width="15.42578125" style="2" bestFit="1" customWidth="1"/>
    <col min="26" max="26" width="14.5703125" style="2" bestFit="1" customWidth="1"/>
    <col min="27" max="27" width="33.7109375" style="2" bestFit="1" customWidth="1"/>
    <col min="28" max="28" width="8.140625" style="2" bestFit="1" customWidth="1"/>
    <col min="29" max="29" width="5.140625" style="4" customWidth="1"/>
    <col min="30" max="30" width="20.7109375" style="4" customWidth="1"/>
    <col min="31" max="16384" width="11.42578125" style="2"/>
  </cols>
  <sheetData>
    <row r="1" spans="1:30" ht="34.15" customHeight="1" x14ac:dyDescent="0.25">
      <c r="A1" s="104" t="s">
        <v>55</v>
      </c>
      <c r="G1" s="2"/>
      <c r="H1" s="521">
        <v>45383</v>
      </c>
      <c r="I1" s="521"/>
      <c r="J1" s="521"/>
      <c r="K1" s="521"/>
      <c r="L1" s="420"/>
      <c r="M1" s="420"/>
    </row>
    <row r="2" spans="1:30" ht="21" thickBot="1" x14ac:dyDescent="0.3">
      <c r="A2" s="105"/>
    </row>
    <row r="3" spans="1:30" s="8" customFormat="1" ht="50.25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3" t="s">
        <v>53</v>
      </c>
      <c r="J3" s="514"/>
      <c r="K3" s="513" t="s">
        <v>25</v>
      </c>
      <c r="L3" s="515"/>
      <c r="M3" s="515"/>
      <c r="N3" s="514"/>
      <c r="O3" s="513" t="s">
        <v>30</v>
      </c>
      <c r="P3" s="515"/>
      <c r="Q3" s="515"/>
      <c r="R3" s="514"/>
      <c r="S3" s="515" t="s">
        <v>2</v>
      </c>
      <c r="T3" s="515"/>
      <c r="U3" s="522" t="s">
        <v>29</v>
      </c>
      <c r="V3" s="523"/>
      <c r="W3" s="513" t="s">
        <v>26</v>
      </c>
      <c r="X3" s="514"/>
      <c r="Y3" s="524" t="s">
        <v>27</v>
      </c>
      <c r="Z3" s="525"/>
      <c r="AA3" s="513" t="s">
        <v>0</v>
      </c>
      <c r="AB3" s="515"/>
      <c r="AC3" s="515"/>
      <c r="AD3" s="514"/>
    </row>
    <row r="4" spans="1:30" s="4" customFormat="1" ht="18.600000000000001" customHeight="1" x14ac:dyDescent="0.25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43" t="s">
        <v>69</v>
      </c>
      <c r="M4" s="237" t="s">
        <v>70</v>
      </c>
      <c r="N4" s="12" t="s">
        <v>21</v>
      </c>
      <c r="O4" s="11" t="s">
        <v>68</v>
      </c>
      <c r="P4" s="237" t="s">
        <v>69</v>
      </c>
      <c r="Q4" s="237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19" t="s">
        <v>4</v>
      </c>
      <c r="AC4" s="520"/>
      <c r="AD4" s="14" t="s">
        <v>5</v>
      </c>
    </row>
    <row r="5" spans="1:30" ht="18.600000000000001" customHeight="1" x14ac:dyDescent="0.25">
      <c r="A5" s="23">
        <f>SUM(A3+1)</f>
        <v>1</v>
      </c>
      <c r="B5" s="24" t="s">
        <v>12</v>
      </c>
      <c r="C5" s="422">
        <v>13236.15</v>
      </c>
      <c r="D5" s="26">
        <v>9666.6666600000008</v>
      </c>
      <c r="E5" s="422">
        <v>0</v>
      </c>
      <c r="F5" s="27">
        <v>1333.3333333333333</v>
      </c>
      <c r="G5" s="28">
        <v>0</v>
      </c>
      <c r="H5" s="27">
        <v>333.33333333333331</v>
      </c>
      <c r="I5" s="28"/>
      <c r="J5" s="27"/>
      <c r="K5" s="25">
        <v>0</v>
      </c>
      <c r="L5" s="28"/>
      <c r="M5" s="239">
        <f>K5+L5</f>
        <v>0</v>
      </c>
      <c r="N5" s="26">
        <v>3333.3333299999999</v>
      </c>
      <c r="O5" s="25">
        <v>0</v>
      </c>
      <c r="P5" s="28">
        <v>0</v>
      </c>
      <c r="Q5" s="239">
        <f>O5+P5</f>
        <v>0</v>
      </c>
      <c r="R5" s="26">
        <v>2000</v>
      </c>
      <c r="S5" s="25">
        <v>1659.1</v>
      </c>
      <c r="T5" s="26">
        <v>5433.333333333333</v>
      </c>
      <c r="U5" s="183">
        <f>C5+E5+G5+I5+M5+Q5+S5</f>
        <v>14895.25</v>
      </c>
      <c r="V5" s="90">
        <f t="shared" ref="V5:V11" si="0">D5+F5+H5+J5+N5+R5+T5</f>
        <v>22099.99999</v>
      </c>
      <c r="W5" s="25"/>
      <c r="X5" s="26">
        <v>66.666659999999993</v>
      </c>
      <c r="Y5" s="92">
        <f t="shared" ref="Y5:Y11" si="1">SUM(U5+W5)</f>
        <v>14895.25</v>
      </c>
      <c r="Z5" s="234">
        <f t="shared" ref="Z5:Z11" si="2">SUM(V5+X5)</f>
        <v>22166.666649999999</v>
      </c>
      <c r="AA5" s="29" t="s">
        <v>79</v>
      </c>
      <c r="AB5" s="30">
        <v>10</v>
      </c>
      <c r="AC5" s="31" t="s">
        <v>7</v>
      </c>
      <c r="AD5" s="32" t="s">
        <v>124</v>
      </c>
    </row>
    <row r="6" spans="1:30" ht="18.600000000000001" customHeight="1" x14ac:dyDescent="0.25">
      <c r="A6" s="47">
        <f t="shared" ref="A6:A11" si="3">SUM(A5+1)</f>
        <v>2</v>
      </c>
      <c r="B6" s="15" t="s">
        <v>13</v>
      </c>
      <c r="C6" s="233">
        <v>5509.7</v>
      </c>
      <c r="D6" s="17">
        <v>9666.6666600000008</v>
      </c>
      <c r="E6" s="16">
        <v>64.099999999999994</v>
      </c>
      <c r="F6" s="18">
        <v>1333.3333333333333</v>
      </c>
      <c r="G6" s="19">
        <v>354.9</v>
      </c>
      <c r="H6" s="18">
        <v>333.33333333333331</v>
      </c>
      <c r="I6" s="19">
        <v>0</v>
      </c>
      <c r="J6" s="18"/>
      <c r="K6" s="16">
        <v>70.3</v>
      </c>
      <c r="L6" s="19"/>
      <c r="M6" s="238">
        <f t="shared" ref="M6:M11" si="4">K6+L6</f>
        <v>70.3</v>
      </c>
      <c r="N6" s="17">
        <v>3333.3333299999999</v>
      </c>
      <c r="O6" s="16">
        <v>0</v>
      </c>
      <c r="P6" s="226">
        <v>0</v>
      </c>
      <c r="Q6" s="250">
        <f t="shared" ref="Q6:Q11" si="5">O6+P6</f>
        <v>0</v>
      </c>
      <c r="R6" s="17">
        <v>2000</v>
      </c>
      <c r="S6" s="16">
        <v>2439.1</v>
      </c>
      <c r="T6" s="17">
        <v>5433.333333333333</v>
      </c>
      <c r="U6" s="91">
        <f>C6+E6+G6+I6+M6+Q6+S6</f>
        <v>8438.1</v>
      </c>
      <c r="V6" s="89">
        <f t="shared" si="0"/>
        <v>22099.99999</v>
      </c>
      <c r="W6" s="16"/>
      <c r="X6" s="17">
        <v>66.666659999999993</v>
      </c>
      <c r="Y6" s="109">
        <f t="shared" si="1"/>
        <v>8438.1</v>
      </c>
      <c r="Z6" s="110">
        <f t="shared" si="2"/>
        <v>22166.666649999999</v>
      </c>
      <c r="AA6" s="45" t="s">
        <v>142</v>
      </c>
      <c r="AB6" s="51">
        <v>13</v>
      </c>
      <c r="AC6" s="21" t="s">
        <v>7</v>
      </c>
      <c r="AD6" s="22"/>
    </row>
    <row r="7" spans="1:30" ht="18.600000000000001" customHeight="1" x14ac:dyDescent="0.25">
      <c r="A7" s="47">
        <f t="shared" si="3"/>
        <v>3</v>
      </c>
      <c r="B7" s="15" t="s">
        <v>14</v>
      </c>
      <c r="C7" s="233">
        <v>5206.5</v>
      </c>
      <c r="D7" s="17">
        <v>9666.6666600000008</v>
      </c>
      <c r="E7" s="16">
        <v>9.5</v>
      </c>
      <c r="F7" s="18">
        <v>1333.3333333333333</v>
      </c>
      <c r="G7" s="19">
        <v>18.600000000000001</v>
      </c>
      <c r="H7" s="18">
        <v>333.33333333333331</v>
      </c>
      <c r="I7" s="19">
        <v>0</v>
      </c>
      <c r="J7" s="18"/>
      <c r="K7" s="16">
        <v>0</v>
      </c>
      <c r="L7" s="19"/>
      <c r="M7" s="238">
        <f t="shared" si="4"/>
        <v>0</v>
      </c>
      <c r="N7" s="17">
        <v>3333.3333299999999</v>
      </c>
      <c r="O7" s="16">
        <v>0</v>
      </c>
      <c r="P7" s="19">
        <v>0</v>
      </c>
      <c r="Q7" s="250">
        <f t="shared" si="5"/>
        <v>0</v>
      </c>
      <c r="R7" s="17">
        <v>2000</v>
      </c>
      <c r="S7" s="16">
        <v>2799.9</v>
      </c>
      <c r="T7" s="17">
        <v>5433.333333333333</v>
      </c>
      <c r="U7" s="91">
        <f t="shared" ref="U7:U11" si="6">C7+E7+G7+I7+M7+Q7+S7</f>
        <v>8034.5</v>
      </c>
      <c r="V7" s="89">
        <f t="shared" si="0"/>
        <v>22099.99999</v>
      </c>
      <c r="W7" s="16"/>
      <c r="X7" s="17">
        <v>66.666659999999993</v>
      </c>
      <c r="Y7" s="109">
        <f t="shared" si="1"/>
        <v>8034.5</v>
      </c>
      <c r="Z7" s="110">
        <f t="shared" si="2"/>
        <v>22166.666649999999</v>
      </c>
      <c r="AA7" s="45" t="s">
        <v>88</v>
      </c>
      <c r="AB7" s="51">
        <v>7</v>
      </c>
      <c r="AC7" s="21" t="s">
        <v>7</v>
      </c>
      <c r="AD7" s="22"/>
    </row>
    <row r="8" spans="1:30" ht="18.600000000000001" customHeight="1" x14ac:dyDescent="0.25">
      <c r="A8" s="47">
        <f t="shared" si="3"/>
        <v>4</v>
      </c>
      <c r="B8" s="15" t="s">
        <v>15</v>
      </c>
      <c r="C8" s="233">
        <v>6812.1</v>
      </c>
      <c r="D8" s="17">
        <v>9666.6666600000008</v>
      </c>
      <c r="E8" s="16">
        <v>7.5</v>
      </c>
      <c r="F8" s="18">
        <v>1333.3333333333333</v>
      </c>
      <c r="G8" s="19">
        <v>26</v>
      </c>
      <c r="H8" s="18">
        <v>333.33333333333331</v>
      </c>
      <c r="I8" s="19">
        <v>0</v>
      </c>
      <c r="J8" s="18"/>
      <c r="K8" s="16">
        <v>1363.3</v>
      </c>
      <c r="L8" s="19"/>
      <c r="M8" s="238">
        <f t="shared" si="4"/>
        <v>1363.3</v>
      </c>
      <c r="N8" s="17">
        <v>3333.3333299999999</v>
      </c>
      <c r="O8" s="16">
        <v>515.70000000000005</v>
      </c>
      <c r="P8" s="19">
        <v>4692</v>
      </c>
      <c r="Q8" s="250">
        <f t="shared" si="5"/>
        <v>5207.7</v>
      </c>
      <c r="R8" s="17">
        <v>2000</v>
      </c>
      <c r="S8" s="16">
        <v>7486.4</v>
      </c>
      <c r="T8" s="17">
        <v>5433.333333333333</v>
      </c>
      <c r="U8" s="91">
        <f t="shared" si="6"/>
        <v>20903</v>
      </c>
      <c r="V8" s="89">
        <f t="shared" si="0"/>
        <v>22099.99999</v>
      </c>
      <c r="W8" s="16"/>
      <c r="X8" s="17">
        <v>66.666659999999993</v>
      </c>
      <c r="Y8" s="109">
        <f t="shared" si="1"/>
        <v>20903</v>
      </c>
      <c r="Z8" s="110">
        <f t="shared" si="2"/>
        <v>22166.666649999999</v>
      </c>
      <c r="AA8" s="45" t="s">
        <v>143</v>
      </c>
      <c r="AB8" s="51">
        <v>13</v>
      </c>
      <c r="AC8" s="21" t="s">
        <v>7</v>
      </c>
      <c r="AD8" s="22"/>
    </row>
    <row r="9" spans="1:30" ht="18.600000000000001" customHeight="1" x14ac:dyDescent="0.25">
      <c r="A9" s="321">
        <f t="shared" si="3"/>
        <v>5</v>
      </c>
      <c r="B9" s="322" t="s">
        <v>6</v>
      </c>
      <c r="C9" s="233">
        <v>11358.3</v>
      </c>
      <c r="D9" s="265">
        <v>9666.6666600000008</v>
      </c>
      <c r="E9" s="123">
        <v>3702.2</v>
      </c>
      <c r="F9" s="323">
        <v>1333.3333333333333</v>
      </c>
      <c r="G9" s="324">
        <v>745.1</v>
      </c>
      <c r="H9" s="323">
        <v>333.33333333333331</v>
      </c>
      <c r="I9" s="19">
        <v>0</v>
      </c>
      <c r="J9" s="323"/>
      <c r="K9" s="123">
        <v>0</v>
      </c>
      <c r="L9" s="324"/>
      <c r="M9" s="325">
        <f t="shared" si="4"/>
        <v>0</v>
      </c>
      <c r="N9" s="265">
        <v>3333.3333299999999</v>
      </c>
      <c r="O9" s="123">
        <v>400</v>
      </c>
      <c r="P9" s="324">
        <v>2454</v>
      </c>
      <c r="Q9" s="325">
        <f t="shared" si="5"/>
        <v>2854</v>
      </c>
      <c r="R9" s="265">
        <v>2000</v>
      </c>
      <c r="S9" s="123">
        <v>7520.8</v>
      </c>
      <c r="T9" s="265">
        <v>5433.333333333333</v>
      </c>
      <c r="U9" s="326">
        <f t="shared" si="6"/>
        <v>26180.399999999998</v>
      </c>
      <c r="V9" s="327">
        <f t="shared" si="0"/>
        <v>22099.99999</v>
      </c>
      <c r="W9" s="123"/>
      <c r="X9" s="265">
        <v>66.666659999999993</v>
      </c>
      <c r="Y9" s="109">
        <f t="shared" si="1"/>
        <v>26180.399999999998</v>
      </c>
      <c r="Z9" s="110">
        <f t="shared" si="2"/>
        <v>22166.666649999999</v>
      </c>
      <c r="AA9" s="50" t="s">
        <v>58</v>
      </c>
      <c r="AB9" s="51">
        <v>21</v>
      </c>
      <c r="AC9" s="228" t="s">
        <v>7</v>
      </c>
      <c r="AD9" s="229"/>
    </row>
    <row r="10" spans="1:30" ht="18.600000000000001" customHeight="1" x14ac:dyDescent="0.25">
      <c r="A10" s="23">
        <f t="shared" si="3"/>
        <v>6</v>
      </c>
      <c r="B10" s="24" t="s">
        <v>8</v>
      </c>
      <c r="C10" s="422">
        <v>7388.3</v>
      </c>
      <c r="D10" s="26">
        <v>9666.6666600000008</v>
      </c>
      <c r="E10" s="25">
        <v>12281.9</v>
      </c>
      <c r="F10" s="27">
        <v>1333.3333333333333</v>
      </c>
      <c r="G10" s="28">
        <v>1616.8</v>
      </c>
      <c r="H10" s="27">
        <v>333.33333333333331</v>
      </c>
      <c r="I10" s="28">
        <v>0</v>
      </c>
      <c r="J10" s="27"/>
      <c r="K10" s="25">
        <v>28002</v>
      </c>
      <c r="L10" s="28"/>
      <c r="M10" s="239">
        <f t="shared" si="4"/>
        <v>28002</v>
      </c>
      <c r="N10" s="26">
        <v>3333.3333299999999</v>
      </c>
      <c r="O10" s="25">
        <v>2429.6999999999998</v>
      </c>
      <c r="P10" s="28">
        <v>0</v>
      </c>
      <c r="Q10" s="239">
        <f t="shared" si="5"/>
        <v>2429.6999999999998</v>
      </c>
      <c r="R10" s="26">
        <v>2000</v>
      </c>
      <c r="S10" s="25">
        <v>10950.2</v>
      </c>
      <c r="T10" s="26">
        <v>5433.333333333333</v>
      </c>
      <c r="U10" s="183">
        <f t="shared" si="6"/>
        <v>62668.899999999994</v>
      </c>
      <c r="V10" s="90">
        <f t="shared" si="0"/>
        <v>22099.99999</v>
      </c>
      <c r="W10" s="25"/>
      <c r="X10" s="26">
        <v>66.666659999999993</v>
      </c>
      <c r="Y10" s="92">
        <f t="shared" si="1"/>
        <v>62668.899999999994</v>
      </c>
      <c r="Z10" s="94">
        <f t="shared" si="2"/>
        <v>22166.666649999999</v>
      </c>
      <c r="AA10" s="29" t="s">
        <v>58</v>
      </c>
      <c r="AB10" s="30">
        <v>22</v>
      </c>
      <c r="AC10" s="31" t="s">
        <v>7</v>
      </c>
      <c r="AD10" s="32"/>
    </row>
    <row r="11" spans="1:30" s="43" customFormat="1" ht="18.600000000000001" customHeight="1" x14ac:dyDescent="0.25">
      <c r="A11" s="23">
        <f t="shared" si="3"/>
        <v>7</v>
      </c>
      <c r="B11" s="24" t="s">
        <v>9</v>
      </c>
      <c r="C11" s="422">
        <v>8195.2999999999993</v>
      </c>
      <c r="D11" s="26">
        <v>9666.6666600000008</v>
      </c>
      <c r="E11" s="25">
        <v>7862.1</v>
      </c>
      <c r="F11" s="27">
        <v>1333.3333333333333</v>
      </c>
      <c r="G11" s="28">
        <v>845.8</v>
      </c>
      <c r="H11" s="27">
        <v>333.33333333333331</v>
      </c>
      <c r="I11" s="28">
        <v>0</v>
      </c>
      <c r="J11" s="27"/>
      <c r="K11" s="25">
        <v>23515.7</v>
      </c>
      <c r="L11" s="28"/>
      <c r="M11" s="239">
        <f t="shared" si="4"/>
        <v>23515.7</v>
      </c>
      <c r="N11" s="26">
        <v>3333.3333299999999</v>
      </c>
      <c r="O11" s="25">
        <v>0</v>
      </c>
      <c r="P11" s="28">
        <v>0</v>
      </c>
      <c r="Q11" s="239">
        <f t="shared" si="5"/>
        <v>0</v>
      </c>
      <c r="R11" s="26">
        <v>2000</v>
      </c>
      <c r="S11" s="25">
        <v>3612.4</v>
      </c>
      <c r="T11" s="26">
        <v>5433.333333333333</v>
      </c>
      <c r="U11" s="183">
        <f t="shared" si="6"/>
        <v>44031.3</v>
      </c>
      <c r="V11" s="90">
        <f t="shared" si="0"/>
        <v>22099.99999</v>
      </c>
      <c r="W11" s="25"/>
      <c r="X11" s="26">
        <v>66.666659999999993</v>
      </c>
      <c r="Y11" s="92">
        <f t="shared" si="1"/>
        <v>44031.3</v>
      </c>
      <c r="Z11" s="94">
        <f t="shared" si="2"/>
        <v>22166.666649999999</v>
      </c>
      <c r="AA11" s="29" t="s">
        <v>82</v>
      </c>
      <c r="AB11" s="30">
        <v>23</v>
      </c>
      <c r="AC11" s="31" t="s">
        <v>7</v>
      </c>
      <c r="AD11" s="32" t="s">
        <v>144</v>
      </c>
    </row>
    <row r="12" spans="1:30" ht="18.600000000000001" customHeight="1" x14ac:dyDescent="0.25">
      <c r="A12" s="33" t="s">
        <v>10</v>
      </c>
      <c r="B12" s="34">
        <v>14</v>
      </c>
      <c r="C12" s="35">
        <f>SUM(C5:C11)</f>
        <v>57706.350000000006</v>
      </c>
      <c r="D12" s="36">
        <f t="shared" ref="D12:Z12" si="7">SUM(D5:D11)</f>
        <v>67666.666620000004</v>
      </c>
      <c r="E12" s="35">
        <f t="shared" si="7"/>
        <v>23927.3</v>
      </c>
      <c r="F12" s="37">
        <f t="shared" si="7"/>
        <v>9333.3333333333321</v>
      </c>
      <c r="G12" s="38">
        <f t="shared" si="7"/>
        <v>3607.2</v>
      </c>
      <c r="H12" s="37">
        <f t="shared" si="7"/>
        <v>2333.333333333333</v>
      </c>
      <c r="I12" s="38">
        <f t="shared" si="7"/>
        <v>0</v>
      </c>
      <c r="J12" s="37">
        <f t="shared" si="7"/>
        <v>0</v>
      </c>
      <c r="K12" s="35">
        <f t="shared" si="7"/>
        <v>52951.3</v>
      </c>
      <c r="L12" s="38">
        <f t="shared" si="7"/>
        <v>0</v>
      </c>
      <c r="M12" s="297">
        <f>SUM(M5:M11)</f>
        <v>52951.3</v>
      </c>
      <c r="N12" s="36">
        <f t="shared" si="7"/>
        <v>23333.333310000002</v>
      </c>
      <c r="O12" s="35">
        <f t="shared" si="7"/>
        <v>3345.3999999999996</v>
      </c>
      <c r="P12" s="35">
        <f t="shared" si="7"/>
        <v>7146</v>
      </c>
      <c r="Q12" s="82">
        <f t="shared" si="7"/>
        <v>10491.4</v>
      </c>
      <c r="R12" s="36">
        <f t="shared" si="7"/>
        <v>14000</v>
      </c>
      <c r="S12" s="35">
        <f t="shared" si="7"/>
        <v>36467.9</v>
      </c>
      <c r="T12" s="36">
        <f t="shared" si="7"/>
        <v>38033.333333333328</v>
      </c>
      <c r="U12" s="35">
        <f t="shared" si="7"/>
        <v>185151.45</v>
      </c>
      <c r="V12" s="36">
        <f t="shared" si="7"/>
        <v>154699.99993000002</v>
      </c>
      <c r="W12" s="35">
        <f t="shared" si="7"/>
        <v>0</v>
      </c>
      <c r="X12" s="36">
        <f t="shared" si="7"/>
        <v>466.66661999999991</v>
      </c>
      <c r="Y12" s="35">
        <f t="shared" si="7"/>
        <v>185151.45</v>
      </c>
      <c r="Z12" s="36">
        <f t="shared" si="7"/>
        <v>155166.66654999999</v>
      </c>
      <c r="AA12" s="39" t="s">
        <v>11</v>
      </c>
      <c r="AB12" s="40">
        <f>SUM(AB5:AB11)/7</f>
        <v>15.571428571428571</v>
      </c>
      <c r="AC12" s="41" t="s">
        <v>7</v>
      </c>
      <c r="AD12" s="42"/>
    </row>
    <row r="13" spans="1:30" ht="18.600000000000001" customHeight="1" x14ac:dyDescent="0.25">
      <c r="A13" s="47">
        <f>SUM(A11+1)</f>
        <v>8</v>
      </c>
      <c r="B13" s="225" t="s">
        <v>12</v>
      </c>
      <c r="C13" s="233">
        <v>3041</v>
      </c>
      <c r="D13" s="17">
        <v>9666.6666600000008</v>
      </c>
      <c r="E13" s="233">
        <v>4745.3</v>
      </c>
      <c r="F13" s="18">
        <v>1333.3333333333333</v>
      </c>
      <c r="G13" s="226">
        <v>571.70000000000005</v>
      </c>
      <c r="H13" s="18">
        <v>333.33333333333331</v>
      </c>
      <c r="I13" s="226">
        <v>0</v>
      </c>
      <c r="J13" s="218"/>
      <c r="K13" s="20">
        <v>0</v>
      </c>
      <c r="L13" s="226"/>
      <c r="M13" s="250">
        <f t="shared" ref="M13:M19" si="8">K13+L13</f>
        <v>0</v>
      </c>
      <c r="N13" s="217">
        <v>3333.3333299999999</v>
      </c>
      <c r="O13" s="20">
        <v>34</v>
      </c>
      <c r="P13" s="226">
        <v>1339</v>
      </c>
      <c r="Q13" s="250">
        <f t="shared" ref="Q13:Q19" si="9">O13+P13</f>
        <v>1373</v>
      </c>
      <c r="R13" s="217">
        <v>2000</v>
      </c>
      <c r="S13" s="16">
        <v>2935.8</v>
      </c>
      <c r="T13" s="17">
        <v>5433.333333333333</v>
      </c>
      <c r="U13" s="219">
        <f t="shared" ref="U13:U19" si="10">C13+E13+G13+I13+M13+Q13+S13</f>
        <v>12666.8</v>
      </c>
      <c r="V13" s="220">
        <f t="shared" ref="V13:V19" si="11">D13+F13+H13+J13+N13+R13+T13</f>
        <v>22099.99999</v>
      </c>
      <c r="W13" s="20"/>
      <c r="X13" s="17">
        <v>66.666659999999993</v>
      </c>
      <c r="Y13" s="109">
        <f t="shared" ref="Y13:Z19" si="12">SUM(U13+W13)</f>
        <v>12666.8</v>
      </c>
      <c r="Z13" s="110">
        <f t="shared" si="12"/>
        <v>22166.666649999999</v>
      </c>
      <c r="AA13" s="50" t="s">
        <v>60</v>
      </c>
      <c r="AB13" s="51">
        <v>21</v>
      </c>
      <c r="AC13" s="228" t="s">
        <v>7</v>
      </c>
      <c r="AD13" s="229"/>
    </row>
    <row r="14" spans="1:30" ht="18.600000000000001" customHeight="1" x14ac:dyDescent="0.25">
      <c r="A14" s="47">
        <f t="shared" ref="A14:A19" si="13">SUM(A13+1)</f>
        <v>9</v>
      </c>
      <c r="B14" s="15" t="s">
        <v>13</v>
      </c>
      <c r="C14" s="16">
        <v>5740.1</v>
      </c>
      <c r="D14" s="17">
        <v>9666.6666600000008</v>
      </c>
      <c r="E14" s="16">
        <v>0</v>
      </c>
      <c r="F14" s="18">
        <v>1333.3333333333333</v>
      </c>
      <c r="G14" s="19">
        <v>11.1</v>
      </c>
      <c r="H14" s="18">
        <v>333.33333333333331</v>
      </c>
      <c r="I14" s="19">
        <v>0</v>
      </c>
      <c r="J14" s="18"/>
      <c r="K14" s="16">
        <v>2980.2</v>
      </c>
      <c r="L14" s="19"/>
      <c r="M14" s="238">
        <f t="shared" si="8"/>
        <v>2980.2</v>
      </c>
      <c r="N14" s="17">
        <v>3333.3333299999999</v>
      </c>
      <c r="O14" s="16">
        <v>-1758.7</v>
      </c>
      <c r="P14" s="226">
        <v>1640</v>
      </c>
      <c r="Q14" s="250">
        <f t="shared" si="9"/>
        <v>-118.70000000000005</v>
      </c>
      <c r="R14" s="17">
        <v>2000</v>
      </c>
      <c r="S14" s="16">
        <v>5467</v>
      </c>
      <c r="T14" s="17">
        <v>5433.333333333333</v>
      </c>
      <c r="U14" s="91">
        <f t="shared" si="10"/>
        <v>14079.7</v>
      </c>
      <c r="V14" s="89">
        <f t="shared" si="11"/>
        <v>22099.99999</v>
      </c>
      <c r="W14" s="16">
        <v>0</v>
      </c>
      <c r="X14" s="17">
        <v>66.666659999999993</v>
      </c>
      <c r="Y14" s="109">
        <f t="shared" si="12"/>
        <v>14079.7</v>
      </c>
      <c r="Z14" s="110">
        <f t="shared" si="12"/>
        <v>22166.666649999999</v>
      </c>
      <c r="AA14" s="45" t="s">
        <v>145</v>
      </c>
      <c r="AB14" s="51">
        <v>5</v>
      </c>
      <c r="AC14" s="21" t="s">
        <v>7</v>
      </c>
      <c r="AD14" s="22"/>
    </row>
    <row r="15" spans="1:30" ht="18.600000000000001" customHeight="1" x14ac:dyDescent="0.25">
      <c r="A15" s="47">
        <f t="shared" si="13"/>
        <v>10</v>
      </c>
      <c r="B15" s="15" t="s">
        <v>14</v>
      </c>
      <c r="C15" s="16">
        <v>10145</v>
      </c>
      <c r="D15" s="17">
        <v>9666.6666600000008</v>
      </c>
      <c r="E15" s="16">
        <v>0</v>
      </c>
      <c r="F15" s="18">
        <v>1333.3333333333333</v>
      </c>
      <c r="G15" s="19">
        <v>0</v>
      </c>
      <c r="H15" s="18">
        <v>333.33333333333331</v>
      </c>
      <c r="I15" s="19">
        <v>0</v>
      </c>
      <c r="J15" s="18"/>
      <c r="K15" s="16">
        <v>-16</v>
      </c>
      <c r="L15" s="19"/>
      <c r="M15" s="238">
        <f t="shared" si="8"/>
        <v>-16</v>
      </c>
      <c r="N15" s="17">
        <v>3333.3333299999999</v>
      </c>
      <c r="O15" s="16">
        <v>1524.7</v>
      </c>
      <c r="P15" s="19">
        <v>2671</v>
      </c>
      <c r="Q15" s="250">
        <f t="shared" si="9"/>
        <v>4195.7</v>
      </c>
      <c r="R15" s="17">
        <v>2000</v>
      </c>
      <c r="S15" s="16">
        <v>7588.9</v>
      </c>
      <c r="T15" s="17">
        <v>5433.333333333333</v>
      </c>
      <c r="U15" s="91">
        <f t="shared" si="10"/>
        <v>21913.599999999999</v>
      </c>
      <c r="V15" s="89">
        <f t="shared" si="11"/>
        <v>22099.99999</v>
      </c>
      <c r="W15" s="16">
        <v>0</v>
      </c>
      <c r="X15" s="17">
        <v>66.666659999999993</v>
      </c>
      <c r="Y15" s="109">
        <f t="shared" si="12"/>
        <v>21913.599999999999</v>
      </c>
      <c r="Z15" s="110">
        <f t="shared" si="12"/>
        <v>22166.666649999999</v>
      </c>
      <c r="AA15" s="45" t="s">
        <v>79</v>
      </c>
      <c r="AB15" s="51">
        <v>10</v>
      </c>
      <c r="AC15" s="21" t="s">
        <v>7</v>
      </c>
      <c r="AD15" s="22"/>
    </row>
    <row r="16" spans="1:30" ht="18.600000000000001" customHeight="1" x14ac:dyDescent="0.25">
      <c r="A16" s="47">
        <f t="shared" si="13"/>
        <v>11</v>
      </c>
      <c r="B16" s="15" t="s">
        <v>15</v>
      </c>
      <c r="C16" s="16">
        <v>9262.6</v>
      </c>
      <c r="D16" s="17">
        <v>9666.6666600000008</v>
      </c>
      <c r="E16" s="16">
        <v>3583.2</v>
      </c>
      <c r="F16" s="18">
        <v>1333.3333333333333</v>
      </c>
      <c r="G16" s="19">
        <v>328.8</v>
      </c>
      <c r="H16" s="18">
        <v>333.33333333333331</v>
      </c>
      <c r="I16" s="19">
        <v>0</v>
      </c>
      <c r="J16" s="18"/>
      <c r="K16" s="16">
        <v>0</v>
      </c>
      <c r="L16" s="19"/>
      <c r="M16" s="238">
        <f t="shared" si="8"/>
        <v>0</v>
      </c>
      <c r="N16" s="17">
        <v>3333.3333299999999</v>
      </c>
      <c r="O16" s="16">
        <v>1325.9</v>
      </c>
      <c r="P16" s="19">
        <v>2032</v>
      </c>
      <c r="Q16" s="250">
        <f t="shared" si="9"/>
        <v>3357.9</v>
      </c>
      <c r="R16" s="17">
        <v>2000</v>
      </c>
      <c r="S16" s="16">
        <v>5714.4</v>
      </c>
      <c r="T16" s="17">
        <v>5433.333333333333</v>
      </c>
      <c r="U16" s="91">
        <f t="shared" si="10"/>
        <v>22246.9</v>
      </c>
      <c r="V16" s="89">
        <f t="shared" si="11"/>
        <v>22099.99999</v>
      </c>
      <c r="W16" s="16">
        <v>0</v>
      </c>
      <c r="X16" s="17">
        <v>66.666659999999993</v>
      </c>
      <c r="Y16" s="109">
        <f t="shared" si="12"/>
        <v>22246.9</v>
      </c>
      <c r="Z16" s="110">
        <f t="shared" si="12"/>
        <v>22166.666649999999</v>
      </c>
      <c r="AA16" s="45" t="s">
        <v>58</v>
      </c>
      <c r="AB16" s="51">
        <v>16</v>
      </c>
      <c r="AC16" s="21" t="s">
        <v>7</v>
      </c>
      <c r="AD16" s="22"/>
    </row>
    <row r="17" spans="1:30" ht="18.600000000000001" customHeight="1" x14ac:dyDescent="0.25">
      <c r="A17" s="321">
        <f t="shared" si="13"/>
        <v>12</v>
      </c>
      <c r="B17" s="322" t="s">
        <v>6</v>
      </c>
      <c r="C17" s="123">
        <v>8276.2999999999993</v>
      </c>
      <c r="D17" s="265">
        <v>9666.6666600000008</v>
      </c>
      <c r="E17" s="123">
        <v>9564.1</v>
      </c>
      <c r="F17" s="323">
        <v>1333.3333333333333</v>
      </c>
      <c r="G17" s="324">
        <v>729.8</v>
      </c>
      <c r="H17" s="323">
        <v>333.33333333333331</v>
      </c>
      <c r="I17" s="19">
        <v>0</v>
      </c>
      <c r="J17" s="323"/>
      <c r="K17" s="123">
        <v>6106.2</v>
      </c>
      <c r="L17" s="324"/>
      <c r="M17" s="325">
        <f t="shared" si="8"/>
        <v>6106.2</v>
      </c>
      <c r="N17" s="265">
        <v>3333.3333299999999</v>
      </c>
      <c r="O17" s="123">
        <v>1504.3</v>
      </c>
      <c r="P17" s="324">
        <v>2021</v>
      </c>
      <c r="Q17" s="325">
        <f t="shared" si="9"/>
        <v>3525.3</v>
      </c>
      <c r="R17" s="265">
        <v>2000</v>
      </c>
      <c r="S17" s="123">
        <v>3869.5</v>
      </c>
      <c r="T17" s="265">
        <v>5433.333333333333</v>
      </c>
      <c r="U17" s="326">
        <f t="shared" si="10"/>
        <v>32071.200000000001</v>
      </c>
      <c r="V17" s="327">
        <f t="shared" si="11"/>
        <v>22099.99999</v>
      </c>
      <c r="W17" s="16">
        <v>0</v>
      </c>
      <c r="X17" s="265">
        <v>66.666659999999993</v>
      </c>
      <c r="Y17" s="109">
        <f t="shared" si="12"/>
        <v>32071.200000000001</v>
      </c>
      <c r="Z17" s="110">
        <f t="shared" si="12"/>
        <v>22166.666649999999</v>
      </c>
      <c r="AA17" s="50" t="s">
        <v>58</v>
      </c>
      <c r="AB17" s="51">
        <v>20</v>
      </c>
      <c r="AC17" s="228" t="s">
        <v>7</v>
      </c>
      <c r="AD17" s="229"/>
    </row>
    <row r="18" spans="1:30" ht="18.600000000000001" customHeight="1" x14ac:dyDescent="0.25">
      <c r="A18" s="23">
        <f t="shared" si="13"/>
        <v>13</v>
      </c>
      <c r="B18" s="24" t="s">
        <v>8</v>
      </c>
      <c r="C18" s="25">
        <v>8200.4</v>
      </c>
      <c r="D18" s="26">
        <v>9666.6666600000008</v>
      </c>
      <c r="E18" s="25">
        <v>12053</v>
      </c>
      <c r="F18" s="27">
        <v>1333.3333333333333</v>
      </c>
      <c r="G18" s="28">
        <v>1421.3</v>
      </c>
      <c r="H18" s="27">
        <v>333.33333333333331</v>
      </c>
      <c r="I18" s="28">
        <v>0</v>
      </c>
      <c r="J18" s="27"/>
      <c r="K18" s="25">
        <v>11409</v>
      </c>
      <c r="L18" s="28"/>
      <c r="M18" s="239">
        <f t="shared" si="8"/>
        <v>11409</v>
      </c>
      <c r="N18" s="26">
        <v>3333.3333299999999</v>
      </c>
      <c r="O18" s="25">
        <v>0</v>
      </c>
      <c r="P18" s="28">
        <v>0</v>
      </c>
      <c r="Q18" s="239">
        <f t="shared" si="9"/>
        <v>0</v>
      </c>
      <c r="R18" s="26">
        <v>2000</v>
      </c>
      <c r="S18" s="25">
        <v>7665.4</v>
      </c>
      <c r="T18" s="26">
        <v>5433.333333333333</v>
      </c>
      <c r="U18" s="183">
        <f t="shared" si="10"/>
        <v>40749.1</v>
      </c>
      <c r="V18" s="90">
        <f t="shared" si="11"/>
        <v>22099.99999</v>
      </c>
      <c r="W18" s="16">
        <v>0</v>
      </c>
      <c r="X18" s="26">
        <v>66.666659999999993</v>
      </c>
      <c r="Y18" s="92">
        <f t="shared" si="12"/>
        <v>40749.1</v>
      </c>
      <c r="Z18" s="94">
        <f t="shared" si="12"/>
        <v>22166.666649999999</v>
      </c>
      <c r="AA18" s="29" t="s">
        <v>58</v>
      </c>
      <c r="AB18" s="30">
        <v>24</v>
      </c>
      <c r="AC18" s="31" t="s">
        <v>7</v>
      </c>
      <c r="AD18" s="32"/>
    </row>
    <row r="19" spans="1:30" s="43" customFormat="1" ht="18.600000000000001" customHeight="1" x14ac:dyDescent="0.25">
      <c r="A19" s="23">
        <f t="shared" si="13"/>
        <v>14</v>
      </c>
      <c r="B19" s="24" t="s">
        <v>9</v>
      </c>
      <c r="C19" s="25">
        <v>2104.1999999999998</v>
      </c>
      <c r="D19" s="26">
        <v>9666.6666600000008</v>
      </c>
      <c r="E19" s="25">
        <v>22289</v>
      </c>
      <c r="F19" s="27">
        <v>1333.3333333333333</v>
      </c>
      <c r="G19" s="28">
        <v>1923.3</v>
      </c>
      <c r="H19" s="27">
        <v>333.33333333333331</v>
      </c>
      <c r="I19" s="28">
        <v>0</v>
      </c>
      <c r="J19" s="27"/>
      <c r="K19" s="25">
        <v>13775.6</v>
      </c>
      <c r="L19" s="28"/>
      <c r="M19" s="239">
        <f t="shared" si="8"/>
        <v>13775.6</v>
      </c>
      <c r="N19" s="26">
        <v>3333.3333299999999</v>
      </c>
      <c r="O19" s="25">
        <v>0</v>
      </c>
      <c r="P19" s="28">
        <v>0</v>
      </c>
      <c r="Q19" s="239">
        <f t="shared" si="9"/>
        <v>0</v>
      </c>
      <c r="R19" s="26">
        <v>2000</v>
      </c>
      <c r="S19" s="25">
        <v>3026</v>
      </c>
      <c r="T19" s="26">
        <v>5433.333333333333</v>
      </c>
      <c r="U19" s="183">
        <f t="shared" si="10"/>
        <v>43118.1</v>
      </c>
      <c r="V19" s="90">
        <f t="shared" si="11"/>
        <v>22099.99999</v>
      </c>
      <c r="W19" s="25">
        <v>0</v>
      </c>
      <c r="X19" s="26">
        <v>66.666659999999993</v>
      </c>
      <c r="Y19" s="92">
        <f t="shared" si="12"/>
        <v>43118.1</v>
      </c>
      <c r="Z19" s="94">
        <f t="shared" si="12"/>
        <v>22166.666649999999</v>
      </c>
      <c r="AA19" s="29" t="s">
        <v>58</v>
      </c>
      <c r="AB19" s="30">
        <v>26</v>
      </c>
      <c r="AC19" s="31" t="s">
        <v>7</v>
      </c>
      <c r="AD19" s="32"/>
    </row>
    <row r="20" spans="1:30" ht="18.600000000000001" customHeight="1" x14ac:dyDescent="0.25">
      <c r="A20" s="33" t="s">
        <v>10</v>
      </c>
      <c r="B20" s="34">
        <f>SUM(B12+1)</f>
        <v>15</v>
      </c>
      <c r="C20" s="35">
        <f t="shared" ref="C20:Z20" si="14">SUM(C13:C19)</f>
        <v>46769.599999999999</v>
      </c>
      <c r="D20" s="36">
        <f t="shared" si="14"/>
        <v>67666.666620000004</v>
      </c>
      <c r="E20" s="35">
        <f t="shared" si="14"/>
        <v>52234.6</v>
      </c>
      <c r="F20" s="37">
        <f t="shared" si="14"/>
        <v>9333.3333333333321</v>
      </c>
      <c r="G20" s="38">
        <f t="shared" si="14"/>
        <v>4986</v>
      </c>
      <c r="H20" s="37">
        <f t="shared" si="14"/>
        <v>2333.333333333333</v>
      </c>
      <c r="I20" s="38">
        <f>SUM(I13:I19)</f>
        <v>0</v>
      </c>
      <c r="J20" s="37">
        <f>SUM(J13:J19)</f>
        <v>0</v>
      </c>
      <c r="K20" s="35">
        <f t="shared" si="14"/>
        <v>34255</v>
      </c>
      <c r="L20" s="38">
        <f t="shared" si="14"/>
        <v>0</v>
      </c>
      <c r="M20" s="297">
        <f>SUM(M13:M19)</f>
        <v>34255</v>
      </c>
      <c r="N20" s="36">
        <f t="shared" si="14"/>
        <v>23333.333310000002</v>
      </c>
      <c r="O20" s="35">
        <f t="shared" si="14"/>
        <v>2630.2</v>
      </c>
      <c r="P20" s="297">
        <f t="shared" si="14"/>
        <v>9703</v>
      </c>
      <c r="Q20" s="38">
        <f t="shared" si="14"/>
        <v>12333.2</v>
      </c>
      <c r="R20" s="36">
        <f t="shared" si="14"/>
        <v>14000</v>
      </c>
      <c r="S20" s="35">
        <f t="shared" si="14"/>
        <v>36267</v>
      </c>
      <c r="T20" s="36">
        <f t="shared" si="14"/>
        <v>38033.333333333328</v>
      </c>
      <c r="U20" s="35">
        <f t="shared" si="14"/>
        <v>186845.4</v>
      </c>
      <c r="V20" s="36">
        <f t="shared" si="14"/>
        <v>154699.99993000002</v>
      </c>
      <c r="W20" s="35">
        <f t="shared" si="14"/>
        <v>0</v>
      </c>
      <c r="X20" s="36">
        <f t="shared" si="14"/>
        <v>466.66661999999991</v>
      </c>
      <c r="Y20" s="35">
        <f t="shared" si="14"/>
        <v>186845.4</v>
      </c>
      <c r="Z20" s="36">
        <f t="shared" si="14"/>
        <v>155166.66654999999</v>
      </c>
      <c r="AA20" s="39" t="s">
        <v>11</v>
      </c>
      <c r="AB20" s="40">
        <f>SUM(AB13:AB19)/7</f>
        <v>17.428571428571427</v>
      </c>
      <c r="AC20" s="41" t="s">
        <v>7</v>
      </c>
      <c r="AD20" s="42"/>
    </row>
    <row r="21" spans="1:30" ht="18.600000000000001" customHeight="1" x14ac:dyDescent="0.25">
      <c r="A21" s="47">
        <f>SUM(A19+1)</f>
        <v>15</v>
      </c>
      <c r="B21" s="225" t="s">
        <v>12</v>
      </c>
      <c r="C21" s="20">
        <v>6701.7</v>
      </c>
      <c r="D21" s="217">
        <v>9666.6666600000008</v>
      </c>
      <c r="E21" s="20">
        <v>0</v>
      </c>
      <c r="F21" s="218">
        <v>1333.3333333333333</v>
      </c>
      <c r="G21" s="226">
        <v>74</v>
      </c>
      <c r="H21" s="218">
        <v>333.33333333333331</v>
      </c>
      <c r="I21" s="226">
        <v>0</v>
      </c>
      <c r="J21" s="218"/>
      <c r="K21" s="20">
        <v>0</v>
      </c>
      <c r="L21" s="226"/>
      <c r="M21" s="250">
        <f t="shared" ref="M21:M27" si="15">K21+L21</f>
        <v>0</v>
      </c>
      <c r="N21" s="217">
        <v>3333.3333299999999</v>
      </c>
      <c r="O21" s="20">
        <v>375</v>
      </c>
      <c r="P21" s="226">
        <v>1785.25</v>
      </c>
      <c r="Q21" s="250">
        <f t="shared" ref="Q21:Q27" si="16">O21+P21</f>
        <v>2160.25</v>
      </c>
      <c r="R21" s="217">
        <v>2000</v>
      </c>
      <c r="S21" s="20">
        <v>5155.3999999999996</v>
      </c>
      <c r="T21" s="217">
        <v>5433.333333333333</v>
      </c>
      <c r="U21" s="219">
        <f t="shared" ref="U21:U27" si="17">C21+E21+G21+I21+M21+Q21+S21</f>
        <v>14091.35</v>
      </c>
      <c r="V21" s="220">
        <f t="shared" ref="V21:V27" si="18">D21+F21+H21+J21+N21+R21+T21</f>
        <v>22099.99999</v>
      </c>
      <c r="W21" s="20">
        <v>0</v>
      </c>
      <c r="X21" s="217">
        <v>66.666659999999993</v>
      </c>
      <c r="Y21" s="109">
        <f t="shared" ref="Y21:Z27" si="19">SUM(U21+W21)</f>
        <v>14091.35</v>
      </c>
      <c r="Z21" s="110">
        <f t="shared" si="19"/>
        <v>22166.666649999999</v>
      </c>
      <c r="AA21" s="50" t="s">
        <v>146</v>
      </c>
      <c r="AB21" s="51">
        <v>18</v>
      </c>
      <c r="AC21" s="228" t="s">
        <v>7</v>
      </c>
      <c r="AD21" s="229"/>
    </row>
    <row r="22" spans="1:30" ht="18.600000000000001" customHeight="1" x14ac:dyDescent="0.25">
      <c r="A22" s="47">
        <f t="shared" ref="A22:A27" si="20">SUM(A21+1)</f>
        <v>16</v>
      </c>
      <c r="B22" s="15" t="s">
        <v>13</v>
      </c>
      <c r="C22" s="16">
        <v>6397.2</v>
      </c>
      <c r="D22" s="17">
        <v>9666.6666600000008</v>
      </c>
      <c r="E22" s="16">
        <v>0</v>
      </c>
      <c r="F22" s="18">
        <v>1333.3333333333333</v>
      </c>
      <c r="G22" s="19">
        <v>19</v>
      </c>
      <c r="H22" s="18">
        <v>333.33333333333331</v>
      </c>
      <c r="I22" s="226">
        <v>0</v>
      </c>
      <c r="J22" s="18"/>
      <c r="K22" s="16">
        <v>836</v>
      </c>
      <c r="L22" s="19"/>
      <c r="M22" s="238">
        <f t="shared" si="15"/>
        <v>836</v>
      </c>
      <c r="N22" s="17">
        <v>3333.3333299999999</v>
      </c>
      <c r="O22" s="16">
        <v>1310.3</v>
      </c>
      <c r="P22" s="19">
        <v>5317.25</v>
      </c>
      <c r="Q22" s="238">
        <f t="shared" si="16"/>
        <v>6627.55</v>
      </c>
      <c r="R22" s="17">
        <v>2000</v>
      </c>
      <c r="S22" s="16">
        <v>7522.6</v>
      </c>
      <c r="T22" s="17">
        <v>5433.333333333333</v>
      </c>
      <c r="U22" s="91">
        <f t="shared" si="17"/>
        <v>21402.35</v>
      </c>
      <c r="V22" s="89">
        <f t="shared" si="18"/>
        <v>22099.99999</v>
      </c>
      <c r="W22" s="20">
        <v>0</v>
      </c>
      <c r="X22" s="17">
        <v>66.666659999999993</v>
      </c>
      <c r="Y22" s="109">
        <f t="shared" si="19"/>
        <v>21402.35</v>
      </c>
      <c r="Z22" s="110">
        <f t="shared" si="19"/>
        <v>22166.666649999999</v>
      </c>
      <c r="AA22" s="45" t="s">
        <v>79</v>
      </c>
      <c r="AB22" s="51">
        <v>11</v>
      </c>
      <c r="AC22" s="21" t="s">
        <v>7</v>
      </c>
      <c r="AD22" s="22"/>
    </row>
    <row r="23" spans="1:30" ht="18.600000000000001" customHeight="1" x14ac:dyDescent="0.25">
      <c r="A23" s="47">
        <f t="shared" si="20"/>
        <v>17</v>
      </c>
      <c r="B23" s="15" t="s">
        <v>14</v>
      </c>
      <c r="C23" s="16">
        <v>5245.1</v>
      </c>
      <c r="D23" s="17">
        <v>9666.6666600000008</v>
      </c>
      <c r="E23" s="16">
        <v>0</v>
      </c>
      <c r="F23" s="18">
        <v>1333.3333333333333</v>
      </c>
      <c r="G23" s="19">
        <v>0</v>
      </c>
      <c r="H23" s="18">
        <v>333.33333333333331</v>
      </c>
      <c r="I23" s="226">
        <v>0</v>
      </c>
      <c r="J23" s="18"/>
      <c r="K23" s="16">
        <v>0</v>
      </c>
      <c r="L23" s="19"/>
      <c r="M23" s="238">
        <f t="shared" si="15"/>
        <v>0</v>
      </c>
      <c r="N23" s="17">
        <v>3333.3333299999999</v>
      </c>
      <c r="O23" s="16">
        <v>2811</v>
      </c>
      <c r="P23" s="19">
        <v>8259</v>
      </c>
      <c r="Q23" s="238">
        <f t="shared" si="16"/>
        <v>11070</v>
      </c>
      <c r="R23" s="17">
        <v>2000</v>
      </c>
      <c r="S23" s="16">
        <v>7523.2</v>
      </c>
      <c r="T23" s="17">
        <v>5433.333333333333</v>
      </c>
      <c r="U23" s="91">
        <f t="shared" si="17"/>
        <v>23838.3</v>
      </c>
      <c r="V23" s="89">
        <f t="shared" si="18"/>
        <v>22099.99999</v>
      </c>
      <c r="W23" s="20">
        <v>0</v>
      </c>
      <c r="X23" s="17">
        <v>66.666659999999993</v>
      </c>
      <c r="Y23" s="109">
        <f t="shared" si="19"/>
        <v>23838.3</v>
      </c>
      <c r="Z23" s="110">
        <f t="shared" si="19"/>
        <v>22166.666649999999</v>
      </c>
      <c r="AA23" s="45" t="s">
        <v>148</v>
      </c>
      <c r="AB23" s="51">
        <v>8</v>
      </c>
      <c r="AC23" s="21" t="s">
        <v>7</v>
      </c>
      <c r="AD23" s="22"/>
    </row>
    <row r="24" spans="1:30" ht="18.600000000000001" customHeight="1" x14ac:dyDescent="0.25">
      <c r="A24" s="47">
        <f t="shared" si="20"/>
        <v>18</v>
      </c>
      <c r="B24" s="15" t="s">
        <v>15</v>
      </c>
      <c r="C24" s="16">
        <v>5984.3</v>
      </c>
      <c r="D24" s="17">
        <v>9666.6666600000008</v>
      </c>
      <c r="E24" s="16">
        <v>0</v>
      </c>
      <c r="F24" s="18">
        <v>1333.3333333333333</v>
      </c>
      <c r="G24" s="19">
        <v>0</v>
      </c>
      <c r="H24" s="18">
        <v>333.33333333333331</v>
      </c>
      <c r="I24" s="226">
        <v>0</v>
      </c>
      <c r="J24" s="18"/>
      <c r="K24" s="16">
        <v>455</v>
      </c>
      <c r="L24" s="19"/>
      <c r="M24" s="238">
        <f t="shared" si="15"/>
        <v>455</v>
      </c>
      <c r="N24" s="17">
        <v>3333.3333299999999</v>
      </c>
      <c r="O24" s="16">
        <v>2221.6</v>
      </c>
      <c r="P24" s="19">
        <v>6958</v>
      </c>
      <c r="Q24" s="238">
        <f t="shared" si="16"/>
        <v>9179.6</v>
      </c>
      <c r="R24" s="17">
        <v>2000</v>
      </c>
      <c r="S24" s="16">
        <v>5042.7</v>
      </c>
      <c r="T24" s="17">
        <v>5433.333333333333</v>
      </c>
      <c r="U24" s="91">
        <f t="shared" si="17"/>
        <v>20661.600000000002</v>
      </c>
      <c r="V24" s="89">
        <f t="shared" si="18"/>
        <v>22099.99999</v>
      </c>
      <c r="W24" s="20">
        <v>0</v>
      </c>
      <c r="X24" s="17">
        <v>66.666659999999993</v>
      </c>
      <c r="Y24" s="109">
        <f t="shared" si="19"/>
        <v>20661.600000000002</v>
      </c>
      <c r="Z24" s="110">
        <f t="shared" si="19"/>
        <v>22166.666649999999</v>
      </c>
      <c r="AA24" s="45" t="s">
        <v>147</v>
      </c>
      <c r="AB24" s="51">
        <v>5</v>
      </c>
      <c r="AC24" s="21" t="s">
        <v>7</v>
      </c>
      <c r="AD24" s="22"/>
    </row>
    <row r="25" spans="1:30" ht="18.600000000000001" customHeight="1" x14ac:dyDescent="0.25">
      <c r="A25" s="47">
        <f t="shared" si="20"/>
        <v>19</v>
      </c>
      <c r="B25" s="225" t="s">
        <v>6</v>
      </c>
      <c r="C25" s="20">
        <v>10494.3</v>
      </c>
      <c r="D25" s="217">
        <v>9666.6666600000008</v>
      </c>
      <c r="E25" s="20">
        <v>0</v>
      </c>
      <c r="F25" s="218">
        <v>1333.3333333333333</v>
      </c>
      <c r="G25" s="226">
        <v>0</v>
      </c>
      <c r="H25" s="218">
        <v>333.33333333333331</v>
      </c>
      <c r="I25" s="226">
        <v>0</v>
      </c>
      <c r="J25" s="218"/>
      <c r="K25" s="20">
        <v>12863.7</v>
      </c>
      <c r="L25" s="226"/>
      <c r="M25" s="250">
        <f t="shared" si="15"/>
        <v>12863.7</v>
      </c>
      <c r="N25" s="217">
        <v>3333.3333299999999</v>
      </c>
      <c r="O25" s="20">
        <v>-183</v>
      </c>
      <c r="P25" s="226">
        <v>2484</v>
      </c>
      <c r="Q25" s="250">
        <f t="shared" si="16"/>
        <v>2301</v>
      </c>
      <c r="R25" s="217">
        <v>2000</v>
      </c>
      <c r="S25" s="16">
        <v>5837.8</v>
      </c>
      <c r="T25" s="217">
        <v>5433.333333333333</v>
      </c>
      <c r="U25" s="219">
        <f t="shared" si="17"/>
        <v>31496.799999999999</v>
      </c>
      <c r="V25" s="220">
        <f t="shared" si="18"/>
        <v>22099.99999</v>
      </c>
      <c r="W25" s="20">
        <v>0</v>
      </c>
      <c r="X25" s="217">
        <v>66.666659999999993</v>
      </c>
      <c r="Y25" s="109">
        <f t="shared" si="19"/>
        <v>31496.799999999999</v>
      </c>
      <c r="Z25" s="110">
        <f t="shared" si="19"/>
        <v>22166.666649999999</v>
      </c>
      <c r="AA25" s="50" t="s">
        <v>90</v>
      </c>
      <c r="AB25" s="51">
        <v>7</v>
      </c>
      <c r="AC25" s="228" t="s">
        <v>7</v>
      </c>
      <c r="AD25" s="229"/>
    </row>
    <row r="26" spans="1:30" ht="18.600000000000001" customHeight="1" x14ac:dyDescent="0.25">
      <c r="A26" s="23">
        <f t="shared" si="20"/>
        <v>20</v>
      </c>
      <c r="B26" s="24" t="s">
        <v>8</v>
      </c>
      <c r="C26" s="25">
        <v>14499.3</v>
      </c>
      <c r="D26" s="26">
        <v>9666.6666600000008</v>
      </c>
      <c r="E26" s="25">
        <v>0</v>
      </c>
      <c r="F26" s="27">
        <v>1333.3333333333333</v>
      </c>
      <c r="G26" s="28">
        <v>23.6</v>
      </c>
      <c r="H26" s="27">
        <v>333.33333333333331</v>
      </c>
      <c r="I26" s="28">
        <v>0</v>
      </c>
      <c r="J26" s="27"/>
      <c r="K26" s="25">
        <v>12735</v>
      </c>
      <c r="L26" s="28"/>
      <c r="M26" s="239">
        <f t="shared" si="15"/>
        <v>12735</v>
      </c>
      <c r="N26" s="26">
        <v>3333.3333299999999</v>
      </c>
      <c r="O26" s="25">
        <v>128</v>
      </c>
      <c r="P26" s="28">
        <v>0</v>
      </c>
      <c r="Q26" s="239">
        <f t="shared" si="16"/>
        <v>128</v>
      </c>
      <c r="R26" s="26">
        <v>2000</v>
      </c>
      <c r="S26" s="25">
        <v>8498.4</v>
      </c>
      <c r="T26" s="26">
        <v>5433.333333333333</v>
      </c>
      <c r="U26" s="183">
        <f t="shared" si="17"/>
        <v>35884.300000000003</v>
      </c>
      <c r="V26" s="90">
        <f t="shared" si="18"/>
        <v>22099.99999</v>
      </c>
      <c r="W26" s="20">
        <v>0</v>
      </c>
      <c r="X26" s="26">
        <v>66.666659999999993</v>
      </c>
      <c r="Y26" s="92">
        <f t="shared" si="19"/>
        <v>35884.300000000003</v>
      </c>
      <c r="Z26" s="94">
        <f t="shared" si="19"/>
        <v>22166.666649999999</v>
      </c>
      <c r="AA26" s="29" t="s">
        <v>88</v>
      </c>
      <c r="AB26" s="30">
        <v>5</v>
      </c>
      <c r="AC26" s="31" t="s">
        <v>7</v>
      </c>
      <c r="AD26" s="32"/>
    </row>
    <row r="27" spans="1:30" s="43" customFormat="1" ht="18.600000000000001" customHeight="1" x14ac:dyDescent="0.25">
      <c r="A27" s="23">
        <f t="shared" si="20"/>
        <v>21</v>
      </c>
      <c r="B27" s="24" t="s">
        <v>9</v>
      </c>
      <c r="C27" s="25">
        <v>16232.2</v>
      </c>
      <c r="D27" s="26">
        <v>9666.6666600000008</v>
      </c>
      <c r="E27" s="25">
        <v>0</v>
      </c>
      <c r="F27" s="27">
        <v>1333.3333333333333</v>
      </c>
      <c r="G27" s="28">
        <v>0</v>
      </c>
      <c r="H27" s="27">
        <v>333.33333333333331</v>
      </c>
      <c r="I27" s="28">
        <v>0</v>
      </c>
      <c r="J27" s="27"/>
      <c r="K27" s="25">
        <v>6367</v>
      </c>
      <c r="L27" s="28"/>
      <c r="M27" s="239">
        <f t="shared" si="15"/>
        <v>6367</v>
      </c>
      <c r="N27" s="26">
        <v>3333.3333299999999</v>
      </c>
      <c r="O27" s="25">
        <v>370</v>
      </c>
      <c r="P27" s="28">
        <v>0</v>
      </c>
      <c r="Q27" s="239">
        <f t="shared" si="16"/>
        <v>370</v>
      </c>
      <c r="R27" s="26">
        <v>2000</v>
      </c>
      <c r="S27" s="25">
        <v>6232.1</v>
      </c>
      <c r="T27" s="26">
        <v>5433.333333333333</v>
      </c>
      <c r="U27" s="183">
        <f t="shared" si="17"/>
        <v>29201.300000000003</v>
      </c>
      <c r="V27" s="90">
        <f t="shared" si="18"/>
        <v>22099.99999</v>
      </c>
      <c r="W27" s="25">
        <v>0</v>
      </c>
      <c r="X27" s="26">
        <v>66.666659999999993</v>
      </c>
      <c r="Y27" s="92">
        <f t="shared" si="19"/>
        <v>29201.300000000003</v>
      </c>
      <c r="Z27" s="94">
        <f t="shared" si="19"/>
        <v>22166.666649999999</v>
      </c>
      <c r="AA27" s="29" t="s">
        <v>147</v>
      </c>
      <c r="AB27" s="30">
        <v>4</v>
      </c>
      <c r="AC27" s="31" t="s">
        <v>7</v>
      </c>
      <c r="AD27" s="32"/>
    </row>
    <row r="28" spans="1:30" ht="18.600000000000001" customHeight="1" x14ac:dyDescent="0.25">
      <c r="A28" s="33" t="s">
        <v>10</v>
      </c>
      <c r="B28" s="34">
        <f>SUM(B20+1)</f>
        <v>16</v>
      </c>
      <c r="C28" s="35">
        <f t="shared" ref="C28:Z28" si="21">SUM(C21:C27)</f>
        <v>65554.099999999991</v>
      </c>
      <c r="D28" s="36">
        <f t="shared" si="21"/>
        <v>67666.666620000004</v>
      </c>
      <c r="E28" s="35">
        <f t="shared" si="21"/>
        <v>0</v>
      </c>
      <c r="F28" s="37">
        <f t="shared" si="21"/>
        <v>9333.3333333333321</v>
      </c>
      <c r="G28" s="38">
        <f t="shared" si="21"/>
        <v>116.6</v>
      </c>
      <c r="H28" s="37">
        <f t="shared" si="21"/>
        <v>2333.333333333333</v>
      </c>
      <c r="I28" s="38">
        <f>SUM(I21:I27)</f>
        <v>0</v>
      </c>
      <c r="J28" s="37">
        <f>SUM(J21:J27)</f>
        <v>0</v>
      </c>
      <c r="K28" s="35">
        <f t="shared" si="21"/>
        <v>33256.699999999997</v>
      </c>
      <c r="L28" s="38">
        <f t="shared" si="21"/>
        <v>0</v>
      </c>
      <c r="M28" s="297">
        <f>SUM(M21:M27)</f>
        <v>33256.699999999997</v>
      </c>
      <c r="N28" s="36">
        <f t="shared" si="21"/>
        <v>23333.333310000002</v>
      </c>
      <c r="O28" s="35">
        <f t="shared" si="21"/>
        <v>7032.9</v>
      </c>
      <c r="P28" s="38">
        <f t="shared" si="21"/>
        <v>24803.5</v>
      </c>
      <c r="Q28" s="82">
        <f t="shared" si="21"/>
        <v>31836.400000000001</v>
      </c>
      <c r="R28" s="36">
        <f t="shared" si="21"/>
        <v>14000</v>
      </c>
      <c r="S28" s="35">
        <f t="shared" si="21"/>
        <v>45812.2</v>
      </c>
      <c r="T28" s="36">
        <f t="shared" si="21"/>
        <v>38033.333333333328</v>
      </c>
      <c r="U28" s="35">
        <f t="shared" si="21"/>
        <v>176576</v>
      </c>
      <c r="V28" s="36">
        <f t="shared" si="21"/>
        <v>154699.99993000002</v>
      </c>
      <c r="W28" s="35">
        <f t="shared" si="21"/>
        <v>0</v>
      </c>
      <c r="X28" s="36">
        <f t="shared" si="21"/>
        <v>466.66661999999991</v>
      </c>
      <c r="Y28" s="35">
        <f t="shared" si="21"/>
        <v>176576</v>
      </c>
      <c r="Z28" s="36">
        <f t="shared" si="21"/>
        <v>155166.66654999999</v>
      </c>
      <c r="AA28" s="39" t="s">
        <v>11</v>
      </c>
      <c r="AB28" s="40">
        <f>SUM(AB21:AB27)/7</f>
        <v>8.2857142857142865</v>
      </c>
      <c r="AC28" s="41" t="s">
        <v>7</v>
      </c>
      <c r="AD28" s="42"/>
    </row>
    <row r="29" spans="1:30" ht="18.600000000000001" customHeight="1" x14ac:dyDescent="0.25">
      <c r="A29" s="47">
        <f>SUM(A27+1)</f>
        <v>22</v>
      </c>
      <c r="B29" s="225" t="s">
        <v>12</v>
      </c>
      <c r="C29" s="20">
        <v>5031</v>
      </c>
      <c r="D29" s="217">
        <v>9666.6666600000008</v>
      </c>
      <c r="E29" s="20">
        <v>0</v>
      </c>
      <c r="F29" s="218">
        <v>1333.3333333333333</v>
      </c>
      <c r="G29" s="226">
        <v>0</v>
      </c>
      <c r="H29" s="218">
        <v>333.33333333333331</v>
      </c>
      <c r="I29" s="226">
        <v>0</v>
      </c>
      <c r="J29" s="218"/>
      <c r="K29" s="20">
        <v>660</v>
      </c>
      <c r="L29" s="226"/>
      <c r="M29" s="250">
        <f t="shared" ref="M29:M35" si="22">K29+L29</f>
        <v>660</v>
      </c>
      <c r="N29" s="217">
        <v>3333.3333299999999</v>
      </c>
      <c r="O29" s="20">
        <v>2344.6</v>
      </c>
      <c r="P29" s="226">
        <v>5326</v>
      </c>
      <c r="Q29" s="250">
        <f t="shared" ref="Q29:Q35" si="23">O29+P29</f>
        <v>7670.6</v>
      </c>
      <c r="R29" s="217">
        <v>2000</v>
      </c>
      <c r="S29" s="20">
        <v>5664.6</v>
      </c>
      <c r="T29" s="217">
        <v>5433.333333333333</v>
      </c>
      <c r="U29" s="219">
        <f t="shared" ref="U29:U35" si="24">C29+E29+G29+I29+M29+Q29+S29</f>
        <v>19026.2</v>
      </c>
      <c r="V29" s="220">
        <f t="shared" ref="V29:V35" si="25">D29+F29+H29+J29+N29+R29+T29</f>
        <v>22099.99999</v>
      </c>
      <c r="W29" s="20">
        <v>0</v>
      </c>
      <c r="X29" s="217">
        <v>66.666659999999993</v>
      </c>
      <c r="Y29" s="109">
        <f t="shared" ref="Y29:Z35" si="26">SUM(U29+W29)</f>
        <v>19026.2</v>
      </c>
      <c r="Z29" s="110">
        <f t="shared" si="26"/>
        <v>22166.666649999999</v>
      </c>
      <c r="AA29" s="29" t="s">
        <v>150</v>
      </c>
      <c r="AB29" s="30">
        <v>4</v>
      </c>
      <c r="AC29" s="31" t="s">
        <v>7</v>
      </c>
      <c r="AD29" s="32"/>
    </row>
    <row r="30" spans="1:30" ht="18.600000000000001" customHeight="1" x14ac:dyDescent="0.25">
      <c r="A30" s="47">
        <f t="shared" ref="A30:A35" si="27">SUM(A29+1)</f>
        <v>23</v>
      </c>
      <c r="B30" s="15" t="s">
        <v>13</v>
      </c>
      <c r="C30" s="16">
        <v>7178.9</v>
      </c>
      <c r="D30" s="17">
        <v>9666.6666600000008</v>
      </c>
      <c r="E30" s="16">
        <v>0</v>
      </c>
      <c r="F30" s="18">
        <v>1333.3333333333333</v>
      </c>
      <c r="G30" s="19">
        <v>0</v>
      </c>
      <c r="H30" s="18">
        <v>333.33333333333331</v>
      </c>
      <c r="I30" s="226">
        <v>0</v>
      </c>
      <c r="J30" s="18"/>
      <c r="K30" s="16">
        <v>0</v>
      </c>
      <c r="L30" s="19"/>
      <c r="M30" s="238">
        <f t="shared" si="22"/>
        <v>0</v>
      </c>
      <c r="N30" s="17">
        <v>3333.3333299999999</v>
      </c>
      <c r="O30" s="16">
        <v>571.29999999999995</v>
      </c>
      <c r="P30" s="19">
        <v>6098</v>
      </c>
      <c r="Q30" s="238">
        <f t="shared" si="23"/>
        <v>6669.3</v>
      </c>
      <c r="R30" s="17">
        <v>2000</v>
      </c>
      <c r="S30" s="16">
        <v>5418.6</v>
      </c>
      <c r="T30" s="17">
        <v>5433.333333333333</v>
      </c>
      <c r="U30" s="91">
        <f t="shared" si="24"/>
        <v>19266.800000000003</v>
      </c>
      <c r="V30" s="89">
        <f t="shared" si="25"/>
        <v>22099.99999</v>
      </c>
      <c r="W30" s="20">
        <v>0</v>
      </c>
      <c r="X30" s="17">
        <v>66.666659999999993</v>
      </c>
      <c r="Y30" s="109">
        <f t="shared" si="26"/>
        <v>19266.800000000003</v>
      </c>
      <c r="Z30" s="110">
        <f t="shared" si="26"/>
        <v>22166.666649999999</v>
      </c>
      <c r="AA30" s="45" t="s">
        <v>149</v>
      </c>
      <c r="AB30" s="51">
        <v>5</v>
      </c>
      <c r="AC30" s="21" t="s">
        <v>7</v>
      </c>
      <c r="AD30" s="22"/>
    </row>
    <row r="31" spans="1:30" ht="18.600000000000001" customHeight="1" x14ac:dyDescent="0.25">
      <c r="A31" s="47">
        <f t="shared" si="27"/>
        <v>24</v>
      </c>
      <c r="B31" s="15" t="s">
        <v>14</v>
      </c>
      <c r="C31" s="16">
        <v>6169.9</v>
      </c>
      <c r="D31" s="17">
        <v>9666.6666600000008</v>
      </c>
      <c r="E31" s="16">
        <v>0</v>
      </c>
      <c r="F31" s="18">
        <v>1333.3333333333333</v>
      </c>
      <c r="G31" s="19">
        <v>0</v>
      </c>
      <c r="H31" s="18">
        <v>333.33333333333331</v>
      </c>
      <c r="I31" s="226">
        <v>0</v>
      </c>
      <c r="J31" s="18"/>
      <c r="K31" s="16">
        <v>0</v>
      </c>
      <c r="L31" s="19"/>
      <c r="M31" s="238">
        <f t="shared" si="22"/>
        <v>0</v>
      </c>
      <c r="N31" s="17">
        <v>3333.3333299999999</v>
      </c>
      <c r="O31" s="16">
        <v>737</v>
      </c>
      <c r="P31" s="19">
        <v>8100</v>
      </c>
      <c r="Q31" s="238">
        <f t="shared" si="23"/>
        <v>8837</v>
      </c>
      <c r="R31" s="17">
        <v>2000</v>
      </c>
      <c r="S31" s="16">
        <v>4776.1000000000004</v>
      </c>
      <c r="T31" s="17">
        <v>5433.333333333333</v>
      </c>
      <c r="U31" s="91">
        <f t="shared" si="24"/>
        <v>19783</v>
      </c>
      <c r="V31" s="89">
        <f t="shared" si="25"/>
        <v>22099.99999</v>
      </c>
      <c r="W31" s="20">
        <v>0</v>
      </c>
      <c r="X31" s="17">
        <v>66.666659999999993</v>
      </c>
      <c r="Y31" s="109">
        <f t="shared" si="26"/>
        <v>19783</v>
      </c>
      <c r="Z31" s="110">
        <f t="shared" si="26"/>
        <v>22166.666649999999</v>
      </c>
      <c r="AA31" s="45" t="s">
        <v>151</v>
      </c>
      <c r="AB31" s="51">
        <v>7</v>
      </c>
      <c r="AC31" s="21" t="s">
        <v>7</v>
      </c>
      <c r="AD31" s="22"/>
    </row>
    <row r="32" spans="1:30" ht="18.600000000000001" customHeight="1" x14ac:dyDescent="0.25">
      <c r="A32" s="47">
        <f t="shared" si="27"/>
        <v>25</v>
      </c>
      <c r="B32" s="15" t="s">
        <v>15</v>
      </c>
      <c r="C32" s="16">
        <v>7551.6</v>
      </c>
      <c r="D32" s="17">
        <v>9666.6666600000008</v>
      </c>
      <c r="E32" s="16">
        <v>0</v>
      </c>
      <c r="F32" s="18">
        <v>1333.3333333333333</v>
      </c>
      <c r="G32" s="19">
        <v>0</v>
      </c>
      <c r="H32" s="18">
        <v>333.33333333333331</v>
      </c>
      <c r="I32" s="226">
        <v>0</v>
      </c>
      <c r="J32" s="18"/>
      <c r="K32" s="16">
        <v>0</v>
      </c>
      <c r="L32" s="19"/>
      <c r="M32" s="238">
        <f t="shared" si="22"/>
        <v>0</v>
      </c>
      <c r="N32" s="17">
        <v>3333.3333299999999</v>
      </c>
      <c r="O32" s="16">
        <v>2501</v>
      </c>
      <c r="P32" s="226">
        <v>4003</v>
      </c>
      <c r="Q32" s="238">
        <f t="shared" si="23"/>
        <v>6504</v>
      </c>
      <c r="R32" s="17">
        <v>2000</v>
      </c>
      <c r="S32" s="16">
        <v>3366.9</v>
      </c>
      <c r="T32" s="17">
        <v>5433.333333333333</v>
      </c>
      <c r="U32" s="91">
        <f t="shared" si="24"/>
        <v>17422.5</v>
      </c>
      <c r="V32" s="89">
        <f t="shared" si="25"/>
        <v>22099.99999</v>
      </c>
      <c r="W32" s="20">
        <v>0</v>
      </c>
      <c r="X32" s="17">
        <v>66.666659999999993</v>
      </c>
      <c r="Y32" s="109">
        <f t="shared" si="26"/>
        <v>17422.5</v>
      </c>
      <c r="Z32" s="110">
        <f t="shared" si="26"/>
        <v>22166.666649999999</v>
      </c>
      <c r="AA32" s="45" t="s">
        <v>81</v>
      </c>
      <c r="AB32" s="51">
        <v>10</v>
      </c>
      <c r="AC32" s="21" t="s">
        <v>7</v>
      </c>
      <c r="AD32" s="22"/>
    </row>
    <row r="33" spans="1:30" ht="18.600000000000001" customHeight="1" x14ac:dyDescent="0.25">
      <c r="A33" s="47">
        <f t="shared" si="27"/>
        <v>26</v>
      </c>
      <c r="B33" s="15" t="s">
        <v>6</v>
      </c>
      <c r="C33" s="16">
        <v>9580</v>
      </c>
      <c r="D33" s="17">
        <v>9666.6666600000008</v>
      </c>
      <c r="E33" s="16">
        <v>320.3</v>
      </c>
      <c r="F33" s="18">
        <v>1333.3333333333333</v>
      </c>
      <c r="G33" s="19">
        <v>248</v>
      </c>
      <c r="H33" s="18">
        <v>333.33333333333331</v>
      </c>
      <c r="I33" s="226">
        <v>0</v>
      </c>
      <c r="J33" s="18"/>
      <c r="K33" s="16">
        <v>4304.8999999999996</v>
      </c>
      <c r="L33" s="19"/>
      <c r="M33" s="238">
        <f t="shared" si="22"/>
        <v>4304.8999999999996</v>
      </c>
      <c r="N33" s="17">
        <v>3333.3333299999999</v>
      </c>
      <c r="O33" s="16">
        <v>390.9</v>
      </c>
      <c r="P33" s="19">
        <v>580</v>
      </c>
      <c r="Q33" s="238">
        <f t="shared" si="23"/>
        <v>970.9</v>
      </c>
      <c r="R33" s="17">
        <v>2000</v>
      </c>
      <c r="S33" s="16">
        <v>3831.8</v>
      </c>
      <c r="T33" s="17">
        <v>5433.333333333333</v>
      </c>
      <c r="U33" s="91">
        <f t="shared" si="24"/>
        <v>19255.899999999998</v>
      </c>
      <c r="V33" s="89">
        <f t="shared" si="25"/>
        <v>22099.99999</v>
      </c>
      <c r="W33" s="20">
        <v>0</v>
      </c>
      <c r="X33" s="17">
        <v>66.666659999999993</v>
      </c>
      <c r="Y33" s="109">
        <f t="shared" si="26"/>
        <v>19255.899999999998</v>
      </c>
      <c r="Z33" s="110">
        <f t="shared" si="26"/>
        <v>22166.666649999999</v>
      </c>
      <c r="AA33" s="45" t="s">
        <v>81</v>
      </c>
      <c r="AB33" s="51">
        <v>13</v>
      </c>
      <c r="AC33" s="21" t="s">
        <v>7</v>
      </c>
      <c r="AD33" s="22"/>
    </row>
    <row r="34" spans="1:30" ht="18.600000000000001" customHeight="1" x14ac:dyDescent="0.25">
      <c r="A34" s="23">
        <f t="shared" si="27"/>
        <v>27</v>
      </c>
      <c r="B34" s="24" t="s">
        <v>8</v>
      </c>
      <c r="C34" s="25">
        <v>17342.3</v>
      </c>
      <c r="D34" s="26">
        <v>9666.6666600000008</v>
      </c>
      <c r="E34" s="25">
        <v>4762.1000000000004</v>
      </c>
      <c r="F34" s="27">
        <v>1333.3333333333333</v>
      </c>
      <c r="G34" s="28">
        <v>947.2</v>
      </c>
      <c r="H34" s="27">
        <v>333.33333333333331</v>
      </c>
      <c r="I34" s="28">
        <v>0</v>
      </c>
      <c r="J34" s="27"/>
      <c r="K34" s="25">
        <v>17155.3</v>
      </c>
      <c r="L34" s="28"/>
      <c r="M34" s="239">
        <f t="shared" si="22"/>
        <v>17155.3</v>
      </c>
      <c r="N34" s="26">
        <v>3333.3333299999999</v>
      </c>
      <c r="O34" s="25">
        <v>0</v>
      </c>
      <c r="P34" s="28">
        <v>0</v>
      </c>
      <c r="Q34" s="239">
        <f t="shared" si="23"/>
        <v>0</v>
      </c>
      <c r="R34" s="26">
        <v>2000</v>
      </c>
      <c r="S34" s="25">
        <v>8322.4</v>
      </c>
      <c r="T34" s="26">
        <v>5433.333333333333</v>
      </c>
      <c r="U34" s="183">
        <f t="shared" si="24"/>
        <v>48529.3</v>
      </c>
      <c r="V34" s="90">
        <f t="shared" si="25"/>
        <v>22099.99999</v>
      </c>
      <c r="W34" s="25">
        <v>0</v>
      </c>
      <c r="X34" s="26">
        <v>66.666659999999993</v>
      </c>
      <c r="Y34" s="92">
        <f t="shared" si="26"/>
        <v>48529.3</v>
      </c>
      <c r="Z34" s="94">
        <f t="shared" si="26"/>
        <v>22166.666649999999</v>
      </c>
      <c r="AA34" s="29" t="s">
        <v>58</v>
      </c>
      <c r="AB34" s="30">
        <v>18</v>
      </c>
      <c r="AC34" s="31" t="s">
        <v>7</v>
      </c>
      <c r="AD34" s="32"/>
    </row>
    <row r="35" spans="1:30" s="43" customFormat="1" ht="18.600000000000001" customHeight="1" x14ac:dyDescent="0.25">
      <c r="A35" s="23">
        <f t="shared" si="27"/>
        <v>28</v>
      </c>
      <c r="B35" s="24" t="s">
        <v>9</v>
      </c>
      <c r="C35" s="25">
        <v>18598</v>
      </c>
      <c r="D35" s="26">
        <v>9666.6666600000008</v>
      </c>
      <c r="E35" s="25">
        <v>1272.3</v>
      </c>
      <c r="F35" s="27">
        <v>1333.3333333333333</v>
      </c>
      <c r="G35" s="28">
        <v>580.1</v>
      </c>
      <c r="H35" s="27">
        <v>333.33333333333331</v>
      </c>
      <c r="I35" s="28">
        <v>0</v>
      </c>
      <c r="J35" s="27"/>
      <c r="K35" s="25">
        <v>5597.2</v>
      </c>
      <c r="L35" s="28"/>
      <c r="M35" s="239">
        <f t="shared" si="22"/>
        <v>5597.2</v>
      </c>
      <c r="N35" s="26">
        <v>3333.3333299999999</v>
      </c>
      <c r="O35" s="25">
        <v>1900</v>
      </c>
      <c r="P35" s="28">
        <v>0</v>
      </c>
      <c r="Q35" s="239">
        <f t="shared" si="23"/>
        <v>1900</v>
      </c>
      <c r="R35" s="26">
        <v>2000</v>
      </c>
      <c r="S35" s="25">
        <v>2214.1</v>
      </c>
      <c r="T35" s="26">
        <v>5433.333333333333</v>
      </c>
      <c r="U35" s="183">
        <f t="shared" si="24"/>
        <v>30161.699999999997</v>
      </c>
      <c r="V35" s="90">
        <f t="shared" si="25"/>
        <v>22099.99999</v>
      </c>
      <c r="W35" s="25">
        <v>0</v>
      </c>
      <c r="X35" s="26">
        <v>66.666659999999993</v>
      </c>
      <c r="Y35" s="92">
        <f t="shared" si="26"/>
        <v>30161.699999999997</v>
      </c>
      <c r="Z35" s="94">
        <f t="shared" si="26"/>
        <v>22166.666649999999</v>
      </c>
      <c r="AA35" s="29" t="s">
        <v>60</v>
      </c>
      <c r="AB35" s="30">
        <v>13</v>
      </c>
      <c r="AC35" s="31" t="s">
        <v>7</v>
      </c>
      <c r="AD35" s="32"/>
    </row>
    <row r="36" spans="1:30" ht="18.600000000000001" customHeight="1" x14ac:dyDescent="0.25">
      <c r="A36" s="33" t="s">
        <v>10</v>
      </c>
      <c r="B36" s="34">
        <f>SUM(B28+1)</f>
        <v>17</v>
      </c>
      <c r="C36" s="35">
        <f t="shared" ref="C36:Z36" si="28">SUM(C29:C35)</f>
        <v>71451.7</v>
      </c>
      <c r="D36" s="36">
        <f t="shared" si="28"/>
        <v>67666.666620000004</v>
      </c>
      <c r="E36" s="35">
        <f t="shared" si="28"/>
        <v>6354.7000000000007</v>
      </c>
      <c r="F36" s="37">
        <f t="shared" si="28"/>
        <v>9333.3333333333321</v>
      </c>
      <c r="G36" s="38">
        <f t="shared" si="28"/>
        <v>1775.3000000000002</v>
      </c>
      <c r="H36" s="37">
        <f t="shared" si="28"/>
        <v>2333.333333333333</v>
      </c>
      <c r="I36" s="38">
        <f>SUM(I29:I35)</f>
        <v>0</v>
      </c>
      <c r="J36" s="37">
        <f>SUM(J29:J35)</f>
        <v>0</v>
      </c>
      <c r="K36" s="35">
        <f t="shared" si="28"/>
        <v>27717.399999999998</v>
      </c>
      <c r="L36" s="38">
        <f t="shared" si="28"/>
        <v>0</v>
      </c>
      <c r="M36" s="297">
        <f t="shared" si="28"/>
        <v>27717.399999999998</v>
      </c>
      <c r="N36" s="36">
        <f t="shared" si="28"/>
        <v>23333.333310000002</v>
      </c>
      <c r="O36" s="266">
        <f t="shared" si="28"/>
        <v>8444.7999999999993</v>
      </c>
      <c r="P36" s="290">
        <f t="shared" si="28"/>
        <v>24107</v>
      </c>
      <c r="Q36" s="38">
        <f t="shared" si="28"/>
        <v>32551.800000000003</v>
      </c>
      <c r="R36" s="36">
        <f t="shared" si="28"/>
        <v>14000</v>
      </c>
      <c r="S36" s="35">
        <f>SUM(S29:S35)</f>
        <v>33594.5</v>
      </c>
      <c r="T36" s="36">
        <f t="shared" si="28"/>
        <v>38033.333333333328</v>
      </c>
      <c r="U36" s="35">
        <f t="shared" si="28"/>
        <v>173445.40000000002</v>
      </c>
      <c r="V36" s="36">
        <f>SUM(V29:V35)</f>
        <v>154699.99993000002</v>
      </c>
      <c r="W36" s="35">
        <f t="shared" si="28"/>
        <v>0</v>
      </c>
      <c r="X36" s="36">
        <f t="shared" si="28"/>
        <v>466.66661999999991</v>
      </c>
      <c r="Y36" s="35">
        <f t="shared" si="28"/>
        <v>173445.40000000002</v>
      </c>
      <c r="Z36" s="36">
        <f t="shared" si="28"/>
        <v>155166.66654999999</v>
      </c>
      <c r="AA36" s="39" t="s">
        <v>11</v>
      </c>
      <c r="AB36" s="40">
        <f>SUM(AB29:AB35)/7</f>
        <v>10</v>
      </c>
      <c r="AC36" s="41" t="s">
        <v>7</v>
      </c>
      <c r="AD36" s="42"/>
    </row>
    <row r="37" spans="1:30" ht="18.600000000000001" customHeight="1" x14ac:dyDescent="0.25">
      <c r="A37" s="44">
        <f>SUM(A35+1)</f>
        <v>29</v>
      </c>
      <c r="B37" s="15" t="s">
        <v>12</v>
      </c>
      <c r="C37" s="16">
        <v>4812</v>
      </c>
      <c r="D37" s="17">
        <v>9666.6666600000008</v>
      </c>
      <c r="E37" s="16">
        <v>3127.5</v>
      </c>
      <c r="F37" s="18">
        <v>1333.3333333333333</v>
      </c>
      <c r="G37" s="19">
        <v>930.5</v>
      </c>
      <c r="H37" s="18">
        <v>333.33333333333331</v>
      </c>
      <c r="I37" s="19">
        <v>0</v>
      </c>
      <c r="J37" s="18"/>
      <c r="K37" s="16">
        <v>0</v>
      </c>
      <c r="L37" s="19"/>
      <c r="M37" s="238">
        <f t="shared" ref="M37:M38" si="29">K37+L37</f>
        <v>0</v>
      </c>
      <c r="N37" s="17">
        <v>3333.3333299999999</v>
      </c>
      <c r="O37" s="16">
        <v>608.79999999999995</v>
      </c>
      <c r="P37" s="19">
        <v>2495</v>
      </c>
      <c r="Q37" s="238">
        <f t="shared" ref="Q37:Q38" si="30">O37+P37</f>
        <v>3103.8</v>
      </c>
      <c r="R37" s="17">
        <v>2000</v>
      </c>
      <c r="S37" s="16">
        <v>3264.3</v>
      </c>
      <c r="T37" s="17">
        <v>5433.333333333333</v>
      </c>
      <c r="U37" s="91">
        <f t="shared" ref="U37:U38" si="31">C37+E37+G37+I37+M37+Q37+S37</f>
        <v>15238.099999999999</v>
      </c>
      <c r="V37" s="89">
        <f>D37+F37+H37+J37+N37+R37+T37</f>
        <v>22099.99999</v>
      </c>
      <c r="W37" s="16">
        <v>0</v>
      </c>
      <c r="X37" s="17">
        <v>66.666659999999993</v>
      </c>
      <c r="Y37" s="109">
        <f t="shared" ref="Y37:Z38" si="32">SUM(U37+W37)</f>
        <v>15238.099999999999</v>
      </c>
      <c r="Z37" s="110">
        <f t="shared" si="32"/>
        <v>22166.666649999999</v>
      </c>
      <c r="AA37" s="50" t="s">
        <v>57</v>
      </c>
      <c r="AB37" s="51">
        <v>19</v>
      </c>
      <c r="AC37" s="21" t="s">
        <v>7</v>
      </c>
      <c r="AD37" s="22"/>
    </row>
    <row r="38" spans="1:30" ht="18.600000000000001" customHeight="1" x14ac:dyDescent="0.25">
      <c r="A38" s="47">
        <f t="shared" ref="A38" si="33">SUM(A37+1)</f>
        <v>30</v>
      </c>
      <c r="B38" s="15" t="s">
        <v>13</v>
      </c>
      <c r="C38" s="16">
        <v>4486.3</v>
      </c>
      <c r="D38" s="17">
        <v>9666.6666600000008</v>
      </c>
      <c r="E38" s="16">
        <v>7472</v>
      </c>
      <c r="F38" s="18">
        <v>1333.3333333333333</v>
      </c>
      <c r="G38" s="19">
        <v>773</v>
      </c>
      <c r="H38" s="18">
        <v>333.33333333333331</v>
      </c>
      <c r="I38" s="19">
        <v>0</v>
      </c>
      <c r="J38" s="18"/>
      <c r="K38" s="16">
        <v>3772</v>
      </c>
      <c r="L38" s="19"/>
      <c r="M38" s="238">
        <f t="shared" si="29"/>
        <v>3772</v>
      </c>
      <c r="N38" s="17">
        <v>3333.3333299999999</v>
      </c>
      <c r="O38" s="16">
        <v>-1810</v>
      </c>
      <c r="P38" s="19">
        <v>2504</v>
      </c>
      <c r="Q38" s="238">
        <f t="shared" si="30"/>
        <v>694</v>
      </c>
      <c r="R38" s="17">
        <v>2000</v>
      </c>
      <c r="S38" s="16">
        <v>4207.8999999999996</v>
      </c>
      <c r="T38" s="17">
        <v>5433.333333333333</v>
      </c>
      <c r="U38" s="91">
        <f t="shared" si="31"/>
        <v>21405.199999999997</v>
      </c>
      <c r="V38" s="89">
        <f>D38+F38+H38+J38+N38+R38+T38</f>
        <v>22099.99999</v>
      </c>
      <c r="W38" s="16">
        <v>0</v>
      </c>
      <c r="X38" s="17">
        <v>66.666659999999993</v>
      </c>
      <c r="Y38" s="109">
        <f t="shared" si="32"/>
        <v>21405.199999999997</v>
      </c>
      <c r="Z38" s="110">
        <f t="shared" si="32"/>
        <v>22166.666649999999</v>
      </c>
      <c r="AA38" s="45" t="s">
        <v>82</v>
      </c>
      <c r="AB38" s="51">
        <v>23</v>
      </c>
      <c r="AC38" s="21" t="s">
        <v>7</v>
      </c>
      <c r="AD38" s="22"/>
    </row>
    <row r="39" spans="1:30" ht="18.600000000000001" customHeight="1" thickBot="1" x14ac:dyDescent="0.3">
      <c r="A39" s="33" t="s">
        <v>10</v>
      </c>
      <c r="B39" s="34">
        <f>SUM(B36+1)</f>
        <v>18</v>
      </c>
      <c r="C39" s="35">
        <f t="shared" ref="C39:Z39" si="34">SUM(C37:C38)</f>
        <v>9298.2999999999993</v>
      </c>
      <c r="D39" s="36">
        <f t="shared" si="34"/>
        <v>19333.333320000002</v>
      </c>
      <c r="E39" s="35">
        <f t="shared" si="34"/>
        <v>10599.5</v>
      </c>
      <c r="F39" s="37">
        <f t="shared" si="34"/>
        <v>2666.6666666666665</v>
      </c>
      <c r="G39" s="38">
        <f t="shared" si="34"/>
        <v>1703.5</v>
      </c>
      <c r="H39" s="37">
        <f t="shared" si="34"/>
        <v>666.66666666666663</v>
      </c>
      <c r="I39" s="38">
        <f t="shared" si="34"/>
        <v>0</v>
      </c>
      <c r="J39" s="37">
        <f t="shared" si="34"/>
        <v>0</v>
      </c>
      <c r="K39" s="35">
        <f t="shared" si="34"/>
        <v>3772</v>
      </c>
      <c r="L39" s="38">
        <f t="shared" si="34"/>
        <v>0</v>
      </c>
      <c r="M39" s="297">
        <f t="shared" si="34"/>
        <v>3772</v>
      </c>
      <c r="N39" s="36">
        <f t="shared" si="34"/>
        <v>6666.6666599999999</v>
      </c>
      <c r="O39" s="35">
        <f t="shared" si="34"/>
        <v>-1201.2</v>
      </c>
      <c r="P39" s="82">
        <f t="shared" si="34"/>
        <v>4999</v>
      </c>
      <c r="Q39" s="82">
        <f t="shared" si="34"/>
        <v>3797.8</v>
      </c>
      <c r="R39" s="36">
        <f t="shared" si="34"/>
        <v>4000</v>
      </c>
      <c r="S39" s="35">
        <f t="shared" si="34"/>
        <v>7472.2</v>
      </c>
      <c r="T39" s="36">
        <f t="shared" si="34"/>
        <v>10866.666666666666</v>
      </c>
      <c r="U39" s="35">
        <f>SUM(U37:U38)</f>
        <v>36643.299999999996</v>
      </c>
      <c r="V39" s="36">
        <f t="shared" si="34"/>
        <v>44199.999980000001</v>
      </c>
      <c r="W39" s="35">
        <f t="shared" si="34"/>
        <v>0</v>
      </c>
      <c r="X39" s="36">
        <f t="shared" si="34"/>
        <v>133.33331999999999</v>
      </c>
      <c r="Y39" s="35">
        <f t="shared" si="34"/>
        <v>36643.299999999996</v>
      </c>
      <c r="Z39" s="36">
        <f t="shared" si="34"/>
        <v>44333.333299999998</v>
      </c>
      <c r="AA39" s="39" t="s">
        <v>11</v>
      </c>
      <c r="AB39" s="40">
        <f>SUM(AB37:AB38)/5</f>
        <v>8.4</v>
      </c>
      <c r="AC39" s="41" t="s">
        <v>7</v>
      </c>
      <c r="AD39" s="289"/>
    </row>
    <row r="40" spans="1:30" ht="19.149999999999999" customHeight="1" x14ac:dyDescent="0.25">
      <c r="A40" s="175" t="s">
        <v>16</v>
      </c>
      <c r="B40" s="127"/>
      <c r="C40" s="115">
        <f t="shared" ref="C40:K40" si="35">SUM(C12+C20+C28+C36+C39)</f>
        <v>250780.05</v>
      </c>
      <c r="D40" s="116">
        <f t="shared" si="35"/>
        <v>289999.99979999999</v>
      </c>
      <c r="E40" s="115">
        <f t="shared" si="35"/>
        <v>93116.099999999991</v>
      </c>
      <c r="F40" s="116">
        <f t="shared" si="35"/>
        <v>39999.999999999993</v>
      </c>
      <c r="G40" s="115">
        <f t="shared" si="35"/>
        <v>12188.600000000002</v>
      </c>
      <c r="H40" s="116">
        <f t="shared" si="35"/>
        <v>9999.9999999999982</v>
      </c>
      <c r="I40" s="115">
        <f t="shared" si="35"/>
        <v>0</v>
      </c>
      <c r="J40" s="116">
        <f t="shared" si="35"/>
        <v>0</v>
      </c>
      <c r="K40" s="115">
        <f t="shared" si="35"/>
        <v>151952.4</v>
      </c>
      <c r="L40" s="244">
        <f t="shared" ref="L40:M40" si="36">SUM(L12+L20+L28+L36+L39)</f>
        <v>0</v>
      </c>
      <c r="M40" s="116">
        <f t="shared" si="36"/>
        <v>151952.4</v>
      </c>
      <c r="N40" s="116">
        <f t="shared" ref="N40:Z40" si="37">SUM(N12+N20+N28+N36+N39)</f>
        <v>99999.99990000001</v>
      </c>
      <c r="O40" s="115">
        <f t="shared" si="37"/>
        <v>20252.099999999999</v>
      </c>
      <c r="P40" s="116">
        <f t="shared" si="37"/>
        <v>70758.5</v>
      </c>
      <c r="Q40" s="116">
        <f t="shared" si="37"/>
        <v>91010.6</v>
      </c>
      <c r="R40" s="116">
        <f t="shared" si="37"/>
        <v>60000</v>
      </c>
      <c r="S40" s="115">
        <f t="shared" si="37"/>
        <v>159613.79999999999</v>
      </c>
      <c r="T40" s="116">
        <f t="shared" si="37"/>
        <v>162999.99999999997</v>
      </c>
      <c r="U40" s="115">
        <f t="shared" si="37"/>
        <v>758661.55</v>
      </c>
      <c r="V40" s="116">
        <f t="shared" si="37"/>
        <v>662999.99970000004</v>
      </c>
      <c r="W40" s="115">
        <f t="shared" si="37"/>
        <v>0</v>
      </c>
      <c r="X40" s="116">
        <f t="shared" si="37"/>
        <v>1999.9997999999996</v>
      </c>
      <c r="Y40" s="115">
        <f t="shared" si="37"/>
        <v>758661.55</v>
      </c>
      <c r="Z40" s="116">
        <f t="shared" si="37"/>
        <v>664999.99949999992</v>
      </c>
      <c r="AA40" s="126" t="s">
        <v>16</v>
      </c>
      <c r="AB40" s="101"/>
      <c r="AC40" s="102"/>
      <c r="AD40" s="103"/>
    </row>
    <row r="41" spans="1:30" ht="19.5" customHeight="1" thickBot="1" x14ac:dyDescent="0.3">
      <c r="A41" s="177" t="s">
        <v>28</v>
      </c>
      <c r="B41" s="178"/>
      <c r="C41" s="65">
        <f t="shared" ref="C41:Z41" si="38">C40/30</f>
        <v>8359.3349999999991</v>
      </c>
      <c r="D41" s="66">
        <f t="shared" si="38"/>
        <v>9666.666659999999</v>
      </c>
      <c r="E41" s="65">
        <f t="shared" si="38"/>
        <v>3103.87</v>
      </c>
      <c r="F41" s="66">
        <f t="shared" si="38"/>
        <v>1333.333333333333</v>
      </c>
      <c r="G41" s="65">
        <f t="shared" si="38"/>
        <v>406.28666666666675</v>
      </c>
      <c r="H41" s="66">
        <f t="shared" si="38"/>
        <v>333.33333333333326</v>
      </c>
      <c r="I41" s="65">
        <f>I40/30</f>
        <v>0</v>
      </c>
      <c r="J41" s="66">
        <f>J40/30</f>
        <v>0</v>
      </c>
      <c r="K41" s="65">
        <f t="shared" si="38"/>
        <v>5065.08</v>
      </c>
      <c r="L41" s="245">
        <f t="shared" si="38"/>
        <v>0</v>
      </c>
      <c r="M41" s="240">
        <f t="shared" si="38"/>
        <v>5065.08</v>
      </c>
      <c r="N41" s="66">
        <f t="shared" si="38"/>
        <v>3333.3333300000004</v>
      </c>
      <c r="O41" s="65">
        <f t="shared" si="38"/>
        <v>675.06999999999994</v>
      </c>
      <c r="P41" s="83"/>
      <c r="Q41" s="240"/>
      <c r="R41" s="66">
        <f t="shared" si="38"/>
        <v>2000</v>
      </c>
      <c r="S41" s="65">
        <f t="shared" si="38"/>
        <v>5320.46</v>
      </c>
      <c r="T41" s="66">
        <f t="shared" si="38"/>
        <v>5433.3333333333321</v>
      </c>
      <c r="U41" s="65">
        <f t="shared" si="38"/>
        <v>25288.718333333334</v>
      </c>
      <c r="V41" s="66">
        <f t="shared" si="38"/>
        <v>22099.99999</v>
      </c>
      <c r="W41" s="65">
        <f t="shared" si="38"/>
        <v>0</v>
      </c>
      <c r="X41" s="66">
        <f t="shared" si="38"/>
        <v>66.666659999999993</v>
      </c>
      <c r="Y41" s="65">
        <f t="shared" si="38"/>
        <v>25288.718333333334</v>
      </c>
      <c r="Z41" s="66">
        <f t="shared" si="38"/>
        <v>22166.666649999996</v>
      </c>
      <c r="AA41" s="176" t="s">
        <v>17</v>
      </c>
      <c r="AB41" s="98"/>
      <c r="AC41" s="99"/>
      <c r="AD41" s="100"/>
    </row>
    <row r="42" spans="1:30" ht="20.100000000000001" customHeight="1" x14ac:dyDescent="0.25">
      <c r="A42" s="72" t="s">
        <v>18</v>
      </c>
      <c r="B42" s="73"/>
      <c r="C42" s="74">
        <f>SUM(C40-D40)</f>
        <v>-39219.949800000002</v>
      </c>
      <c r="D42" s="75"/>
      <c r="E42" s="74">
        <f>SUM(E40-F40)</f>
        <v>53116.1</v>
      </c>
      <c r="F42" s="75"/>
      <c r="G42" s="74">
        <f>SUM(G40-H40)</f>
        <v>2188.600000000004</v>
      </c>
      <c r="H42" s="75"/>
      <c r="I42" s="74">
        <f>SUM(I40-J40)</f>
        <v>0</v>
      </c>
      <c r="J42" s="75"/>
      <c r="K42" s="74"/>
      <c r="L42" s="246"/>
      <c r="M42" s="241">
        <f>SUM(M40-N40)</f>
        <v>51952.400099999984</v>
      </c>
      <c r="N42" s="75"/>
      <c r="O42" s="74"/>
      <c r="P42" s="291"/>
      <c r="Q42" s="241">
        <f>SUM(Q40-R40)</f>
        <v>31010.600000000006</v>
      </c>
      <c r="R42" s="75"/>
      <c r="S42" s="74">
        <f>SUM(S40-T40)</f>
        <v>-3386.1999999999825</v>
      </c>
      <c r="T42" s="75"/>
      <c r="U42" s="96">
        <f>SUM(U40-V40)</f>
        <v>95661.550300000003</v>
      </c>
      <c r="V42" s="75"/>
      <c r="W42" s="74">
        <f>SUM(W40-X40)</f>
        <v>-1999.9997999999996</v>
      </c>
      <c r="X42" s="75"/>
      <c r="Y42" s="111">
        <f>SUM(Y40-Z40)</f>
        <v>93661.550500000129</v>
      </c>
      <c r="Z42" s="112"/>
      <c r="AC42" s="2"/>
      <c r="AD42" s="2"/>
    </row>
    <row r="43" spans="1:30" ht="20.100000000000001" customHeight="1" thickBot="1" x14ac:dyDescent="0.3">
      <c r="A43" s="76" t="s">
        <v>19</v>
      </c>
      <c r="B43" s="77"/>
      <c r="C43" s="95">
        <f>SUM(100/D40*C40)</f>
        <v>86.47587936998336</v>
      </c>
      <c r="D43" s="78"/>
      <c r="E43" s="95">
        <f>SUM(100/F40*E40)</f>
        <v>232.79025000000001</v>
      </c>
      <c r="F43" s="78"/>
      <c r="G43" s="95">
        <f>SUM(100/H40*G40)</f>
        <v>121.88600000000005</v>
      </c>
      <c r="H43" s="78"/>
      <c r="I43" s="95" t="e">
        <f>SUM(100/J40*I40)</f>
        <v>#DIV/0!</v>
      </c>
      <c r="J43" s="78"/>
      <c r="K43" s="95"/>
      <c r="L43" s="247"/>
      <c r="M43" s="242">
        <f>SUM(100/N40*M40)</f>
        <v>151.95240015195236</v>
      </c>
      <c r="N43" s="78"/>
      <c r="O43" s="95"/>
      <c r="P43" s="247"/>
      <c r="Q43" s="257">
        <f>SUM(100/R40*Q40)</f>
        <v>151.68433333333334</v>
      </c>
      <c r="R43" s="78"/>
      <c r="S43" s="95">
        <f>SUM(100/T40*S40)</f>
        <v>97.922576687116575</v>
      </c>
      <c r="T43" s="78"/>
      <c r="U43" s="97">
        <f>SUM(100/V40*U40)</f>
        <v>114.42858979536739</v>
      </c>
      <c r="V43" s="78"/>
      <c r="W43" s="95">
        <f>SUM(100/X40*W40)</f>
        <v>0</v>
      </c>
      <c r="X43" s="78"/>
      <c r="Y43" s="113">
        <f>SUM(100/Z40*Y40)</f>
        <v>114.08444369480036</v>
      </c>
      <c r="Z43" s="114"/>
      <c r="AC43" s="2"/>
      <c r="AD43" s="2"/>
    </row>
    <row r="44" spans="1:30" x14ac:dyDescent="0.25">
      <c r="P44" s="292"/>
      <c r="Q44" s="292"/>
    </row>
    <row r="45" spans="1:30" x14ac:dyDescent="0.25">
      <c r="A45" s="393"/>
      <c r="B45" s="230"/>
      <c r="C45" s="230"/>
      <c r="D45" s="230"/>
      <c r="E45" s="230"/>
      <c r="F45" s="230"/>
      <c r="G45" s="230"/>
      <c r="H45" s="360"/>
      <c r="I45" s="360"/>
      <c r="J45" s="36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</row>
    <row r="47" spans="1:30" x14ac:dyDescent="0.25">
      <c r="E47" s="221"/>
    </row>
    <row r="48" spans="1:30" x14ac:dyDescent="0.25">
      <c r="C48" s="221"/>
      <c r="D48" s="221"/>
      <c r="S48" s="221"/>
    </row>
  </sheetData>
  <customSheetViews>
    <customSheetView guid="{512075D7-6EE7-4EEF-842F-09AF15E6D8B5}" scale="80" showPageBreaks="1" fitToPage="1" printArea="1">
      <pane ySplit="4" topLeftCell="A5" activePane="bottomLeft" state="frozen"/>
      <selection pane="bottomLeft" activeCell="P45" sqref="P45"/>
      <pageMargins left="0.59055118110236227" right="0.59055118110236227" top="1.1811023622047245" bottom="0.59055118110236227" header="0.11811023622047245" footer="0.31496062992125984"/>
      <pageSetup paperSize="9" scale="38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>
      <pane ySplit="4" topLeftCell="A5" activePane="bottomLeft" state="frozen"/>
      <selection pane="bottomLeft" activeCell="P45" sqref="P45"/>
      <pageMargins left="0.59055118110236227" right="0.59055118110236227" top="1.1811023622047245" bottom="0.59055118110236227" header="0.11811023622047245" footer="0.31496062992125984"/>
      <pageSetup paperSize="9" scale="39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howPageBreaks="1" fitToPage="1" printArea="1" topLeftCell="K1">
      <pane ySplit="4" topLeftCell="A23" activePane="bottomLeft" state="frozen"/>
      <selection pane="bottomLeft" activeCell="U38" sqref="U38"/>
      <pageMargins left="0.59055118110236227" right="0.59055118110236227" top="1.1811023622047245" bottom="0.59055118110236227" header="0.11811023622047245" footer="0.31496062992125984"/>
      <pageSetup paperSize="9" scale="39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showPageBreaks="1" fitToPage="1" printArea="1">
      <pane ySplit="4" topLeftCell="A5" activePane="bottomLeft" state="frozen"/>
      <selection pane="bottomLeft" activeCell="C45" sqref="C45"/>
      <pageMargins left="0.59055118110236227" right="0.59055118110236227" top="1.1811023622047245" bottom="0.59055118110236227" header="0.11811023622047245" footer="0.31496062992125984"/>
      <pageSetup paperSize="9" scale="39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5" showPageBreaks="1" fitToPage="1" printArea="1">
      <pane ySplit="4" topLeftCell="A20" activePane="bottomLeft" state="frozen"/>
      <selection pane="bottomLeft" activeCell="P44" sqref="P44"/>
      <pageMargins left="0.59055118110236227" right="0.59055118110236227" top="1.1811023622047245" bottom="0.59055118110236227" header="0.11811023622047245" footer="0.31496062992125984"/>
      <pageSetup paperSize="9" scale="39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90" showPageBreaks="1" fitToPage="1" printArea="1">
      <pane ySplit="4" topLeftCell="A20" activePane="bottomLeft" state="frozen"/>
      <selection pane="bottomLeft" activeCell="U34" sqref="U34"/>
      <pageMargins left="0.59055118110236227" right="0.59055118110236227" top="1.1811023622047245" bottom="0.59055118110236227" header="0.11811023622047245" footer="0.31496062992125984"/>
      <pageSetup paperSize="9" scale="39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 topLeftCell="B1">
      <pane ySplit="4" topLeftCell="A8" activePane="bottomLeft" state="frozen"/>
      <selection pane="bottomLeft" activeCell="Z32" sqref="Z32"/>
      <pageMargins left="0.59055118110236227" right="0.59055118110236227" top="1.1811023622047245" bottom="0.59055118110236227" header="0.11811023622047245" footer="0.31496062992125984"/>
      <pageSetup paperSize="9" scale="43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20" activePane="bottomLeft" state="frozen"/>
      <selection pane="bottomLeft" activeCell="A41" sqref="A41:XFD41"/>
      <pageMargins left="0.59055118110236227" right="0.59055118110236227" top="1.1811023622047245" bottom="0.59055118110236227" header="0.11811023622047245" footer="0.31496062992125984"/>
      <pageSetup paperSize="9" scale="47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70" showPageBreaks="1" fitToPage="1" printArea="1" topLeftCell="I1">
      <pane ySplit="4" topLeftCell="A8" activePane="bottomLeft" state="frozen"/>
      <selection pane="bottomLeft" activeCell="Z32" sqref="Z32"/>
      <pageMargins left="0.59055118110236227" right="0.59055118110236227" top="1.1811023622047245" bottom="0.59055118110236227" header="0.11811023622047245" footer="0.31496062992125984"/>
      <pageSetup paperSize="9" scale="39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 topLeftCell="O1">
      <pane ySplit="4" topLeftCell="A20" activePane="bottomLeft" state="frozen"/>
      <selection pane="bottomLeft" activeCell="Y40" sqref="Y40"/>
      <pageMargins left="0.59055118110236227" right="0.59055118110236227" top="1.1811023622047245" bottom="0.59055118110236227" header="0.11811023622047245" footer="0.31496062992125984"/>
      <pageSetup paperSize="9" scale="39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howPageBreaks="1" fitToPage="1" printArea="1" topLeftCell="K1">
      <pane ySplit="4" topLeftCell="A23" activePane="bottomLeft" state="frozen"/>
      <selection pane="bottomLeft" activeCell="U38" sqref="U38"/>
      <pageMargins left="0.59055118110236227" right="0.59055118110236227" top="1.1811023622047245" bottom="0.59055118110236227" header="0.11811023622047245" footer="0.31496062992125984"/>
      <pageSetup paperSize="9" scale="39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O3:R3"/>
    <mergeCell ref="I3:J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8" orientation="landscape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53"/>
  <sheetViews>
    <sheetView zoomScale="70" zoomScaleNormal="88" workbookViewId="0">
      <pane ySplit="4" topLeftCell="A11" activePane="bottomLeft" state="frozen"/>
      <selection pane="bottomLeft" activeCell="N48" sqref="N48"/>
    </sheetView>
  </sheetViews>
  <sheetFormatPr baseColWidth="10" defaultColWidth="11.42578125" defaultRowHeight="15" x14ac:dyDescent="0.25"/>
  <cols>
    <col min="1" max="1" width="9.140625" style="4" customWidth="1"/>
    <col min="2" max="2" width="11.42578125" style="2" customWidth="1"/>
    <col min="3" max="3" width="14.5703125" style="2" bestFit="1" customWidth="1"/>
    <col min="4" max="4" width="18.28515625" style="2" bestFit="1" customWidth="1"/>
    <col min="5" max="5" width="14" style="2" bestFit="1" customWidth="1"/>
    <col min="6" max="6" width="14.5703125" style="2" bestFit="1" customWidth="1"/>
    <col min="7" max="7" width="12.5703125" style="6" bestFit="1" customWidth="1"/>
    <col min="8" max="8" width="12.85546875" style="6" bestFit="1" customWidth="1"/>
    <col min="9" max="9" width="13" style="6" bestFit="1" customWidth="1"/>
    <col min="10" max="10" width="12.85546875" style="6" bestFit="1" customWidth="1"/>
    <col min="11" max="11" width="13.85546875" style="2" bestFit="1" customWidth="1"/>
    <col min="12" max="13" width="13.85546875" style="2" customWidth="1"/>
    <col min="14" max="14" width="14.28515625" style="2" bestFit="1" customWidth="1"/>
    <col min="15" max="15" width="12.42578125" style="2" bestFit="1" customWidth="1"/>
    <col min="16" max="16" width="13.85546875" style="2" bestFit="1" customWidth="1"/>
    <col min="17" max="17" width="15" style="2" bestFit="1" customWidth="1"/>
    <col min="18" max="18" width="13.85546875" style="2" bestFit="1" customWidth="1"/>
    <col min="19" max="20" width="14.28515625" style="2" bestFit="1" customWidth="1"/>
    <col min="21" max="21" width="15.42578125" style="2" bestFit="1" customWidth="1"/>
    <col min="22" max="22" width="14.85546875" style="2" bestFit="1" customWidth="1"/>
    <col min="23" max="23" width="13" style="2" bestFit="1" customWidth="1"/>
    <col min="24" max="24" width="13.140625" style="2" bestFit="1" customWidth="1"/>
    <col min="25" max="25" width="15.85546875" style="2" bestFit="1" customWidth="1"/>
    <col min="26" max="26" width="14.140625" style="2" bestFit="1" customWidth="1"/>
    <col min="27" max="27" width="33.85546875" style="2" bestFit="1" customWidth="1"/>
    <col min="28" max="28" width="7.28515625" style="2" bestFit="1" customWidth="1"/>
    <col min="29" max="29" width="5.140625" style="4" customWidth="1"/>
    <col min="30" max="30" width="32.7109375" style="4" bestFit="1" customWidth="1"/>
    <col min="31" max="16384" width="11.42578125" style="2"/>
  </cols>
  <sheetData>
    <row r="1" spans="1:30" ht="34.15" customHeight="1" x14ac:dyDescent="0.25">
      <c r="A1" s="104" t="s">
        <v>55</v>
      </c>
      <c r="G1" s="2"/>
      <c r="H1" s="521">
        <v>45413</v>
      </c>
      <c r="I1" s="521"/>
      <c r="J1" s="521"/>
      <c r="K1" s="521"/>
      <c r="L1" s="433"/>
      <c r="M1" s="433"/>
    </row>
    <row r="2" spans="1:30" ht="21" thickBot="1" x14ac:dyDescent="0.3">
      <c r="A2" s="105"/>
    </row>
    <row r="3" spans="1:30" s="8" customFormat="1" ht="36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3" t="s">
        <v>53</v>
      </c>
      <c r="J3" s="514"/>
      <c r="K3" s="513" t="s">
        <v>25</v>
      </c>
      <c r="L3" s="515"/>
      <c r="M3" s="515"/>
      <c r="N3" s="514"/>
      <c r="O3" s="513" t="s">
        <v>30</v>
      </c>
      <c r="P3" s="515"/>
      <c r="Q3" s="515"/>
      <c r="R3" s="514"/>
      <c r="S3" s="515" t="s">
        <v>2</v>
      </c>
      <c r="T3" s="515"/>
      <c r="U3" s="522" t="s">
        <v>29</v>
      </c>
      <c r="V3" s="523"/>
      <c r="W3" s="513" t="s">
        <v>26</v>
      </c>
      <c r="X3" s="514"/>
      <c r="Y3" s="524" t="s">
        <v>27</v>
      </c>
      <c r="Z3" s="525"/>
      <c r="AA3" s="513" t="s">
        <v>0</v>
      </c>
      <c r="AB3" s="515"/>
      <c r="AC3" s="515"/>
      <c r="AD3" s="514"/>
    </row>
    <row r="4" spans="1:30" s="4" customFormat="1" ht="18.600000000000001" customHeight="1" x14ac:dyDescent="0.25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37" t="s">
        <v>69</v>
      </c>
      <c r="M4" s="237" t="s">
        <v>70</v>
      </c>
      <c r="N4" s="12" t="s">
        <v>21</v>
      </c>
      <c r="O4" s="11" t="s">
        <v>68</v>
      </c>
      <c r="P4" s="237" t="s">
        <v>69</v>
      </c>
      <c r="Q4" s="237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19" t="s">
        <v>4</v>
      </c>
      <c r="AC4" s="520"/>
      <c r="AD4" s="14" t="s">
        <v>5</v>
      </c>
    </row>
    <row r="5" spans="1:30" ht="18.600000000000001" customHeight="1" x14ac:dyDescent="0.25">
      <c r="A5" s="47">
        <v>1</v>
      </c>
      <c r="B5" s="15" t="s">
        <v>14</v>
      </c>
      <c r="C5" s="16">
        <v>8746.1</v>
      </c>
      <c r="D5" s="217">
        <v>8064.5161290322585</v>
      </c>
      <c r="E5" s="16">
        <v>9649.2000000000007</v>
      </c>
      <c r="F5" s="218">
        <v>6451.6129032258068</v>
      </c>
      <c r="G5" s="19">
        <v>1016.5</v>
      </c>
      <c r="H5" s="218">
        <v>548.38709677419354</v>
      </c>
      <c r="I5" s="19">
        <v>0</v>
      </c>
      <c r="J5" s="218">
        <v>483.87096774193549</v>
      </c>
      <c r="K5" s="16">
        <v>1399.3</v>
      </c>
      <c r="L5" s="80"/>
      <c r="M5" s="238">
        <f t="shared" ref="M5:M9" si="0">K5+L5</f>
        <v>1399.3</v>
      </c>
      <c r="N5" s="217">
        <v>5483.8709677419356</v>
      </c>
      <c r="O5" s="16">
        <v>81.900000000000006</v>
      </c>
      <c r="P5" s="80">
        <v>0</v>
      </c>
      <c r="Q5" s="19">
        <f>O5+P5</f>
        <v>81.900000000000006</v>
      </c>
      <c r="R5" s="218">
        <v>3548.3870967741937</v>
      </c>
      <c r="S5" s="16">
        <v>3748.9</v>
      </c>
      <c r="T5" s="217">
        <v>6361.2903225806449</v>
      </c>
      <c r="U5" s="91">
        <f>SUM(C5+E5+G5+I5+M5+Q5+S5)</f>
        <v>24641.900000000005</v>
      </c>
      <c r="V5" s="89">
        <f>SUM(D5+F5+H5+J5+N5+R5+T5)</f>
        <v>30941.935483870966</v>
      </c>
      <c r="W5" s="16"/>
      <c r="X5" s="217">
        <v>645.16129032258061</v>
      </c>
      <c r="Y5" s="109">
        <f t="shared" ref="Y5:Z9" si="1">SUM(U5+W5)</f>
        <v>24641.900000000005</v>
      </c>
      <c r="Z5" s="110">
        <f t="shared" si="1"/>
        <v>31587.096774193546</v>
      </c>
      <c r="AA5" s="45" t="s">
        <v>58</v>
      </c>
      <c r="AB5" s="308">
        <v>18</v>
      </c>
      <c r="AC5" s="21" t="s">
        <v>7</v>
      </c>
      <c r="AD5" s="22"/>
    </row>
    <row r="6" spans="1:30" ht="18.600000000000001" customHeight="1" x14ac:dyDescent="0.25">
      <c r="A6" s="47">
        <f t="shared" ref="A6:A9" si="2">SUM(A5+1)</f>
        <v>2</v>
      </c>
      <c r="B6" s="15" t="s">
        <v>15</v>
      </c>
      <c r="C6" s="16">
        <v>10320.799999999999</v>
      </c>
      <c r="D6" s="217">
        <v>8064.5161290322585</v>
      </c>
      <c r="E6" s="16">
        <v>687.9</v>
      </c>
      <c r="F6" s="218">
        <v>6451.6129032258068</v>
      </c>
      <c r="G6" s="19">
        <v>133.4</v>
      </c>
      <c r="H6" s="218">
        <v>548.38709677419354</v>
      </c>
      <c r="I6" s="19"/>
      <c r="J6" s="218">
        <v>483.87096774193549</v>
      </c>
      <c r="K6" s="16">
        <v>2760.2</v>
      </c>
      <c r="L6" s="80"/>
      <c r="M6" s="238">
        <f t="shared" si="0"/>
        <v>2760.2</v>
      </c>
      <c r="N6" s="217">
        <v>5483.8709677419356</v>
      </c>
      <c r="O6" s="16">
        <v>6</v>
      </c>
      <c r="P6" s="80">
        <v>1619</v>
      </c>
      <c r="Q6" s="19">
        <f>O6+P6</f>
        <v>1625</v>
      </c>
      <c r="R6" s="218">
        <v>3548.3870967741937</v>
      </c>
      <c r="S6" s="16">
        <v>6161.3</v>
      </c>
      <c r="T6" s="217">
        <v>6361.2903225806449</v>
      </c>
      <c r="U6" s="91">
        <f t="shared" ref="U6:U9" si="3">SUM(C6+E6+G6+I6+M6+Q6+S6)</f>
        <v>21688.6</v>
      </c>
      <c r="V6" s="89">
        <f>SUM(D6+F6+H6+J6+N6+R6+T6)</f>
        <v>30941.935483870966</v>
      </c>
      <c r="W6" s="16"/>
      <c r="X6" s="217">
        <v>645.16129032258061</v>
      </c>
      <c r="Y6" s="109">
        <f>SUM(U6+W6)</f>
        <v>21688.6</v>
      </c>
      <c r="Z6" s="110">
        <f t="shared" si="1"/>
        <v>31587.096774193546</v>
      </c>
      <c r="AA6" s="45" t="s">
        <v>60</v>
      </c>
      <c r="AB6" s="308">
        <v>15</v>
      </c>
      <c r="AC6" s="21" t="s">
        <v>7</v>
      </c>
      <c r="AD6" s="22"/>
    </row>
    <row r="7" spans="1:30" ht="18.600000000000001" customHeight="1" x14ac:dyDescent="0.25">
      <c r="A7" s="47">
        <f t="shared" si="2"/>
        <v>3</v>
      </c>
      <c r="B7" s="15" t="s">
        <v>6</v>
      </c>
      <c r="C7" s="16">
        <v>9698.2000000000007</v>
      </c>
      <c r="D7" s="217">
        <v>8064.5161290322585</v>
      </c>
      <c r="E7" s="16">
        <v>-98.4</v>
      </c>
      <c r="F7" s="218">
        <v>6451.6129032258068</v>
      </c>
      <c r="G7" s="19">
        <v>84.1</v>
      </c>
      <c r="H7" s="218">
        <v>548.38709677419354</v>
      </c>
      <c r="I7" s="19">
        <v>0</v>
      </c>
      <c r="J7" s="218">
        <v>483.87096774193549</v>
      </c>
      <c r="K7" s="16">
        <v>-560.20000000000005</v>
      </c>
      <c r="L7" s="80"/>
      <c r="M7" s="238">
        <f t="shared" si="0"/>
        <v>-560.20000000000005</v>
      </c>
      <c r="N7" s="217">
        <v>5483.8709677419356</v>
      </c>
      <c r="O7" s="16">
        <v>2809.1</v>
      </c>
      <c r="P7" s="80">
        <v>1112</v>
      </c>
      <c r="Q7" s="19">
        <f t="shared" ref="Q7:Q9" si="4">O7+P7</f>
        <v>3921.1</v>
      </c>
      <c r="R7" s="218">
        <v>3548.3870967741937</v>
      </c>
      <c r="S7" s="16">
        <v>3762.7</v>
      </c>
      <c r="T7" s="217">
        <v>6361.2903225806449</v>
      </c>
      <c r="U7" s="91">
        <f t="shared" si="3"/>
        <v>16807.5</v>
      </c>
      <c r="V7" s="89">
        <f>SUM(D7+F7+H7+J7+N7+R7+T7)</f>
        <v>30941.935483870966</v>
      </c>
      <c r="W7" s="16"/>
      <c r="X7" s="217">
        <v>645.16129032258061</v>
      </c>
      <c r="Y7" s="109">
        <f t="shared" si="1"/>
        <v>16807.5</v>
      </c>
      <c r="Z7" s="110">
        <f t="shared" si="1"/>
        <v>31587.096774193546</v>
      </c>
      <c r="AA7" s="45" t="s">
        <v>60</v>
      </c>
      <c r="AB7" s="308">
        <v>11</v>
      </c>
      <c r="AC7" s="21" t="s">
        <v>7</v>
      </c>
      <c r="AD7" s="22"/>
    </row>
    <row r="8" spans="1:30" ht="18.600000000000001" customHeight="1" x14ac:dyDescent="0.25">
      <c r="A8" s="23">
        <f t="shared" si="2"/>
        <v>4</v>
      </c>
      <c r="B8" s="24" t="s">
        <v>8</v>
      </c>
      <c r="C8" s="25">
        <v>13803</v>
      </c>
      <c r="D8" s="26">
        <v>8064.5161290322585</v>
      </c>
      <c r="E8" s="25">
        <v>4218.8999999999996</v>
      </c>
      <c r="F8" s="27">
        <v>6451.6129032258068</v>
      </c>
      <c r="G8" s="28">
        <v>560.29999999999995</v>
      </c>
      <c r="H8" s="27">
        <v>548.38709677419354</v>
      </c>
      <c r="I8" s="28">
        <v>6150</v>
      </c>
      <c r="J8" s="27">
        <v>483.87096774193549</v>
      </c>
      <c r="K8" s="25">
        <v>27936</v>
      </c>
      <c r="L8" s="81"/>
      <c r="M8" s="239">
        <f t="shared" si="0"/>
        <v>27936</v>
      </c>
      <c r="N8" s="26">
        <v>5483.8709677419356</v>
      </c>
      <c r="O8" s="25">
        <v>0</v>
      </c>
      <c r="P8" s="81">
        <v>0</v>
      </c>
      <c r="Q8" s="28">
        <f>O8+P8</f>
        <v>0</v>
      </c>
      <c r="R8" s="27">
        <v>3548.3870967741937</v>
      </c>
      <c r="S8" s="25">
        <v>9144.2999999999993</v>
      </c>
      <c r="T8" s="26">
        <v>6361.2903225806449</v>
      </c>
      <c r="U8" s="183">
        <f t="shared" si="3"/>
        <v>61812.5</v>
      </c>
      <c r="V8" s="90">
        <f>SUM(D8+F8+H8+J8+N8+R8+T8)</f>
        <v>30941.935483870966</v>
      </c>
      <c r="W8" s="25"/>
      <c r="X8" s="26">
        <v>645.16129032258061</v>
      </c>
      <c r="Y8" s="92">
        <f t="shared" si="1"/>
        <v>61812.5</v>
      </c>
      <c r="Z8" s="94">
        <f t="shared" si="1"/>
        <v>31587.096774193546</v>
      </c>
      <c r="AA8" s="29" t="s">
        <v>58</v>
      </c>
      <c r="AB8" s="309">
        <v>20</v>
      </c>
      <c r="AC8" s="31" t="s">
        <v>7</v>
      </c>
      <c r="AD8" s="32"/>
    </row>
    <row r="9" spans="1:30" ht="18.600000000000001" customHeight="1" x14ac:dyDescent="0.25">
      <c r="A9" s="23">
        <f t="shared" si="2"/>
        <v>5</v>
      </c>
      <c r="B9" s="24" t="s">
        <v>9</v>
      </c>
      <c r="C9" s="25">
        <v>9959.7999999999993</v>
      </c>
      <c r="D9" s="26">
        <v>8064.5161290322585</v>
      </c>
      <c r="E9" s="25">
        <v>3563.8</v>
      </c>
      <c r="F9" s="27">
        <v>6451.6129032258068</v>
      </c>
      <c r="G9" s="28">
        <v>983.8</v>
      </c>
      <c r="H9" s="27">
        <v>548.38709677419354</v>
      </c>
      <c r="I9" s="28">
        <v>-126</v>
      </c>
      <c r="J9" s="27">
        <v>483.87096774193549</v>
      </c>
      <c r="K9" s="25">
        <v>12028.3</v>
      </c>
      <c r="L9" s="81"/>
      <c r="M9" s="239">
        <f t="shared" si="0"/>
        <v>12028.3</v>
      </c>
      <c r="N9" s="26">
        <v>5483.8709677419356</v>
      </c>
      <c r="O9" s="25">
        <v>0</v>
      </c>
      <c r="P9" s="81">
        <v>0</v>
      </c>
      <c r="Q9" s="28">
        <f t="shared" si="4"/>
        <v>0</v>
      </c>
      <c r="R9" s="27">
        <v>3548.3870967741937</v>
      </c>
      <c r="S9" s="25">
        <v>2831.7</v>
      </c>
      <c r="T9" s="26">
        <v>6361.2903225806449</v>
      </c>
      <c r="U9" s="183">
        <f t="shared" si="3"/>
        <v>29241.399999999998</v>
      </c>
      <c r="V9" s="90">
        <f>SUM(D9+F9+H9+J9+N9+R9+T9)</f>
        <v>30941.935483870966</v>
      </c>
      <c r="W9" s="25"/>
      <c r="X9" s="26">
        <v>645.16129032258061</v>
      </c>
      <c r="Y9" s="92">
        <f t="shared" si="1"/>
        <v>29241.399999999998</v>
      </c>
      <c r="Z9" s="94">
        <f t="shared" si="1"/>
        <v>31587.096774193546</v>
      </c>
      <c r="AA9" s="29" t="s">
        <v>153</v>
      </c>
      <c r="AB9" s="309">
        <v>17</v>
      </c>
      <c r="AC9" s="31" t="s">
        <v>7</v>
      </c>
      <c r="AD9" s="32"/>
    </row>
    <row r="10" spans="1:30" ht="18.600000000000001" customHeight="1" x14ac:dyDescent="0.25">
      <c r="A10" s="33" t="s">
        <v>10</v>
      </c>
      <c r="B10" s="34">
        <v>18</v>
      </c>
      <c r="C10" s="35">
        <f t="shared" ref="C10:Z10" si="5">SUM(C5:C9)</f>
        <v>52527.900000000009</v>
      </c>
      <c r="D10" s="36">
        <f t="shared" si="5"/>
        <v>40322.580645161295</v>
      </c>
      <c r="E10" s="35">
        <f t="shared" si="5"/>
        <v>18021.400000000001</v>
      </c>
      <c r="F10" s="37">
        <f t="shared" si="5"/>
        <v>32258.064516129034</v>
      </c>
      <c r="G10" s="38">
        <f t="shared" si="5"/>
        <v>2778.1</v>
      </c>
      <c r="H10" s="37">
        <f t="shared" si="5"/>
        <v>2741.9354838709678</v>
      </c>
      <c r="I10" s="38">
        <f t="shared" si="5"/>
        <v>6024</v>
      </c>
      <c r="J10" s="37">
        <f t="shared" si="5"/>
        <v>2419.3548387096776</v>
      </c>
      <c r="K10" s="35">
        <f t="shared" si="5"/>
        <v>43563.6</v>
      </c>
      <c r="L10" s="82">
        <f t="shared" si="5"/>
        <v>0</v>
      </c>
      <c r="M10" s="82">
        <f t="shared" si="5"/>
        <v>43563.6</v>
      </c>
      <c r="N10" s="36">
        <f t="shared" si="5"/>
        <v>27419.354838709678</v>
      </c>
      <c r="O10" s="35">
        <f t="shared" si="5"/>
        <v>2897</v>
      </c>
      <c r="P10" s="82">
        <f>SUM(P5:P9)</f>
        <v>2731</v>
      </c>
      <c r="Q10" s="38">
        <f t="shared" si="5"/>
        <v>5628</v>
      </c>
      <c r="R10" s="37">
        <f t="shared" si="5"/>
        <v>17741.93548387097</v>
      </c>
      <c r="S10" s="35">
        <f t="shared" si="5"/>
        <v>25648.9</v>
      </c>
      <c r="T10" s="36">
        <f t="shared" si="5"/>
        <v>31806.451612903224</v>
      </c>
      <c r="U10" s="35">
        <f t="shared" si="5"/>
        <v>154191.9</v>
      </c>
      <c r="V10" s="36">
        <f t="shared" si="5"/>
        <v>154709.67741935482</v>
      </c>
      <c r="W10" s="35">
        <f t="shared" si="5"/>
        <v>0</v>
      </c>
      <c r="X10" s="36">
        <f t="shared" si="5"/>
        <v>3225.8064516129029</v>
      </c>
      <c r="Y10" s="35">
        <f t="shared" si="5"/>
        <v>154191.9</v>
      </c>
      <c r="Z10" s="36">
        <f t="shared" si="5"/>
        <v>157935.48387096773</v>
      </c>
      <c r="AA10" s="39" t="s">
        <v>11</v>
      </c>
      <c r="AB10" s="310">
        <f>SUM(AB5:AB9)/7</f>
        <v>11.571428571428571</v>
      </c>
      <c r="AC10" s="41" t="s">
        <v>7</v>
      </c>
      <c r="AD10" s="42"/>
    </row>
    <row r="11" spans="1:30" s="43" customFormat="1" ht="18.600000000000001" customHeight="1" x14ac:dyDescent="0.25">
      <c r="A11" s="44">
        <f>SUM(A9+1)</f>
        <v>6</v>
      </c>
      <c r="B11" s="15" t="s">
        <v>12</v>
      </c>
      <c r="C11" s="16">
        <v>5164.2</v>
      </c>
      <c r="D11" s="217">
        <v>8064.5161290322585</v>
      </c>
      <c r="E11" s="20">
        <v>0</v>
      </c>
      <c r="F11" s="218">
        <v>6451.6129032258068</v>
      </c>
      <c r="G11" s="19">
        <v>0</v>
      </c>
      <c r="H11" s="218">
        <v>548.38709677419354</v>
      </c>
      <c r="I11" s="19">
        <v>0</v>
      </c>
      <c r="J11" s="218">
        <v>483.87096774193549</v>
      </c>
      <c r="K11" s="16">
        <v>3643.8</v>
      </c>
      <c r="L11" s="80"/>
      <c r="M11" s="238">
        <f t="shared" ref="M11:M17" si="6">K11+L11</f>
        <v>3643.8</v>
      </c>
      <c r="N11" s="217">
        <v>5483.8709677419356</v>
      </c>
      <c r="O11" s="16">
        <v>934.6</v>
      </c>
      <c r="P11" s="80">
        <v>4022</v>
      </c>
      <c r="Q11" s="19">
        <f t="shared" ref="Q11:Q17" si="7">O11+P11</f>
        <v>4956.6000000000004</v>
      </c>
      <c r="R11" s="218">
        <v>3548.3870967741937</v>
      </c>
      <c r="S11" s="16">
        <v>5059.5</v>
      </c>
      <c r="T11" s="217">
        <v>6361.2903225806449</v>
      </c>
      <c r="U11" s="91">
        <f t="shared" ref="U11:U17" si="8">SUM(C11+E11+G11+I11+M11+Q11+S11)</f>
        <v>18824.099999999999</v>
      </c>
      <c r="V11" s="89">
        <f t="shared" ref="V11:V17" si="9">SUM(D11+F11+H11+J11+N11+R11+T11)</f>
        <v>30941.935483870966</v>
      </c>
      <c r="W11" s="16"/>
      <c r="X11" s="217">
        <v>645.16129032258061</v>
      </c>
      <c r="Y11" s="109">
        <f t="shared" ref="Y11:Z17" si="10">SUM(U11+W11)</f>
        <v>18824.099999999999</v>
      </c>
      <c r="Z11" s="110">
        <f t="shared" si="10"/>
        <v>31587.096774193546</v>
      </c>
      <c r="AA11" s="50" t="s">
        <v>153</v>
      </c>
      <c r="AB11" s="307">
        <v>10</v>
      </c>
      <c r="AC11" s="21" t="s">
        <v>7</v>
      </c>
      <c r="AD11" s="22"/>
    </row>
    <row r="12" spans="1:30" ht="18.600000000000001" customHeight="1" x14ac:dyDescent="0.25">
      <c r="A12" s="47">
        <f t="shared" ref="A12:A17" si="11">SUM(A11+1)</f>
        <v>7</v>
      </c>
      <c r="B12" s="15" t="s">
        <v>13</v>
      </c>
      <c r="C12" s="16">
        <v>8820.5</v>
      </c>
      <c r="D12" s="217">
        <v>8064.5161290322585</v>
      </c>
      <c r="E12" s="20">
        <v>0</v>
      </c>
      <c r="F12" s="218">
        <v>6451.6129032258068</v>
      </c>
      <c r="G12" s="19">
        <v>0</v>
      </c>
      <c r="H12" s="218">
        <v>548.38709677419354</v>
      </c>
      <c r="I12" s="19">
        <v>0</v>
      </c>
      <c r="J12" s="218">
        <v>483.87096774193549</v>
      </c>
      <c r="K12" s="16">
        <v>1779.4</v>
      </c>
      <c r="L12" s="80"/>
      <c r="M12" s="238">
        <f t="shared" si="6"/>
        <v>1779.4</v>
      </c>
      <c r="N12" s="217">
        <v>5483.8709677419356</v>
      </c>
      <c r="O12" s="16">
        <v>164.7</v>
      </c>
      <c r="P12" s="80">
        <v>1665</v>
      </c>
      <c r="Q12" s="19">
        <f t="shared" si="7"/>
        <v>1829.7</v>
      </c>
      <c r="R12" s="218">
        <v>3548.3870967741937</v>
      </c>
      <c r="S12" s="16">
        <v>3978.1</v>
      </c>
      <c r="T12" s="217">
        <v>6361.2903225806449</v>
      </c>
      <c r="U12" s="91">
        <f t="shared" si="8"/>
        <v>16407.7</v>
      </c>
      <c r="V12" s="89">
        <f t="shared" si="9"/>
        <v>30941.935483870966</v>
      </c>
      <c r="W12" s="16"/>
      <c r="X12" s="217">
        <v>645.16129032258061</v>
      </c>
      <c r="Y12" s="109">
        <f t="shared" si="10"/>
        <v>16407.7</v>
      </c>
      <c r="Z12" s="110">
        <f t="shared" si="10"/>
        <v>31587.096774193546</v>
      </c>
      <c r="AA12" s="45" t="s">
        <v>153</v>
      </c>
      <c r="AB12" s="308">
        <v>10</v>
      </c>
      <c r="AC12" s="21" t="s">
        <v>7</v>
      </c>
      <c r="AD12" s="22"/>
    </row>
    <row r="13" spans="1:30" ht="18.600000000000001" customHeight="1" x14ac:dyDescent="0.25">
      <c r="A13" s="47">
        <f t="shared" si="11"/>
        <v>8</v>
      </c>
      <c r="B13" s="15" t="s">
        <v>14</v>
      </c>
      <c r="C13" s="16">
        <v>9129.7000000000007</v>
      </c>
      <c r="D13" s="217">
        <v>8064.5161290322585</v>
      </c>
      <c r="E13" s="20">
        <v>130</v>
      </c>
      <c r="F13" s="218">
        <v>6451.6129032258068</v>
      </c>
      <c r="G13" s="19">
        <v>154.19999999999999</v>
      </c>
      <c r="H13" s="218">
        <v>548.38709677419354</v>
      </c>
      <c r="I13" s="19">
        <v>0</v>
      </c>
      <c r="J13" s="218">
        <v>483.87096774193549</v>
      </c>
      <c r="K13" s="16">
        <v>4068.5</v>
      </c>
      <c r="L13" s="80"/>
      <c r="M13" s="238">
        <f t="shared" si="6"/>
        <v>4068.5</v>
      </c>
      <c r="N13" s="217">
        <v>5483.8709677419356</v>
      </c>
      <c r="O13" s="16">
        <v>0</v>
      </c>
      <c r="P13" s="80">
        <v>0</v>
      </c>
      <c r="Q13" s="19">
        <f t="shared" si="7"/>
        <v>0</v>
      </c>
      <c r="R13" s="218">
        <v>3548.3870967741937</v>
      </c>
      <c r="S13" s="16">
        <v>6897.35</v>
      </c>
      <c r="T13" s="217">
        <v>6361.2903225806449</v>
      </c>
      <c r="U13" s="91">
        <f t="shared" si="8"/>
        <v>20379.75</v>
      </c>
      <c r="V13" s="89">
        <f t="shared" si="9"/>
        <v>30941.935483870966</v>
      </c>
      <c r="W13" s="16"/>
      <c r="X13" s="217">
        <v>645.16129032258061</v>
      </c>
      <c r="Y13" s="109">
        <f t="shared" si="10"/>
        <v>20379.75</v>
      </c>
      <c r="Z13" s="110">
        <f t="shared" si="10"/>
        <v>31587.096774193546</v>
      </c>
      <c r="AA13" s="45" t="s">
        <v>60</v>
      </c>
      <c r="AB13" s="308">
        <v>15</v>
      </c>
      <c r="AC13" s="21" t="s">
        <v>7</v>
      </c>
      <c r="AD13" s="22"/>
    </row>
    <row r="14" spans="1:30" ht="18.600000000000001" customHeight="1" x14ac:dyDescent="0.25">
      <c r="A14" s="23">
        <f t="shared" si="11"/>
        <v>9</v>
      </c>
      <c r="B14" s="24" t="s">
        <v>15</v>
      </c>
      <c r="C14" s="25">
        <v>20066.400000000001</v>
      </c>
      <c r="D14" s="26">
        <v>8064.5161290322585</v>
      </c>
      <c r="E14" s="25">
        <v>2182.1999999999998</v>
      </c>
      <c r="F14" s="27">
        <v>6451.6129032258068</v>
      </c>
      <c r="G14" s="28">
        <v>689.6</v>
      </c>
      <c r="H14" s="27">
        <v>548.38709677419354</v>
      </c>
      <c r="I14" s="28">
        <v>0</v>
      </c>
      <c r="J14" s="27">
        <v>483.87096774193549</v>
      </c>
      <c r="K14" s="25">
        <v>1208.5</v>
      </c>
      <c r="L14" s="81"/>
      <c r="M14" s="239">
        <f t="shared" si="6"/>
        <v>1208.5</v>
      </c>
      <c r="N14" s="26">
        <v>5483.8709677419356</v>
      </c>
      <c r="O14" s="25">
        <v>0</v>
      </c>
      <c r="P14" s="480">
        <v>0</v>
      </c>
      <c r="Q14" s="28">
        <f t="shared" si="7"/>
        <v>0</v>
      </c>
      <c r="R14" s="27">
        <v>3548.3870967741937</v>
      </c>
      <c r="S14" s="25">
        <v>12859.4</v>
      </c>
      <c r="T14" s="26">
        <v>6361.2903225806449</v>
      </c>
      <c r="U14" s="183">
        <f t="shared" si="8"/>
        <v>37006.1</v>
      </c>
      <c r="V14" s="90">
        <f t="shared" si="9"/>
        <v>30941.935483870966</v>
      </c>
      <c r="W14" s="25">
        <v>614.5</v>
      </c>
      <c r="X14" s="26">
        <v>645.16129032258061</v>
      </c>
      <c r="Y14" s="92">
        <f t="shared" si="10"/>
        <v>37620.6</v>
      </c>
      <c r="Z14" s="234">
        <f t="shared" si="10"/>
        <v>31587.096774193546</v>
      </c>
      <c r="AA14" s="29" t="s">
        <v>78</v>
      </c>
      <c r="AB14" s="309">
        <v>15</v>
      </c>
      <c r="AC14" s="31" t="s">
        <v>7</v>
      </c>
      <c r="AD14" s="32" t="s">
        <v>128</v>
      </c>
    </row>
    <row r="15" spans="1:30" ht="18.600000000000001" customHeight="1" x14ac:dyDescent="0.25">
      <c r="A15" s="47">
        <f t="shared" si="11"/>
        <v>10</v>
      </c>
      <c r="B15" s="15" t="s">
        <v>6</v>
      </c>
      <c r="C15" s="16">
        <v>5007.2</v>
      </c>
      <c r="D15" s="217">
        <v>8064.5161290322585</v>
      </c>
      <c r="E15" s="20">
        <v>15294.7</v>
      </c>
      <c r="F15" s="218">
        <v>6451.6129032258068</v>
      </c>
      <c r="G15" s="19">
        <v>1149.4000000000001</v>
      </c>
      <c r="H15" s="218">
        <v>548.38709677419354</v>
      </c>
      <c r="I15" s="19"/>
      <c r="J15" s="218">
        <v>483.87096774193549</v>
      </c>
      <c r="K15" s="16">
        <v>130</v>
      </c>
      <c r="L15" s="80"/>
      <c r="M15" s="238">
        <f t="shared" si="6"/>
        <v>130</v>
      </c>
      <c r="N15" s="217">
        <v>5483.8709677419356</v>
      </c>
      <c r="O15" s="16">
        <v>0</v>
      </c>
      <c r="P15" s="80">
        <v>0</v>
      </c>
      <c r="Q15" s="19">
        <f>O15+P15</f>
        <v>0</v>
      </c>
      <c r="R15" s="218">
        <v>3548.3870967741937</v>
      </c>
      <c r="S15" s="16">
        <v>13948.65</v>
      </c>
      <c r="T15" s="217">
        <v>6361.2903225806449</v>
      </c>
      <c r="U15" s="91">
        <f t="shared" si="8"/>
        <v>35529.950000000004</v>
      </c>
      <c r="V15" s="89">
        <f t="shared" si="9"/>
        <v>30941.935483870966</v>
      </c>
      <c r="W15" s="16">
        <v>1594.3</v>
      </c>
      <c r="X15" s="217">
        <v>645.16129032258061</v>
      </c>
      <c r="Y15" s="109">
        <f t="shared" si="10"/>
        <v>37124.250000000007</v>
      </c>
      <c r="Z15" s="110">
        <f t="shared" si="10"/>
        <v>31587.096774193546</v>
      </c>
      <c r="AA15" s="45" t="s">
        <v>58</v>
      </c>
      <c r="AB15" s="308">
        <v>20</v>
      </c>
      <c r="AC15" s="21" t="s">
        <v>7</v>
      </c>
      <c r="AD15" s="22"/>
    </row>
    <row r="16" spans="1:30" ht="18.600000000000001" customHeight="1" x14ac:dyDescent="0.25">
      <c r="A16" s="23">
        <f t="shared" si="11"/>
        <v>11</v>
      </c>
      <c r="B16" s="24" t="s">
        <v>8</v>
      </c>
      <c r="C16" s="25">
        <v>3237.6</v>
      </c>
      <c r="D16" s="26">
        <v>8064.5161290322585</v>
      </c>
      <c r="E16" s="25">
        <v>22200.400000000001</v>
      </c>
      <c r="F16" s="27">
        <v>6451.6129032258068</v>
      </c>
      <c r="G16" s="28">
        <v>1504.2</v>
      </c>
      <c r="H16" s="27">
        <v>548.38709677419354</v>
      </c>
      <c r="I16" s="28">
        <v>6617.4</v>
      </c>
      <c r="J16" s="27">
        <v>483.87096774193549</v>
      </c>
      <c r="K16" s="25">
        <v>16473.599999999999</v>
      </c>
      <c r="L16" s="81"/>
      <c r="M16" s="239">
        <f t="shared" si="6"/>
        <v>16473.599999999999</v>
      </c>
      <c r="N16" s="26">
        <v>5483.8709677419356</v>
      </c>
      <c r="O16" s="25">
        <v>0</v>
      </c>
      <c r="P16" s="81">
        <v>0</v>
      </c>
      <c r="Q16" s="28">
        <f t="shared" si="7"/>
        <v>0</v>
      </c>
      <c r="R16" s="27">
        <v>3548.3870967741937</v>
      </c>
      <c r="S16" s="25">
        <v>12490.5</v>
      </c>
      <c r="T16" s="26">
        <v>6361.2903225806449</v>
      </c>
      <c r="U16" s="183">
        <f t="shared" si="8"/>
        <v>62523.7</v>
      </c>
      <c r="V16" s="90">
        <f t="shared" si="9"/>
        <v>30941.935483870966</v>
      </c>
      <c r="W16" s="25">
        <v>3040.2</v>
      </c>
      <c r="X16" s="26">
        <v>645.16129032258061</v>
      </c>
      <c r="Y16" s="92">
        <f t="shared" si="10"/>
        <v>65563.899999999994</v>
      </c>
      <c r="Z16" s="94">
        <f t="shared" si="10"/>
        <v>31587.096774193546</v>
      </c>
      <c r="AA16" s="29" t="s">
        <v>58</v>
      </c>
      <c r="AB16" s="309">
        <v>22</v>
      </c>
      <c r="AC16" s="31" t="s">
        <v>7</v>
      </c>
      <c r="AD16" s="32"/>
    </row>
    <row r="17" spans="1:30" ht="18.600000000000001" customHeight="1" x14ac:dyDescent="0.25">
      <c r="A17" s="23">
        <f t="shared" si="11"/>
        <v>12</v>
      </c>
      <c r="B17" s="24" t="s">
        <v>9</v>
      </c>
      <c r="C17" s="25">
        <v>20072.099999999999</v>
      </c>
      <c r="D17" s="26">
        <v>8064.5161290322585</v>
      </c>
      <c r="E17" s="25">
        <v>16098.1</v>
      </c>
      <c r="F17" s="27">
        <v>6451.6129032258068</v>
      </c>
      <c r="G17" s="28">
        <v>1223.5999999999999</v>
      </c>
      <c r="H17" s="27">
        <v>548.38709677419354</v>
      </c>
      <c r="I17" s="28">
        <v>0</v>
      </c>
      <c r="J17" s="27">
        <v>483.87096774193549</v>
      </c>
      <c r="K17" s="25">
        <v>2087.6</v>
      </c>
      <c r="L17" s="81"/>
      <c r="M17" s="239">
        <f t="shared" si="6"/>
        <v>2087.6</v>
      </c>
      <c r="N17" s="26">
        <v>5483.8709677419356</v>
      </c>
      <c r="O17" s="25">
        <v>1400</v>
      </c>
      <c r="P17" s="81">
        <v>2291</v>
      </c>
      <c r="Q17" s="28">
        <f t="shared" si="7"/>
        <v>3691</v>
      </c>
      <c r="R17" s="27">
        <v>3548.3870967741937</v>
      </c>
      <c r="S17" s="25">
        <v>7356.9</v>
      </c>
      <c r="T17" s="26">
        <v>6361.2903225806449</v>
      </c>
      <c r="U17" s="183">
        <f t="shared" si="8"/>
        <v>50529.299999999996</v>
      </c>
      <c r="V17" s="90">
        <f t="shared" si="9"/>
        <v>30941.935483870966</v>
      </c>
      <c r="W17" s="25">
        <v>2557.5</v>
      </c>
      <c r="X17" s="26">
        <v>645.16129032258061</v>
      </c>
      <c r="Y17" s="92">
        <f t="shared" si="10"/>
        <v>53086.799999999996</v>
      </c>
      <c r="Z17" s="94">
        <f t="shared" si="10"/>
        <v>31587.096774193546</v>
      </c>
      <c r="AA17" s="29" t="s">
        <v>58</v>
      </c>
      <c r="AB17" s="309">
        <v>23</v>
      </c>
      <c r="AC17" s="31" t="s">
        <v>7</v>
      </c>
      <c r="AD17" s="32" t="s">
        <v>154</v>
      </c>
    </row>
    <row r="18" spans="1:30" ht="18.600000000000001" customHeight="1" x14ac:dyDescent="0.25">
      <c r="A18" s="33" t="s">
        <v>10</v>
      </c>
      <c r="B18" s="34">
        <f>SUM(B10+1)</f>
        <v>19</v>
      </c>
      <c r="C18" s="35">
        <f>SUM(C11:C17)</f>
        <v>71497.7</v>
      </c>
      <c r="D18" s="36">
        <f t="shared" ref="D18:Z18" si="12">SUM(D11:D17)</f>
        <v>56451.61290322581</v>
      </c>
      <c r="E18" s="35">
        <f t="shared" si="12"/>
        <v>55905.4</v>
      </c>
      <c r="F18" s="37">
        <f t="shared" si="12"/>
        <v>45161.290322580651</v>
      </c>
      <c r="G18" s="38">
        <f>SUM(G11:G17)</f>
        <v>4721</v>
      </c>
      <c r="H18" s="37">
        <f t="shared" si="12"/>
        <v>3838.7096774193551</v>
      </c>
      <c r="I18" s="38">
        <f>SUM(I11:I17)</f>
        <v>6617.4</v>
      </c>
      <c r="J18" s="37">
        <f>SUM(J11:J17)</f>
        <v>3387.0967741935488</v>
      </c>
      <c r="K18" s="35">
        <f>SUM(K11:K17)</f>
        <v>29391.399999999998</v>
      </c>
      <c r="L18" s="82">
        <f t="shared" ref="L18:M18" si="13">SUM(L11:L17)</f>
        <v>0</v>
      </c>
      <c r="M18" s="82">
        <f t="shared" si="13"/>
        <v>29391.399999999998</v>
      </c>
      <c r="N18" s="36">
        <f t="shared" si="12"/>
        <v>38387.096774193546</v>
      </c>
      <c r="O18" s="266">
        <f t="shared" si="12"/>
        <v>2499.3000000000002</v>
      </c>
      <c r="P18" s="38">
        <f t="shared" si="12"/>
        <v>7978</v>
      </c>
      <c r="Q18" s="38">
        <f t="shared" si="12"/>
        <v>10477.299999999999</v>
      </c>
      <c r="R18" s="82">
        <f t="shared" si="12"/>
        <v>24838.709677419356</v>
      </c>
      <c r="S18" s="35">
        <f t="shared" si="12"/>
        <v>62590.400000000001</v>
      </c>
      <c r="T18" s="36">
        <f>SUM(T11:T17)</f>
        <v>44529.032258064515</v>
      </c>
      <c r="U18" s="35">
        <f t="shared" si="12"/>
        <v>241200.59999999998</v>
      </c>
      <c r="V18" s="36">
        <f t="shared" si="12"/>
        <v>216593.54838709676</v>
      </c>
      <c r="W18" s="35">
        <f t="shared" si="12"/>
        <v>7806.5</v>
      </c>
      <c r="X18" s="36">
        <f t="shared" si="12"/>
        <v>4516.1290322580644</v>
      </c>
      <c r="Y18" s="35">
        <f t="shared" si="12"/>
        <v>249007.09999999998</v>
      </c>
      <c r="Z18" s="36">
        <f t="shared" si="12"/>
        <v>221109.67741935482</v>
      </c>
      <c r="AA18" s="39" t="s">
        <v>11</v>
      </c>
      <c r="AB18" s="310">
        <f>SUM(AB11:AB17)/7</f>
        <v>16.428571428571427</v>
      </c>
      <c r="AC18" s="41" t="s">
        <v>7</v>
      </c>
      <c r="AD18" s="42"/>
    </row>
    <row r="19" spans="1:30" s="43" customFormat="1" ht="18.600000000000001" customHeight="1" x14ac:dyDescent="0.25">
      <c r="A19" s="44">
        <f>SUM(A17+1)</f>
        <v>13</v>
      </c>
      <c r="B19" s="15" t="s">
        <v>12</v>
      </c>
      <c r="C19" s="16">
        <v>5271.6</v>
      </c>
      <c r="D19" s="217">
        <v>8064.5161290322585</v>
      </c>
      <c r="E19" s="20">
        <v>2961.7</v>
      </c>
      <c r="F19" s="218">
        <v>6451.6129032258068</v>
      </c>
      <c r="G19" s="19">
        <v>651.6</v>
      </c>
      <c r="H19" s="218">
        <v>548.38709677419354</v>
      </c>
      <c r="I19" s="19">
        <v>0</v>
      </c>
      <c r="J19" s="218">
        <v>483.87096774193549</v>
      </c>
      <c r="K19" s="16">
        <v>0</v>
      </c>
      <c r="L19" s="80"/>
      <c r="M19" s="238">
        <f t="shared" ref="M19:M25" si="14">K19+L19</f>
        <v>0</v>
      </c>
      <c r="N19" s="217">
        <v>5483.8709677419356</v>
      </c>
      <c r="O19" s="16">
        <v>6</v>
      </c>
      <c r="P19" s="328">
        <v>4006</v>
      </c>
      <c r="Q19" s="19">
        <f t="shared" ref="Q19:Q25" si="15">O19+P19</f>
        <v>4012</v>
      </c>
      <c r="R19" s="218">
        <v>3548.3870967741937</v>
      </c>
      <c r="S19" s="16">
        <v>5506.8</v>
      </c>
      <c r="T19" s="217">
        <v>6361.2903225806449</v>
      </c>
      <c r="U19" s="91">
        <f t="shared" ref="U19:U25" si="16">SUM(C19+E19+G19+I19+M19+Q19+S19)</f>
        <v>18403.7</v>
      </c>
      <c r="V19" s="89">
        <f t="shared" ref="V19:V25" si="17">SUM(D19+F19+H19+J19+N19+R19+T19)</f>
        <v>30941.935483870966</v>
      </c>
      <c r="W19" s="16">
        <v>0</v>
      </c>
      <c r="X19" s="217">
        <v>645.16129032258061</v>
      </c>
      <c r="Y19" s="109">
        <f t="shared" ref="Y19:Z25" si="18">SUM(U19+W19)</f>
        <v>18403.7</v>
      </c>
      <c r="Z19" s="110">
        <f t="shared" si="18"/>
        <v>31587.096774193546</v>
      </c>
      <c r="AA19" s="50" t="s">
        <v>155</v>
      </c>
      <c r="AB19" s="307">
        <v>18</v>
      </c>
      <c r="AC19" s="21" t="s">
        <v>7</v>
      </c>
      <c r="AD19" s="22"/>
    </row>
    <row r="20" spans="1:30" ht="18.600000000000001" customHeight="1" x14ac:dyDescent="0.25">
      <c r="A20" s="47">
        <f t="shared" ref="A20:A25" si="19">SUM(A19+1)</f>
        <v>14</v>
      </c>
      <c r="B20" s="15" t="s">
        <v>13</v>
      </c>
      <c r="C20" s="16">
        <v>3742.7</v>
      </c>
      <c r="D20" s="217">
        <v>8064.5161290322585</v>
      </c>
      <c r="E20" s="20">
        <v>7416.8</v>
      </c>
      <c r="F20" s="218">
        <v>6451.6129032258068</v>
      </c>
      <c r="G20" s="19">
        <v>793.6</v>
      </c>
      <c r="H20" s="218">
        <v>548.38709677419354</v>
      </c>
      <c r="I20" s="19">
        <v>0</v>
      </c>
      <c r="J20" s="218">
        <v>483.87096774193549</v>
      </c>
      <c r="K20" s="16">
        <v>365</v>
      </c>
      <c r="L20" s="80"/>
      <c r="M20" s="238">
        <f t="shared" si="14"/>
        <v>365</v>
      </c>
      <c r="N20" s="217">
        <v>5483.8709677419356</v>
      </c>
      <c r="O20" s="16">
        <v>1627.2</v>
      </c>
      <c r="P20" s="80">
        <v>1724</v>
      </c>
      <c r="Q20" s="19">
        <f t="shared" si="15"/>
        <v>3351.2</v>
      </c>
      <c r="R20" s="218">
        <v>3548.3870967741937</v>
      </c>
      <c r="S20" s="16">
        <v>6945.2</v>
      </c>
      <c r="T20" s="217">
        <v>6361.2903225806449</v>
      </c>
      <c r="U20" s="91">
        <f t="shared" si="16"/>
        <v>22614.5</v>
      </c>
      <c r="V20" s="89">
        <f t="shared" si="17"/>
        <v>30941.935483870966</v>
      </c>
      <c r="W20" s="16">
        <v>1071.4000000000001</v>
      </c>
      <c r="X20" s="217">
        <v>645.16129032258061</v>
      </c>
      <c r="Y20" s="109">
        <f t="shared" si="18"/>
        <v>23685.9</v>
      </c>
      <c r="Z20" s="110">
        <f t="shared" si="18"/>
        <v>31587.096774193546</v>
      </c>
      <c r="AA20" s="45" t="s">
        <v>58</v>
      </c>
      <c r="AB20" s="308">
        <v>24</v>
      </c>
      <c r="AC20" s="21" t="s">
        <v>7</v>
      </c>
      <c r="AD20" s="22"/>
    </row>
    <row r="21" spans="1:30" ht="18.600000000000001" customHeight="1" x14ac:dyDescent="0.25">
      <c r="A21" s="47">
        <f t="shared" si="19"/>
        <v>15</v>
      </c>
      <c r="B21" s="15" t="s">
        <v>14</v>
      </c>
      <c r="C21" s="16">
        <v>5933.1</v>
      </c>
      <c r="D21" s="217">
        <v>8064.5161290322585</v>
      </c>
      <c r="E21" s="20">
        <v>1439.7</v>
      </c>
      <c r="F21" s="218">
        <v>6451.6129032258068</v>
      </c>
      <c r="G21" s="19">
        <v>294.3</v>
      </c>
      <c r="H21" s="218">
        <v>548.38709677419354</v>
      </c>
      <c r="I21" s="19">
        <v>2199.8000000000002</v>
      </c>
      <c r="J21" s="218">
        <v>483.87096774193549</v>
      </c>
      <c r="K21" s="16">
        <v>14344.2</v>
      </c>
      <c r="L21" s="80"/>
      <c r="M21" s="238">
        <f t="shared" si="14"/>
        <v>14344.2</v>
      </c>
      <c r="N21" s="217">
        <v>5483.8709677419356</v>
      </c>
      <c r="O21" s="16">
        <v>1770.4</v>
      </c>
      <c r="P21" s="328">
        <v>3446</v>
      </c>
      <c r="Q21" s="19">
        <f t="shared" si="15"/>
        <v>5216.3999999999996</v>
      </c>
      <c r="R21" s="218">
        <v>3548.3870967741937</v>
      </c>
      <c r="S21" s="16">
        <v>5901.7</v>
      </c>
      <c r="T21" s="217">
        <v>6361.2903225806449</v>
      </c>
      <c r="U21" s="91">
        <f t="shared" si="16"/>
        <v>35329.199999999997</v>
      </c>
      <c r="V21" s="89">
        <f t="shared" si="17"/>
        <v>30941.935483870966</v>
      </c>
      <c r="W21" s="16">
        <v>0</v>
      </c>
      <c r="X21" s="217">
        <v>645.16129032258061</v>
      </c>
      <c r="Y21" s="109">
        <f t="shared" si="18"/>
        <v>35329.199999999997</v>
      </c>
      <c r="Z21" s="110">
        <f t="shared" si="18"/>
        <v>31587.096774193546</v>
      </c>
      <c r="AA21" s="45" t="s">
        <v>156</v>
      </c>
      <c r="AB21" s="308">
        <v>15</v>
      </c>
      <c r="AC21" s="21" t="s">
        <v>7</v>
      </c>
      <c r="AD21" s="22"/>
    </row>
    <row r="22" spans="1:30" ht="18.600000000000001" customHeight="1" x14ac:dyDescent="0.25">
      <c r="A22" s="47">
        <f t="shared" si="19"/>
        <v>16</v>
      </c>
      <c r="B22" s="15" t="s">
        <v>15</v>
      </c>
      <c r="C22" s="16">
        <v>5262.9</v>
      </c>
      <c r="D22" s="217">
        <v>8064.5161290322585</v>
      </c>
      <c r="E22" s="20">
        <v>250.1</v>
      </c>
      <c r="F22" s="218">
        <v>6451.6129032258068</v>
      </c>
      <c r="G22" s="19">
        <v>74</v>
      </c>
      <c r="H22" s="218">
        <v>548.38709677419399</v>
      </c>
      <c r="I22" s="19">
        <v>0</v>
      </c>
      <c r="J22" s="218">
        <v>483.87096774193549</v>
      </c>
      <c r="K22" s="16">
        <v>12561.5</v>
      </c>
      <c r="L22" s="80"/>
      <c r="M22" s="238">
        <f t="shared" si="14"/>
        <v>12561.5</v>
      </c>
      <c r="N22" s="217">
        <v>5483.8709677419356</v>
      </c>
      <c r="O22" s="16">
        <v>1358.1</v>
      </c>
      <c r="P22" s="80">
        <v>10472</v>
      </c>
      <c r="Q22" s="19">
        <f t="shared" si="15"/>
        <v>11830.1</v>
      </c>
      <c r="R22" s="218">
        <v>3548.3870967741937</v>
      </c>
      <c r="S22" s="16">
        <v>3859.7</v>
      </c>
      <c r="T22" s="217">
        <v>6361.2903225806449</v>
      </c>
      <c r="U22" s="91">
        <f t="shared" si="16"/>
        <v>33838.299999999996</v>
      </c>
      <c r="V22" s="89">
        <f t="shared" si="17"/>
        <v>30941.935483870966</v>
      </c>
      <c r="W22" s="16">
        <v>0</v>
      </c>
      <c r="X22" s="217">
        <v>645.16129032258061</v>
      </c>
      <c r="Y22" s="109">
        <f t="shared" si="18"/>
        <v>33838.299999999996</v>
      </c>
      <c r="Z22" s="110">
        <f t="shared" si="18"/>
        <v>31587.096774193546</v>
      </c>
      <c r="AA22" s="45" t="s">
        <v>155</v>
      </c>
      <c r="AB22" s="308">
        <v>17</v>
      </c>
      <c r="AC22" s="21" t="s">
        <v>7</v>
      </c>
      <c r="AD22" s="22"/>
    </row>
    <row r="23" spans="1:30" ht="18.600000000000001" customHeight="1" x14ac:dyDescent="0.25">
      <c r="A23" s="47">
        <f t="shared" si="19"/>
        <v>17</v>
      </c>
      <c r="B23" s="52" t="s">
        <v>6</v>
      </c>
      <c r="C23" s="16">
        <v>12979.6</v>
      </c>
      <c r="D23" s="217">
        <v>8064.5161290322585</v>
      </c>
      <c r="E23" s="20">
        <v>311.7</v>
      </c>
      <c r="F23" s="218">
        <v>6451.6129032258068</v>
      </c>
      <c r="G23" s="19">
        <v>681.4</v>
      </c>
      <c r="H23" s="218">
        <v>548.38709677419354</v>
      </c>
      <c r="I23" s="19">
        <v>3786</v>
      </c>
      <c r="J23" s="218">
        <v>483.87096774193549</v>
      </c>
      <c r="K23" s="16">
        <v>20004.7</v>
      </c>
      <c r="L23" s="80"/>
      <c r="M23" s="238">
        <f t="shared" si="14"/>
        <v>20004.7</v>
      </c>
      <c r="N23" s="217">
        <v>5483.8709677419356</v>
      </c>
      <c r="O23" s="16">
        <v>-14</v>
      </c>
      <c r="P23" s="80">
        <v>0</v>
      </c>
      <c r="Q23" s="19">
        <f t="shared" si="15"/>
        <v>-14</v>
      </c>
      <c r="R23" s="218">
        <v>3548.3870967741937</v>
      </c>
      <c r="S23" s="16">
        <v>7035.9</v>
      </c>
      <c r="T23" s="217">
        <v>6361.2903225806449</v>
      </c>
      <c r="U23" s="91">
        <f t="shared" si="16"/>
        <v>44785.3</v>
      </c>
      <c r="V23" s="89">
        <f t="shared" si="17"/>
        <v>30941.935483870966</v>
      </c>
      <c r="W23" s="16">
        <v>0</v>
      </c>
      <c r="X23" s="217">
        <v>645.16129032258061</v>
      </c>
      <c r="Y23" s="109">
        <f t="shared" si="18"/>
        <v>44785.3</v>
      </c>
      <c r="Z23" s="110">
        <f t="shared" si="18"/>
        <v>31587.096774193546</v>
      </c>
      <c r="AA23" s="45" t="s">
        <v>78</v>
      </c>
      <c r="AB23" s="308">
        <v>20</v>
      </c>
      <c r="AC23" s="21" t="s">
        <v>7</v>
      </c>
      <c r="AD23" s="22"/>
    </row>
    <row r="24" spans="1:30" ht="18.600000000000001" customHeight="1" x14ac:dyDescent="0.25">
      <c r="A24" s="23">
        <f t="shared" si="19"/>
        <v>18</v>
      </c>
      <c r="B24" s="24" t="s">
        <v>8</v>
      </c>
      <c r="C24" s="25">
        <v>10534.2</v>
      </c>
      <c r="D24" s="26">
        <v>8064.5161290322585</v>
      </c>
      <c r="E24" s="25">
        <v>4257.2</v>
      </c>
      <c r="F24" s="27">
        <v>6451.6129032258104</v>
      </c>
      <c r="G24" s="28">
        <v>1226.2</v>
      </c>
      <c r="H24" s="27">
        <v>548.38709677419354</v>
      </c>
      <c r="I24" s="28">
        <v>4377</v>
      </c>
      <c r="J24" s="27">
        <v>483.87096774193549</v>
      </c>
      <c r="K24" s="25">
        <v>16845.2</v>
      </c>
      <c r="L24" s="81"/>
      <c r="M24" s="239">
        <f t="shared" si="14"/>
        <v>16845.2</v>
      </c>
      <c r="N24" s="26">
        <v>5483.8709677419356</v>
      </c>
      <c r="O24" s="25">
        <v>0</v>
      </c>
      <c r="P24" s="81">
        <v>0</v>
      </c>
      <c r="Q24" s="28">
        <f t="shared" si="15"/>
        <v>0</v>
      </c>
      <c r="R24" s="27">
        <v>3548.3870967741937</v>
      </c>
      <c r="S24" s="25">
        <v>11912.8</v>
      </c>
      <c r="T24" s="26">
        <v>6361.2903225806449</v>
      </c>
      <c r="U24" s="183">
        <f t="shared" si="16"/>
        <v>49152.600000000006</v>
      </c>
      <c r="V24" s="90">
        <f t="shared" si="17"/>
        <v>30941.93548387097</v>
      </c>
      <c r="W24" s="25">
        <v>0</v>
      </c>
      <c r="X24" s="26">
        <v>645.16129032258061</v>
      </c>
      <c r="Y24" s="92">
        <f t="shared" si="18"/>
        <v>49152.600000000006</v>
      </c>
      <c r="Z24" s="94">
        <f t="shared" si="18"/>
        <v>31587.096774193549</v>
      </c>
      <c r="AA24" s="29" t="s">
        <v>157</v>
      </c>
      <c r="AB24" s="309">
        <v>22</v>
      </c>
      <c r="AC24" s="31" t="s">
        <v>7</v>
      </c>
      <c r="AD24" s="32"/>
    </row>
    <row r="25" spans="1:30" ht="18.600000000000001" customHeight="1" x14ac:dyDescent="0.25">
      <c r="A25" s="23">
        <f t="shared" si="19"/>
        <v>19</v>
      </c>
      <c r="B25" s="24" t="s">
        <v>9</v>
      </c>
      <c r="C25" s="25">
        <v>8700.1</v>
      </c>
      <c r="D25" s="26">
        <v>8064.5161290322585</v>
      </c>
      <c r="E25" s="25">
        <v>11824.9</v>
      </c>
      <c r="F25" s="27">
        <v>6451.6129032258068</v>
      </c>
      <c r="G25" s="28">
        <v>1576.5</v>
      </c>
      <c r="H25" s="27">
        <v>548.38709677419354</v>
      </c>
      <c r="I25" s="28">
        <v>0</v>
      </c>
      <c r="J25" s="27">
        <v>483.87096774193549</v>
      </c>
      <c r="K25" s="25">
        <v>18748.8</v>
      </c>
      <c r="L25" s="81"/>
      <c r="M25" s="239">
        <f t="shared" si="14"/>
        <v>18748.8</v>
      </c>
      <c r="N25" s="26">
        <v>5483.8709677419356</v>
      </c>
      <c r="O25" s="25">
        <v>0</v>
      </c>
      <c r="P25" s="81">
        <v>0</v>
      </c>
      <c r="Q25" s="28">
        <f t="shared" si="15"/>
        <v>0</v>
      </c>
      <c r="R25" s="27">
        <v>3548.3870967741937</v>
      </c>
      <c r="S25" s="25">
        <v>11342.5</v>
      </c>
      <c r="T25" s="26">
        <v>6361.2903225806449</v>
      </c>
      <c r="U25" s="183">
        <f t="shared" si="16"/>
        <v>52192.800000000003</v>
      </c>
      <c r="V25" s="90">
        <f t="shared" si="17"/>
        <v>30941.935483870966</v>
      </c>
      <c r="W25" s="25">
        <v>706</v>
      </c>
      <c r="X25" s="26">
        <v>645.16129032258061</v>
      </c>
      <c r="Y25" s="92">
        <f t="shared" si="18"/>
        <v>52898.8</v>
      </c>
      <c r="Z25" s="94">
        <f t="shared" si="18"/>
        <v>31587.096774193546</v>
      </c>
      <c r="AA25" s="29" t="s">
        <v>109</v>
      </c>
      <c r="AB25" s="309">
        <v>22</v>
      </c>
      <c r="AC25" s="31" t="s">
        <v>7</v>
      </c>
      <c r="AD25" s="32" t="s">
        <v>129</v>
      </c>
    </row>
    <row r="26" spans="1:30" ht="18.600000000000001" customHeight="1" x14ac:dyDescent="0.25">
      <c r="A26" s="33" t="s">
        <v>10</v>
      </c>
      <c r="B26" s="34">
        <f>SUM(B18+1)</f>
        <v>20</v>
      </c>
      <c r="C26" s="35">
        <f t="shared" ref="C26:Z26" si="20">SUM(C19:C25)</f>
        <v>52424.200000000004</v>
      </c>
      <c r="D26" s="36">
        <f t="shared" si="20"/>
        <v>56451.61290322581</v>
      </c>
      <c r="E26" s="35">
        <f t="shared" si="20"/>
        <v>28462.1</v>
      </c>
      <c r="F26" s="37">
        <f t="shared" si="20"/>
        <v>45161.290322580651</v>
      </c>
      <c r="G26" s="38">
        <f>SUM(G19:G25)</f>
        <v>5297.6</v>
      </c>
      <c r="H26" s="37">
        <f t="shared" si="20"/>
        <v>3838.7096774193556</v>
      </c>
      <c r="I26" s="38">
        <f>SUM(I19:I25)</f>
        <v>10362.799999999999</v>
      </c>
      <c r="J26" s="37">
        <f>SUM(J19:J25)</f>
        <v>3387.0967741935488</v>
      </c>
      <c r="K26" s="35">
        <f>SUM(K19:K25)</f>
        <v>82869.400000000009</v>
      </c>
      <c r="L26" s="82">
        <f t="shared" si="20"/>
        <v>0</v>
      </c>
      <c r="M26" s="82">
        <f t="shared" si="20"/>
        <v>82869.400000000009</v>
      </c>
      <c r="N26" s="36">
        <f t="shared" si="20"/>
        <v>38387.096774193546</v>
      </c>
      <c r="O26" s="35">
        <f t="shared" si="20"/>
        <v>4747.7000000000007</v>
      </c>
      <c r="P26" s="82">
        <f t="shared" si="20"/>
        <v>19648</v>
      </c>
      <c r="Q26" s="38">
        <f t="shared" si="20"/>
        <v>24395.699999999997</v>
      </c>
      <c r="R26" s="82">
        <f t="shared" si="20"/>
        <v>24838.709677419356</v>
      </c>
      <c r="S26" s="35">
        <f t="shared" si="20"/>
        <v>52504.600000000006</v>
      </c>
      <c r="T26" s="36">
        <f>SUM(T19:T25)</f>
        <v>44529.032258064515</v>
      </c>
      <c r="U26" s="35">
        <f t="shared" si="20"/>
        <v>256316.40000000002</v>
      </c>
      <c r="V26" s="36">
        <f t="shared" si="20"/>
        <v>216593.54838709676</v>
      </c>
      <c r="W26" s="35">
        <f t="shared" si="20"/>
        <v>1777.4</v>
      </c>
      <c r="X26" s="36">
        <f t="shared" si="20"/>
        <v>4516.1290322580644</v>
      </c>
      <c r="Y26" s="35">
        <f t="shared" si="20"/>
        <v>258093.80000000005</v>
      </c>
      <c r="Z26" s="36">
        <f t="shared" si="20"/>
        <v>221109.67741935482</v>
      </c>
      <c r="AA26" s="39" t="s">
        <v>11</v>
      </c>
      <c r="AB26" s="310">
        <f>SUM(AB19:AB25)/7</f>
        <v>19.714285714285715</v>
      </c>
      <c r="AC26" s="41" t="s">
        <v>7</v>
      </c>
      <c r="AD26" s="42"/>
    </row>
    <row r="27" spans="1:30" ht="18.600000000000001" customHeight="1" x14ac:dyDescent="0.25">
      <c r="A27" s="23">
        <f>SUM(A25+1)</f>
        <v>20</v>
      </c>
      <c r="B27" s="24" t="s">
        <v>12</v>
      </c>
      <c r="C27" s="25">
        <v>1307.8</v>
      </c>
      <c r="D27" s="26">
        <v>8064.5161290322585</v>
      </c>
      <c r="E27" s="25">
        <v>20917.3</v>
      </c>
      <c r="F27" s="27">
        <v>6451.6129032258068</v>
      </c>
      <c r="G27" s="28">
        <v>1818.7</v>
      </c>
      <c r="H27" s="27">
        <v>548.38709677419354</v>
      </c>
      <c r="I27" s="28">
        <v>0</v>
      </c>
      <c r="J27" s="27">
        <v>483.87096774193549</v>
      </c>
      <c r="K27" s="25">
        <v>4458</v>
      </c>
      <c r="L27" s="81"/>
      <c r="M27" s="239">
        <f t="shared" ref="M27:M33" si="21">K27+L27</f>
        <v>4458</v>
      </c>
      <c r="N27" s="26">
        <v>5483.8709677419356</v>
      </c>
      <c r="O27" s="25">
        <v>0</v>
      </c>
      <c r="P27" s="28">
        <v>0</v>
      </c>
      <c r="Q27" s="28">
        <f t="shared" ref="Q27:Q33" si="22">O27+P27</f>
        <v>0</v>
      </c>
      <c r="R27" s="27">
        <v>3548.3870967741937</v>
      </c>
      <c r="S27" s="25">
        <v>4384.3</v>
      </c>
      <c r="T27" s="26">
        <v>6361.2903225806449</v>
      </c>
      <c r="U27" s="183">
        <f t="shared" ref="U27:U33" si="23">SUM(C27+E27+G27+I27+M27+Q27+S27)</f>
        <v>32886.1</v>
      </c>
      <c r="V27" s="90">
        <f t="shared" ref="V27:V33" si="24">SUM(D27+F27+H27+J27+N27+R27+T27)</f>
        <v>30941.935483870966</v>
      </c>
      <c r="W27" s="25">
        <v>2476.4</v>
      </c>
      <c r="X27" s="26">
        <v>645.16129032258061</v>
      </c>
      <c r="Y27" s="92">
        <f>SUM(U27+W27)</f>
        <v>35362.5</v>
      </c>
      <c r="Z27" s="234">
        <f>SUM(V27+X27)</f>
        <v>31587.096774193546</v>
      </c>
      <c r="AA27" s="29" t="s">
        <v>109</v>
      </c>
      <c r="AB27" s="309">
        <v>23</v>
      </c>
      <c r="AC27" s="31" t="s">
        <v>7</v>
      </c>
      <c r="AD27" s="32" t="s">
        <v>130</v>
      </c>
    </row>
    <row r="28" spans="1:30" ht="18.600000000000001" customHeight="1" x14ac:dyDescent="0.25">
      <c r="A28" s="47">
        <f t="shared" ref="A28:A33" si="25">SUM(A27+1)</f>
        <v>21</v>
      </c>
      <c r="B28" s="15" t="s">
        <v>13</v>
      </c>
      <c r="C28" s="16">
        <v>6969.2</v>
      </c>
      <c r="D28" s="217">
        <v>8064.5161290322585</v>
      </c>
      <c r="E28" s="20">
        <v>-844.6</v>
      </c>
      <c r="F28" s="218">
        <v>6451.6129032258068</v>
      </c>
      <c r="G28" s="19">
        <v>75</v>
      </c>
      <c r="H28" s="218">
        <v>548.38709677419354</v>
      </c>
      <c r="I28" s="19">
        <v>0</v>
      </c>
      <c r="J28" s="218">
        <v>483.87096774193549</v>
      </c>
      <c r="K28" s="16">
        <v>852</v>
      </c>
      <c r="L28" s="80"/>
      <c r="M28" s="238">
        <f t="shared" si="21"/>
        <v>852</v>
      </c>
      <c r="N28" s="217">
        <v>5483.8709677419356</v>
      </c>
      <c r="O28" s="20">
        <v>2162.6999999999998</v>
      </c>
      <c r="P28" s="329">
        <v>2032</v>
      </c>
      <c r="Q28" s="226">
        <f t="shared" si="22"/>
        <v>4194.7</v>
      </c>
      <c r="R28" s="218">
        <v>3548.3870967741937</v>
      </c>
      <c r="S28" s="20">
        <v>5237.3</v>
      </c>
      <c r="T28" s="217">
        <v>6361.2903225806449</v>
      </c>
      <c r="U28" s="219">
        <f t="shared" si="23"/>
        <v>16483.599999999999</v>
      </c>
      <c r="V28" s="220">
        <f t="shared" si="24"/>
        <v>30941.935483870966</v>
      </c>
      <c r="W28" s="20">
        <v>0</v>
      </c>
      <c r="X28" s="217">
        <v>645.16129032258061</v>
      </c>
      <c r="Y28" s="109">
        <f>SUM(U28+W28)</f>
        <v>16483.599999999999</v>
      </c>
      <c r="Z28" s="110">
        <f>SUM(V28+X28)</f>
        <v>31587.096774193546</v>
      </c>
      <c r="AA28" s="45" t="s">
        <v>158</v>
      </c>
      <c r="AB28" s="308">
        <v>15</v>
      </c>
      <c r="AC28" s="21" t="s">
        <v>7</v>
      </c>
      <c r="AD28" s="22"/>
    </row>
    <row r="29" spans="1:30" ht="18" customHeight="1" x14ac:dyDescent="0.25">
      <c r="A29" s="47">
        <f t="shared" si="25"/>
        <v>22</v>
      </c>
      <c r="B29" s="15" t="s">
        <v>14</v>
      </c>
      <c r="C29" s="16">
        <v>4267.1000000000004</v>
      </c>
      <c r="D29" s="217">
        <v>8064.5161290322585</v>
      </c>
      <c r="E29" s="20">
        <v>202.4</v>
      </c>
      <c r="F29" s="218">
        <v>6451.6129032258068</v>
      </c>
      <c r="G29" s="19">
        <v>262.89999999999998</v>
      </c>
      <c r="H29" s="218">
        <v>548.38709677419354</v>
      </c>
      <c r="I29" s="19">
        <v>0</v>
      </c>
      <c r="J29" s="218">
        <v>483.87096774193549</v>
      </c>
      <c r="K29" s="16">
        <v>523.9</v>
      </c>
      <c r="L29" s="80"/>
      <c r="M29" s="238">
        <f t="shared" si="21"/>
        <v>523.9</v>
      </c>
      <c r="N29" s="217">
        <v>5483.8709677419356</v>
      </c>
      <c r="O29" s="20">
        <v>964.3</v>
      </c>
      <c r="P29" s="329">
        <v>8556</v>
      </c>
      <c r="Q29" s="226">
        <f t="shared" si="22"/>
        <v>9520.2999999999993</v>
      </c>
      <c r="R29" s="218">
        <v>3548.3870967741937</v>
      </c>
      <c r="S29" s="20">
        <v>6078.7</v>
      </c>
      <c r="T29" s="217">
        <v>6361.2903225806449</v>
      </c>
      <c r="U29" s="219">
        <f t="shared" si="23"/>
        <v>20855.3</v>
      </c>
      <c r="V29" s="220">
        <f t="shared" si="24"/>
        <v>30941.935483870966</v>
      </c>
      <c r="W29" s="20">
        <v>0</v>
      </c>
      <c r="X29" s="217">
        <v>645.16129032258061</v>
      </c>
      <c r="Y29" s="109">
        <f t="shared" ref="Y29:Z33" si="26">SUM(U29+W29)</f>
        <v>20855.3</v>
      </c>
      <c r="Z29" s="110">
        <f t="shared" si="26"/>
        <v>31587.096774193546</v>
      </c>
      <c r="AA29" s="45" t="s">
        <v>57</v>
      </c>
      <c r="AB29" s="308">
        <v>18</v>
      </c>
      <c r="AC29" s="21" t="s">
        <v>7</v>
      </c>
      <c r="AD29" s="22"/>
    </row>
    <row r="30" spans="1:30" s="235" customFormat="1" ht="18.600000000000001" customHeight="1" x14ac:dyDescent="0.25">
      <c r="A30" s="47">
        <f t="shared" si="25"/>
        <v>23</v>
      </c>
      <c r="B30" s="225" t="s">
        <v>15</v>
      </c>
      <c r="C30" s="20">
        <v>6785.3</v>
      </c>
      <c r="D30" s="217">
        <v>8064.5161290322585</v>
      </c>
      <c r="E30" s="20">
        <v>0</v>
      </c>
      <c r="F30" s="218">
        <v>6451.6129032258068</v>
      </c>
      <c r="G30" s="226">
        <v>39.700000000000003</v>
      </c>
      <c r="H30" s="218">
        <v>548.38709677419354</v>
      </c>
      <c r="I30" s="226">
        <v>0</v>
      </c>
      <c r="J30" s="218">
        <v>483.87096774193549</v>
      </c>
      <c r="K30" s="20">
        <v>305</v>
      </c>
      <c r="L30" s="122"/>
      <c r="M30" s="250">
        <f t="shared" si="21"/>
        <v>305</v>
      </c>
      <c r="N30" s="217">
        <v>5483.8709677419356</v>
      </c>
      <c r="O30" s="20">
        <v>6</v>
      </c>
      <c r="P30" s="329">
        <v>3280</v>
      </c>
      <c r="Q30" s="226">
        <f t="shared" si="22"/>
        <v>3286</v>
      </c>
      <c r="R30" s="218">
        <v>3548.3870967741937</v>
      </c>
      <c r="S30" s="20">
        <v>6351.35</v>
      </c>
      <c r="T30" s="217">
        <v>6361.2903225806449</v>
      </c>
      <c r="U30" s="219">
        <f t="shared" si="23"/>
        <v>16767.349999999999</v>
      </c>
      <c r="V30" s="220">
        <f t="shared" si="24"/>
        <v>30941.935483870966</v>
      </c>
      <c r="W30" s="20">
        <v>0</v>
      </c>
      <c r="X30" s="217">
        <v>645.16129032258061</v>
      </c>
      <c r="Y30" s="109">
        <f t="shared" si="26"/>
        <v>16767.349999999999</v>
      </c>
      <c r="Z30" s="110">
        <f t="shared" si="26"/>
        <v>31587.096774193546</v>
      </c>
      <c r="AA30" s="50" t="s">
        <v>159</v>
      </c>
      <c r="AB30" s="307">
        <v>12</v>
      </c>
      <c r="AC30" s="228" t="s">
        <v>7</v>
      </c>
      <c r="AD30" s="229"/>
    </row>
    <row r="31" spans="1:30" ht="18.600000000000001" customHeight="1" x14ac:dyDescent="0.25">
      <c r="A31" s="47">
        <f t="shared" si="25"/>
        <v>24</v>
      </c>
      <c r="B31" s="15" t="s">
        <v>6</v>
      </c>
      <c r="C31" s="16">
        <v>10266.5</v>
      </c>
      <c r="D31" s="217">
        <v>8064.5161290322585</v>
      </c>
      <c r="E31" s="20">
        <v>1039</v>
      </c>
      <c r="F31" s="218">
        <v>6451.6129032258068</v>
      </c>
      <c r="G31" s="19">
        <v>284.3</v>
      </c>
      <c r="H31" s="218">
        <v>548.38709677419354</v>
      </c>
      <c r="I31" s="19">
        <v>0</v>
      </c>
      <c r="J31" s="218">
        <v>483.87096774193549</v>
      </c>
      <c r="K31" s="16">
        <v>26178.5</v>
      </c>
      <c r="L31" s="80"/>
      <c r="M31" s="238">
        <f t="shared" si="21"/>
        <v>26178.5</v>
      </c>
      <c r="N31" s="217">
        <v>5483.8709677419356</v>
      </c>
      <c r="O31" s="20">
        <v>24</v>
      </c>
      <c r="P31" s="329">
        <v>2680</v>
      </c>
      <c r="Q31" s="226">
        <f t="shared" si="22"/>
        <v>2704</v>
      </c>
      <c r="R31" s="218">
        <v>3548.3870967741937</v>
      </c>
      <c r="S31" s="20">
        <v>11094.25</v>
      </c>
      <c r="T31" s="217">
        <v>6361.2903225806449</v>
      </c>
      <c r="U31" s="219">
        <f t="shared" si="23"/>
        <v>51566.55</v>
      </c>
      <c r="V31" s="220">
        <f t="shared" si="24"/>
        <v>30941.935483870966</v>
      </c>
      <c r="W31" s="20">
        <v>0</v>
      </c>
      <c r="X31" s="217">
        <v>645.16129032258061</v>
      </c>
      <c r="Y31" s="109">
        <f t="shared" si="26"/>
        <v>51566.55</v>
      </c>
      <c r="Z31" s="110">
        <f t="shared" si="26"/>
        <v>31587.096774193546</v>
      </c>
      <c r="AA31" s="45" t="s">
        <v>160</v>
      </c>
      <c r="AB31" s="308">
        <v>12</v>
      </c>
      <c r="AC31" s="21" t="s">
        <v>7</v>
      </c>
      <c r="AD31" s="22"/>
    </row>
    <row r="32" spans="1:30" ht="18.600000000000001" customHeight="1" x14ac:dyDescent="0.25">
      <c r="A32" s="23">
        <f t="shared" si="25"/>
        <v>25</v>
      </c>
      <c r="B32" s="24" t="s">
        <v>8</v>
      </c>
      <c r="C32" s="25">
        <v>6007.9</v>
      </c>
      <c r="D32" s="26">
        <v>8064.5161290322585</v>
      </c>
      <c r="E32" s="25">
        <v>7047</v>
      </c>
      <c r="F32" s="27">
        <v>6451.6129032258068</v>
      </c>
      <c r="G32" s="28">
        <v>743.1</v>
      </c>
      <c r="H32" s="27">
        <v>548.38709677419354</v>
      </c>
      <c r="I32" s="28">
        <v>2904</v>
      </c>
      <c r="J32" s="27">
        <v>483.87096774193549</v>
      </c>
      <c r="K32" s="25">
        <v>26628</v>
      </c>
      <c r="L32" s="81"/>
      <c r="M32" s="239">
        <f t="shared" si="21"/>
        <v>26628</v>
      </c>
      <c r="N32" s="26">
        <v>5483.8709677419356</v>
      </c>
      <c r="O32" s="25"/>
      <c r="P32" s="81">
        <v>0</v>
      </c>
      <c r="Q32" s="28">
        <f t="shared" si="22"/>
        <v>0</v>
      </c>
      <c r="R32" s="27">
        <v>3548.3870967741937</v>
      </c>
      <c r="S32" s="25">
        <v>11077.7</v>
      </c>
      <c r="T32" s="26">
        <v>6361.2903225806449</v>
      </c>
      <c r="U32" s="183">
        <f t="shared" si="23"/>
        <v>54407.7</v>
      </c>
      <c r="V32" s="90">
        <f t="shared" si="24"/>
        <v>30941.935483870966</v>
      </c>
      <c r="W32" s="25">
        <v>0</v>
      </c>
      <c r="X32" s="26">
        <v>645.16129032258061</v>
      </c>
      <c r="Y32" s="92">
        <f t="shared" si="26"/>
        <v>54407.7</v>
      </c>
      <c r="Z32" s="94">
        <f t="shared" si="26"/>
        <v>31587.096774193546</v>
      </c>
      <c r="AA32" s="29" t="s">
        <v>160</v>
      </c>
      <c r="AB32" s="309">
        <v>18</v>
      </c>
      <c r="AC32" s="31" t="s">
        <v>7</v>
      </c>
      <c r="AD32" s="32"/>
    </row>
    <row r="33" spans="1:30" ht="18.600000000000001" customHeight="1" x14ac:dyDescent="0.25">
      <c r="A33" s="23">
        <f t="shared" si="25"/>
        <v>26</v>
      </c>
      <c r="B33" s="24" t="s">
        <v>9</v>
      </c>
      <c r="C33" s="25">
        <v>6198.5</v>
      </c>
      <c r="D33" s="26">
        <v>8064.5161290322585</v>
      </c>
      <c r="E33" s="25">
        <v>14989.6</v>
      </c>
      <c r="F33" s="27">
        <v>6451.6129032258068</v>
      </c>
      <c r="G33" s="28">
        <v>959.2</v>
      </c>
      <c r="H33" s="27">
        <v>548.38709677419354</v>
      </c>
      <c r="I33" s="28">
        <v>0</v>
      </c>
      <c r="J33" s="27">
        <v>483.87096774193549</v>
      </c>
      <c r="K33" s="25">
        <v>15341.9</v>
      </c>
      <c r="L33" s="81"/>
      <c r="M33" s="239">
        <f t="shared" si="21"/>
        <v>15341.9</v>
      </c>
      <c r="N33" s="26">
        <v>5483.8709677419356</v>
      </c>
      <c r="O33" s="25">
        <v>0</v>
      </c>
      <c r="P33" s="81">
        <v>0</v>
      </c>
      <c r="Q33" s="28">
        <f t="shared" si="22"/>
        <v>0</v>
      </c>
      <c r="R33" s="27">
        <v>3548.3870967741937</v>
      </c>
      <c r="S33" s="25">
        <v>4771.8</v>
      </c>
      <c r="T33" s="26">
        <v>6361.2903225806449</v>
      </c>
      <c r="U33" s="183">
        <f t="shared" si="23"/>
        <v>42261</v>
      </c>
      <c r="V33" s="90">
        <f t="shared" si="24"/>
        <v>30941.935483870966</v>
      </c>
      <c r="W33" s="25">
        <v>1726.7</v>
      </c>
      <c r="X33" s="26">
        <v>645.16129032258061</v>
      </c>
      <c r="Y33" s="92">
        <f t="shared" si="26"/>
        <v>43987.7</v>
      </c>
      <c r="Z33" s="94">
        <f t="shared" si="26"/>
        <v>31587.096774193546</v>
      </c>
      <c r="AA33" s="29" t="s">
        <v>58</v>
      </c>
      <c r="AB33" s="309">
        <v>23</v>
      </c>
      <c r="AC33" s="31" t="s">
        <v>7</v>
      </c>
      <c r="AD33" s="32"/>
    </row>
    <row r="34" spans="1:30" ht="20.100000000000001" customHeight="1" x14ac:dyDescent="0.25">
      <c r="A34" s="33" t="s">
        <v>10</v>
      </c>
      <c r="B34" s="34">
        <f>SUM(B26+1)</f>
        <v>21</v>
      </c>
      <c r="C34" s="35">
        <f>SUM(C27:C33)</f>
        <v>41802.300000000003</v>
      </c>
      <c r="D34" s="36">
        <f t="shared" ref="D34:Z34" si="27">SUM(D27:D33)</f>
        <v>56451.61290322581</v>
      </c>
      <c r="E34" s="35">
        <f t="shared" si="27"/>
        <v>43350.700000000004</v>
      </c>
      <c r="F34" s="36">
        <f t="shared" si="27"/>
        <v>45161.290322580651</v>
      </c>
      <c r="G34" s="35">
        <f t="shared" si="27"/>
        <v>4182.8999999999996</v>
      </c>
      <c r="H34" s="36">
        <f t="shared" si="27"/>
        <v>3838.7096774193551</v>
      </c>
      <c r="I34" s="35">
        <f>SUM(I27:I33)</f>
        <v>2904</v>
      </c>
      <c r="J34" s="36">
        <f>SUM(J27:J33)</f>
        <v>3387.0967741935488</v>
      </c>
      <c r="K34" s="35">
        <f t="shared" si="27"/>
        <v>74287.3</v>
      </c>
      <c r="L34" s="82">
        <f t="shared" si="27"/>
        <v>0</v>
      </c>
      <c r="M34" s="82">
        <f t="shared" si="27"/>
        <v>74287.3</v>
      </c>
      <c r="N34" s="36">
        <f t="shared" si="27"/>
        <v>38387.096774193546</v>
      </c>
      <c r="O34" s="266">
        <f t="shared" si="27"/>
        <v>3157</v>
      </c>
      <c r="P34" s="38">
        <f t="shared" si="27"/>
        <v>16548</v>
      </c>
      <c r="Q34" s="38">
        <f t="shared" si="27"/>
        <v>19705</v>
      </c>
      <c r="R34" s="82">
        <f t="shared" si="27"/>
        <v>24838.709677419356</v>
      </c>
      <c r="S34" s="35">
        <f t="shared" si="27"/>
        <v>48995.400000000009</v>
      </c>
      <c r="T34" s="36">
        <f>SUM(T27:T33)</f>
        <v>44529.032258064515</v>
      </c>
      <c r="U34" s="35">
        <f t="shared" si="27"/>
        <v>235227.60000000003</v>
      </c>
      <c r="V34" s="36">
        <f t="shared" si="27"/>
        <v>216593.54838709676</v>
      </c>
      <c r="W34" s="35">
        <f t="shared" si="27"/>
        <v>4203.1000000000004</v>
      </c>
      <c r="X34" s="36">
        <f t="shared" si="27"/>
        <v>4516.1290322580644</v>
      </c>
      <c r="Y34" s="35">
        <f t="shared" si="27"/>
        <v>239430.7</v>
      </c>
      <c r="Z34" s="36">
        <f t="shared" si="27"/>
        <v>221109.67741935482</v>
      </c>
      <c r="AA34" s="39" t="s">
        <v>11</v>
      </c>
      <c r="AB34" s="310">
        <f>SUM(AB27:AB33)/7</f>
        <v>17.285714285714285</v>
      </c>
      <c r="AC34" s="41" t="s">
        <v>7</v>
      </c>
      <c r="AD34" s="42"/>
    </row>
    <row r="35" spans="1:30" ht="18.600000000000001" customHeight="1" x14ac:dyDescent="0.25">
      <c r="A35" s="47">
        <f>A33+1</f>
        <v>27</v>
      </c>
      <c r="B35" s="402" t="s">
        <v>12</v>
      </c>
      <c r="C35" s="20">
        <v>7839.5</v>
      </c>
      <c r="D35" s="217">
        <v>8064.5161290322585</v>
      </c>
      <c r="E35" s="20">
        <v>639.20000000000005</v>
      </c>
      <c r="F35" s="218">
        <v>6451.6129032258068</v>
      </c>
      <c r="G35" s="20">
        <v>216</v>
      </c>
      <c r="H35" s="218">
        <v>548.38709677419354</v>
      </c>
      <c r="I35" s="20">
        <v>0</v>
      </c>
      <c r="J35" s="218">
        <v>483.87096774193549</v>
      </c>
      <c r="K35" s="20">
        <v>0</v>
      </c>
      <c r="L35" s="122"/>
      <c r="M35" s="250">
        <f t="shared" ref="M35:M39" si="28">K35+L35</f>
        <v>0</v>
      </c>
      <c r="N35" s="217">
        <v>5483.8709677419356</v>
      </c>
      <c r="O35" s="20">
        <v>0</v>
      </c>
      <c r="P35" s="122">
        <v>0</v>
      </c>
      <c r="Q35" s="226">
        <f t="shared" ref="Q35:Q39" si="29">O35+P35</f>
        <v>0</v>
      </c>
      <c r="R35" s="218">
        <v>3548.3870967741937</v>
      </c>
      <c r="S35" s="20">
        <v>5055.3</v>
      </c>
      <c r="T35" s="217">
        <v>6361.2903225806449</v>
      </c>
      <c r="U35" s="219">
        <f t="shared" ref="U35:U38" si="30">SUM(C35+E35+G35+I35+M35+Q35+S35)</f>
        <v>13750</v>
      </c>
      <c r="V35" s="220">
        <f>SUM(D35+F35+H35+J35+N35+R35+T35)</f>
        <v>30941.935483870966</v>
      </c>
      <c r="W35" s="20">
        <v>0</v>
      </c>
      <c r="X35" s="217">
        <v>645.16129032258061</v>
      </c>
      <c r="Y35" s="330">
        <f>U35+W35</f>
        <v>13750</v>
      </c>
      <c r="Z35" s="110">
        <f>SUM(V35+X35)</f>
        <v>31587.096774193546</v>
      </c>
      <c r="AA35" s="50" t="s">
        <v>161</v>
      </c>
      <c r="AB35" s="307">
        <v>14</v>
      </c>
      <c r="AC35" s="228" t="s">
        <v>7</v>
      </c>
      <c r="AD35" s="229"/>
    </row>
    <row r="36" spans="1:30" ht="18.600000000000001" customHeight="1" x14ac:dyDescent="0.25">
      <c r="A36" s="47">
        <f>A35+1</f>
        <v>28</v>
      </c>
      <c r="B36" s="52" t="s">
        <v>13</v>
      </c>
      <c r="C36" s="16">
        <v>3881.5</v>
      </c>
      <c r="D36" s="217">
        <v>8064.5161290322585</v>
      </c>
      <c r="E36" s="20">
        <v>3865</v>
      </c>
      <c r="F36" s="218">
        <v>6451.6129032258068</v>
      </c>
      <c r="G36" s="16">
        <v>734.5</v>
      </c>
      <c r="H36" s="218">
        <v>548.38709677419354</v>
      </c>
      <c r="I36" s="16">
        <v>0</v>
      </c>
      <c r="J36" s="218">
        <v>483.87096774193549</v>
      </c>
      <c r="K36" s="16">
        <v>1128.9000000000001</v>
      </c>
      <c r="L36" s="80"/>
      <c r="M36" s="238">
        <f>K36+L36</f>
        <v>1128.9000000000001</v>
      </c>
      <c r="N36" s="217">
        <v>5483.8709677419356</v>
      </c>
      <c r="O36" s="16">
        <v>1539.1</v>
      </c>
      <c r="P36" s="80">
        <v>8647</v>
      </c>
      <c r="Q36" s="19">
        <f>O36+P36</f>
        <v>10186.1</v>
      </c>
      <c r="R36" s="218">
        <v>3548.3870967741937</v>
      </c>
      <c r="S36" s="20">
        <v>7448.6</v>
      </c>
      <c r="T36" s="217">
        <v>6361.2903225806449</v>
      </c>
      <c r="U36" s="219">
        <f t="shared" si="30"/>
        <v>27244.6</v>
      </c>
      <c r="V36" s="220">
        <f>SUM(D36+F36+H36+J36+N36+R36+T36)</f>
        <v>30941.935483870966</v>
      </c>
      <c r="W36" s="16">
        <v>0</v>
      </c>
      <c r="X36" s="217">
        <v>645.16129032258061</v>
      </c>
      <c r="Y36" s="330">
        <f>U36+W36</f>
        <v>27244.6</v>
      </c>
      <c r="Z36" s="110">
        <f>SUM(V36+X36)</f>
        <v>31587.096774193546</v>
      </c>
      <c r="AA36" s="45" t="s">
        <v>57</v>
      </c>
      <c r="AB36" s="308">
        <v>20</v>
      </c>
      <c r="AC36" s="31" t="s">
        <v>7</v>
      </c>
      <c r="AD36" s="22"/>
    </row>
    <row r="37" spans="1:30" ht="18.600000000000001" customHeight="1" x14ac:dyDescent="0.25">
      <c r="A37" s="47">
        <f t="shared" ref="A37:A39" si="31">A36+1</f>
        <v>29</v>
      </c>
      <c r="B37" s="52" t="s">
        <v>99</v>
      </c>
      <c r="C37" s="16">
        <v>11764.7</v>
      </c>
      <c r="D37" s="217">
        <v>8064.5161290322585</v>
      </c>
      <c r="E37" s="20">
        <v>771.5</v>
      </c>
      <c r="F37" s="218">
        <v>6451.6129032258068</v>
      </c>
      <c r="G37" s="16">
        <v>137.69999999999999</v>
      </c>
      <c r="H37" s="218">
        <v>548.38709677419354</v>
      </c>
      <c r="I37" s="16">
        <v>0</v>
      </c>
      <c r="J37" s="218">
        <v>483.87096774193549</v>
      </c>
      <c r="K37" s="16">
        <v>1737.8</v>
      </c>
      <c r="L37" s="80"/>
      <c r="M37" s="238">
        <f t="shared" si="28"/>
        <v>1737.8</v>
      </c>
      <c r="N37" s="217">
        <v>5483.8709677419356</v>
      </c>
      <c r="O37" s="16">
        <v>12</v>
      </c>
      <c r="P37" s="238">
        <v>3789</v>
      </c>
      <c r="Q37" s="19">
        <f t="shared" si="29"/>
        <v>3801</v>
      </c>
      <c r="R37" s="218">
        <v>3548.3870967741937</v>
      </c>
      <c r="S37" s="20">
        <v>5351.6</v>
      </c>
      <c r="T37" s="217">
        <v>6361.2903225806449</v>
      </c>
      <c r="U37" s="219">
        <f t="shared" si="30"/>
        <v>23564.300000000003</v>
      </c>
      <c r="V37" s="220">
        <f t="shared" ref="V37:V38" si="32">SUM(D37+F37+H37+J37+N37+R37+T37)</f>
        <v>30941.935483870966</v>
      </c>
      <c r="W37" s="16">
        <v>0</v>
      </c>
      <c r="X37" s="217">
        <v>645.16129032258061</v>
      </c>
      <c r="Y37" s="330">
        <f>U37+W37</f>
        <v>23564.300000000003</v>
      </c>
      <c r="Z37" s="110">
        <f>SUM(V37+X37)</f>
        <v>31587.096774193546</v>
      </c>
      <c r="AA37" s="45" t="s">
        <v>162</v>
      </c>
      <c r="AB37" s="308">
        <v>13</v>
      </c>
      <c r="AC37" s="31"/>
      <c r="AD37" s="22"/>
    </row>
    <row r="38" spans="1:30" ht="18.600000000000001" customHeight="1" x14ac:dyDescent="0.25">
      <c r="A38" s="23">
        <f t="shared" si="31"/>
        <v>30</v>
      </c>
      <c r="B38" s="53" t="s">
        <v>100</v>
      </c>
      <c r="C38" s="25">
        <v>9872.5</v>
      </c>
      <c r="D38" s="26">
        <v>8064.5161290322585</v>
      </c>
      <c r="E38" s="25">
        <v>0</v>
      </c>
      <c r="F38" s="27">
        <v>6451.6129032258068</v>
      </c>
      <c r="G38" s="25">
        <v>102</v>
      </c>
      <c r="H38" s="27">
        <v>548.38709677419354</v>
      </c>
      <c r="I38" s="25">
        <v>0</v>
      </c>
      <c r="J38" s="27">
        <v>483.87096774193549</v>
      </c>
      <c r="K38" s="25">
        <v>620</v>
      </c>
      <c r="L38" s="81"/>
      <c r="M38" s="239">
        <f t="shared" si="28"/>
        <v>620</v>
      </c>
      <c r="N38" s="26">
        <v>5483.8709677419356</v>
      </c>
      <c r="O38" s="25">
        <v>1756.1</v>
      </c>
      <c r="P38" s="239">
        <v>3868</v>
      </c>
      <c r="Q38" s="28">
        <f t="shared" si="29"/>
        <v>5624.1</v>
      </c>
      <c r="R38" s="27">
        <v>3548.3870967741937</v>
      </c>
      <c r="S38" s="25">
        <v>6865</v>
      </c>
      <c r="T38" s="26">
        <v>6361.2903225806449</v>
      </c>
      <c r="U38" s="183">
        <f t="shared" si="30"/>
        <v>23083.599999999999</v>
      </c>
      <c r="V38" s="90">
        <f t="shared" si="32"/>
        <v>30941.935483870966</v>
      </c>
      <c r="W38" s="25">
        <v>0</v>
      </c>
      <c r="X38" s="26">
        <v>645.16129032258061</v>
      </c>
      <c r="Y38" s="477">
        <f>U38+W38</f>
        <v>23083.599999999999</v>
      </c>
      <c r="Z38" s="234">
        <f>SUM(V38+X38)</f>
        <v>31587.096774193546</v>
      </c>
      <c r="AA38" s="29" t="s">
        <v>162</v>
      </c>
      <c r="AB38" s="309">
        <v>13</v>
      </c>
      <c r="AC38" s="31"/>
      <c r="AD38" s="32" t="s">
        <v>127</v>
      </c>
    </row>
    <row r="39" spans="1:30" ht="18.600000000000001" customHeight="1" x14ac:dyDescent="0.25">
      <c r="A39" s="47">
        <f t="shared" si="31"/>
        <v>31</v>
      </c>
      <c r="B39" s="52" t="s">
        <v>123</v>
      </c>
      <c r="C39" s="16">
        <v>10476</v>
      </c>
      <c r="D39" s="217">
        <v>8064.5161290322585</v>
      </c>
      <c r="E39" s="20">
        <v>0</v>
      </c>
      <c r="F39" s="218">
        <v>6451.6129032258068</v>
      </c>
      <c r="G39" s="16">
        <v>0</v>
      </c>
      <c r="H39" s="218">
        <v>548.38709677419354</v>
      </c>
      <c r="I39" s="16">
        <v>0</v>
      </c>
      <c r="J39" s="218">
        <v>483.87096774193549</v>
      </c>
      <c r="K39" s="16">
        <v>26564.7</v>
      </c>
      <c r="L39" s="80"/>
      <c r="M39" s="238">
        <f t="shared" si="28"/>
        <v>26564.7</v>
      </c>
      <c r="N39" s="217">
        <v>5483.8709677419356</v>
      </c>
      <c r="O39" s="16">
        <v>6</v>
      </c>
      <c r="P39" s="238">
        <v>1248</v>
      </c>
      <c r="Q39" s="19">
        <f t="shared" si="29"/>
        <v>1254</v>
      </c>
      <c r="R39" s="218">
        <v>3548.3870967741937</v>
      </c>
      <c r="S39" s="16">
        <v>7620.4</v>
      </c>
      <c r="T39" s="217">
        <v>6361.2903225806449</v>
      </c>
      <c r="U39" s="219">
        <f>SUM(C39+E39+G39+I39+M39+Q39+S39)</f>
        <v>45915.1</v>
      </c>
      <c r="V39" s="220">
        <f>SUM(D39+F39+H39+J39+N39+R39+T39)</f>
        <v>30941.935483870966</v>
      </c>
      <c r="W39" s="16">
        <v>0</v>
      </c>
      <c r="X39" s="217">
        <v>645.16129032258061</v>
      </c>
      <c r="Y39" s="330">
        <f>U39+W39</f>
        <v>45915.1</v>
      </c>
      <c r="Z39" s="110">
        <f>SUM(V39+X39)</f>
        <v>31587.096774193546</v>
      </c>
      <c r="AA39" s="45" t="s">
        <v>159</v>
      </c>
      <c r="AB39" s="308">
        <v>9</v>
      </c>
      <c r="AC39" s="21" t="s">
        <v>7</v>
      </c>
      <c r="AD39" s="22"/>
    </row>
    <row r="40" spans="1:30" ht="18.600000000000001" customHeight="1" thickBot="1" x14ac:dyDescent="0.3">
      <c r="A40" s="33" t="s">
        <v>10</v>
      </c>
      <c r="B40" s="34">
        <f>SUM(B34+1)</f>
        <v>22</v>
      </c>
      <c r="C40" s="68">
        <f>SUM(C35:C39)</f>
        <v>43834.2</v>
      </c>
      <c r="D40" s="118">
        <f>SUM(D35:D39)</f>
        <v>40322.580645161295</v>
      </c>
      <c r="E40" s="298">
        <f t="shared" ref="E40:F40" si="33">SUM(E35:E39)</f>
        <v>5275.7</v>
      </c>
      <c r="F40" s="118">
        <f t="shared" si="33"/>
        <v>32258.064516129034</v>
      </c>
      <c r="G40" s="298">
        <f t="shared" ref="G40" si="34">SUM(G35:G39)</f>
        <v>1190.2</v>
      </c>
      <c r="H40" s="118">
        <f t="shared" ref="H40" si="35">SUM(H35:H39)</f>
        <v>2741.9354838709678</v>
      </c>
      <c r="I40" s="68">
        <f t="shared" ref="I40" si="36">SUM(I35:I39)</f>
        <v>0</v>
      </c>
      <c r="J40" s="298">
        <f t="shared" ref="J40" si="37">SUM(J35:J39)</f>
        <v>2419.3548387096776</v>
      </c>
      <c r="K40" s="68">
        <f>SUM(K35:K39)</f>
        <v>30051.4</v>
      </c>
      <c r="L40" s="70">
        <f t="shared" ref="L40:M40" si="38">SUM(L35:L39)</f>
        <v>0</v>
      </c>
      <c r="M40" s="70">
        <f t="shared" si="38"/>
        <v>30051.4</v>
      </c>
      <c r="N40" s="71">
        <f t="shared" ref="N40" si="39">SUM(N35:N39)</f>
        <v>27419.354838709678</v>
      </c>
      <c r="O40" s="298">
        <f>SUM(O35:O39)</f>
        <v>3313.2</v>
      </c>
      <c r="P40" s="306">
        <f t="shared" ref="P40" si="40">SUM(P35:P39)</f>
        <v>17552</v>
      </c>
      <c r="Q40" s="306">
        <f t="shared" ref="Q40" si="41">SUM(Q35:Q39)</f>
        <v>20865.2</v>
      </c>
      <c r="R40" s="71">
        <f t="shared" ref="R40" si="42">SUM(R35:R39)</f>
        <v>17741.93548387097</v>
      </c>
      <c r="S40" s="298">
        <f t="shared" ref="S40" si="43">SUM(S35:S39)</f>
        <v>32340.9</v>
      </c>
      <c r="T40" s="118">
        <f>SUM(T35:T39)</f>
        <v>31806.451612903224</v>
      </c>
      <c r="U40" s="303">
        <f>SUM(U35:U39)</f>
        <v>133557.6</v>
      </c>
      <c r="V40" s="118">
        <f t="shared" ref="V40" si="44">SUM(V35:V39)</f>
        <v>154709.67741935482</v>
      </c>
      <c r="W40" s="298">
        <f t="shared" ref="W40" si="45">SUM(W35:W39)</f>
        <v>0</v>
      </c>
      <c r="X40" s="118">
        <f t="shared" ref="X40" si="46">SUM(X35:X39)</f>
        <v>3225.8064516129029</v>
      </c>
      <c r="Y40" s="303">
        <f t="shared" ref="Y40" si="47">SUM(Y35:Y39)</f>
        <v>133557.6</v>
      </c>
      <c r="Z40" s="118">
        <f t="shared" ref="Z40" si="48">SUM(Z35:Z39)</f>
        <v>157935.48387096773</v>
      </c>
      <c r="AA40" s="305" t="s">
        <v>75</v>
      </c>
      <c r="AB40" s="311">
        <v>0</v>
      </c>
      <c r="AC40" s="299" t="s">
        <v>7</v>
      </c>
      <c r="AD40" s="300"/>
    </row>
    <row r="41" spans="1:30" ht="19.149999999999999" customHeight="1" x14ac:dyDescent="0.25">
      <c r="A41" s="175" t="s">
        <v>16</v>
      </c>
      <c r="B41" s="127"/>
      <c r="C41" s="116">
        <f>C10+C18+C26+C34+C40</f>
        <v>262086.30000000005</v>
      </c>
      <c r="D41" s="128">
        <f>D10+D18+D26+D34+D40</f>
        <v>250000.00000000003</v>
      </c>
      <c r="E41" s="116">
        <f t="shared" ref="E41:F41" si="49">E10+E18+E26+E34+E40</f>
        <v>151015.30000000002</v>
      </c>
      <c r="F41" s="304">
        <f t="shared" si="49"/>
        <v>200000</v>
      </c>
      <c r="G41" s="115">
        <f t="shared" ref="G41" si="50">G10+G18+G26+G34+G40</f>
        <v>18169.8</v>
      </c>
      <c r="H41" s="128">
        <f t="shared" ref="H41" si="51">H10+H18+H26+H34+H40</f>
        <v>17000</v>
      </c>
      <c r="I41" s="116">
        <f t="shared" ref="I41" si="52">I10+I18+I26+I34+I40</f>
        <v>25908.199999999997</v>
      </c>
      <c r="J41" s="304">
        <f t="shared" ref="J41" si="53">J10+J18+J26+J34+J40</f>
        <v>15000.000000000002</v>
      </c>
      <c r="K41" s="115">
        <f t="shared" ref="K41:M41" si="54">K10+K18+K26+K34+K40</f>
        <v>260163.1</v>
      </c>
      <c r="L41" s="116">
        <f t="shared" si="54"/>
        <v>0</v>
      </c>
      <c r="M41" s="116">
        <f t="shared" si="54"/>
        <v>260163.1</v>
      </c>
      <c r="N41" s="304">
        <f t="shared" ref="N41" si="55">N10+N18+N26+N34+N40</f>
        <v>169999.99999999997</v>
      </c>
      <c r="O41" s="115">
        <f t="shared" ref="O41" si="56">O10+O18+O26+O34+O40</f>
        <v>16614.2</v>
      </c>
      <c r="P41" s="116">
        <f t="shared" ref="P41" si="57">P10+P18+P26+P34+P40</f>
        <v>64457</v>
      </c>
      <c r="Q41" s="116">
        <f t="shared" ref="Q41" si="58">Q10+Q18+Q26+Q34+Q40</f>
        <v>81071.199999999997</v>
      </c>
      <c r="R41" s="128">
        <f t="shared" ref="R41" si="59">R10+R18+R26+R34+R40</f>
        <v>110000</v>
      </c>
      <c r="S41" s="116">
        <f t="shared" ref="S41" si="60">S10+S18+S26+S34+S40</f>
        <v>222080.20000000004</v>
      </c>
      <c r="T41" s="304">
        <f>T10+T18+T26+T34+T40</f>
        <v>197200</v>
      </c>
      <c r="U41" s="115">
        <f t="shared" ref="U41" si="61">U10+U18+U26+U34+U40</f>
        <v>1020494.1</v>
      </c>
      <c r="V41" s="304">
        <f t="shared" ref="V41" si="62">V10+V18+V26+V34+V40</f>
        <v>959199.99999999988</v>
      </c>
      <c r="W41" s="115">
        <f t="shared" ref="W41" si="63">W10+W18+W26+W34+W40</f>
        <v>13787</v>
      </c>
      <c r="X41" s="128">
        <f t="shared" ref="X41" si="64">X10+X18+X26+X34+X40</f>
        <v>20000</v>
      </c>
      <c r="Y41" s="116">
        <f t="shared" ref="Y41" si="65">Y10+Y18+Y26+Y34+Y40</f>
        <v>1034281.1</v>
      </c>
      <c r="Z41" s="116">
        <f t="shared" ref="Z41" si="66">Z10+Z18+Z26+Z34+Z40</f>
        <v>979199.99999999988</v>
      </c>
      <c r="AA41" s="126" t="s">
        <v>16</v>
      </c>
      <c r="AB41" s="101"/>
      <c r="AC41" s="102"/>
      <c r="AD41" s="103"/>
    </row>
    <row r="42" spans="1:30" ht="19.5" customHeight="1" thickBot="1" x14ac:dyDescent="0.3">
      <c r="A42" s="177" t="s">
        <v>28</v>
      </c>
      <c r="B42" s="178"/>
      <c r="C42" s="65">
        <f t="shared" ref="C42:Z42" si="67">C41/31</f>
        <v>8454.3967741935503</v>
      </c>
      <c r="D42" s="66">
        <f t="shared" si="67"/>
        <v>8064.5161290322594</v>
      </c>
      <c r="E42" s="65">
        <f t="shared" si="67"/>
        <v>4871.4612903225816</v>
      </c>
      <c r="F42" s="66">
        <f t="shared" si="67"/>
        <v>6451.6129032258068</v>
      </c>
      <c r="G42" s="65">
        <f t="shared" si="67"/>
        <v>586.12258064516129</v>
      </c>
      <c r="H42" s="66">
        <f t="shared" si="67"/>
        <v>548.38709677419354</v>
      </c>
      <c r="I42" s="65">
        <f>I41/31</f>
        <v>835.74838709677408</v>
      </c>
      <c r="J42" s="66">
        <f>J41/31</f>
        <v>483.87096774193554</v>
      </c>
      <c r="K42" s="65">
        <f t="shared" si="67"/>
        <v>8392.3580645161292</v>
      </c>
      <c r="L42" s="83"/>
      <c r="M42" s="240"/>
      <c r="N42" s="66">
        <f t="shared" si="67"/>
        <v>5483.8709677419347</v>
      </c>
      <c r="O42" s="65">
        <f t="shared" si="67"/>
        <v>535.94193548387102</v>
      </c>
      <c r="P42" s="240"/>
      <c r="Q42" s="245"/>
      <c r="R42" s="66">
        <f t="shared" si="67"/>
        <v>3548.3870967741937</v>
      </c>
      <c r="S42" s="65">
        <f t="shared" si="67"/>
        <v>7163.8774193548397</v>
      </c>
      <c r="T42" s="66">
        <f t="shared" si="67"/>
        <v>6361.2903225806449</v>
      </c>
      <c r="U42" s="65">
        <f t="shared" si="67"/>
        <v>32919.164516129029</v>
      </c>
      <c r="V42" s="66">
        <f t="shared" si="67"/>
        <v>30941.935483870962</v>
      </c>
      <c r="W42" s="65">
        <f t="shared" si="67"/>
        <v>444.74193548387098</v>
      </c>
      <c r="X42" s="66">
        <f t="shared" si="67"/>
        <v>645.16129032258061</v>
      </c>
      <c r="Y42" s="179">
        <f t="shared" si="67"/>
        <v>33363.9064516129</v>
      </c>
      <c r="Z42" s="180">
        <f t="shared" si="67"/>
        <v>31587.096774193546</v>
      </c>
      <c r="AA42" s="176" t="s">
        <v>17</v>
      </c>
      <c r="AB42" s="98"/>
      <c r="AC42" s="99"/>
      <c r="AD42" s="100"/>
    </row>
    <row r="43" spans="1:30" ht="20.100000000000001" customHeight="1" x14ac:dyDescent="0.25">
      <c r="A43" s="72" t="s">
        <v>18</v>
      </c>
      <c r="B43" s="73"/>
      <c r="C43" s="74">
        <f>SUM(C41-D41)</f>
        <v>12086.300000000017</v>
      </c>
      <c r="D43" s="75"/>
      <c r="E43" s="74">
        <f>SUM(E41-F41)</f>
        <v>-48984.699999999983</v>
      </c>
      <c r="F43" s="75"/>
      <c r="G43" s="74">
        <f>SUM(G41-H41)</f>
        <v>1169.7999999999993</v>
      </c>
      <c r="H43" s="75"/>
      <c r="I43" s="74">
        <f>SUM(I41-J41)</f>
        <v>10908.199999999995</v>
      </c>
      <c r="J43" s="75"/>
      <c r="K43" s="74"/>
      <c r="L43" s="241"/>
      <c r="M43" s="241">
        <f>SUM(M41-N41)</f>
        <v>90163.100000000035</v>
      </c>
      <c r="N43" s="75"/>
      <c r="O43" s="301"/>
      <c r="P43" s="291"/>
      <c r="Q43" s="246">
        <f>SUM(Q41-R41)</f>
        <v>-28928.800000000003</v>
      </c>
      <c r="R43" s="75"/>
      <c r="S43" s="74">
        <f>SUM(S41-T41)</f>
        <v>24880.200000000041</v>
      </c>
      <c r="T43" s="75"/>
      <c r="U43" s="96">
        <f>SUM(U41-V41)</f>
        <v>61294.100000000093</v>
      </c>
      <c r="V43" s="75"/>
      <c r="W43" s="74">
        <f>SUM(W41-X41)</f>
        <v>-6213</v>
      </c>
      <c r="X43" s="75"/>
      <c r="Y43" s="111">
        <f>SUM(Y41-Z41)</f>
        <v>55081.100000000093</v>
      </c>
      <c r="Z43" s="112"/>
      <c r="AC43" s="2"/>
      <c r="AD43" s="2"/>
    </row>
    <row r="44" spans="1:30" ht="20.100000000000001" customHeight="1" thickBot="1" x14ac:dyDescent="0.3">
      <c r="A44" s="76" t="s">
        <v>19</v>
      </c>
      <c r="B44" s="77"/>
      <c r="C44" s="95">
        <f>SUM(100/D41*C41)</f>
        <v>104.83452000000001</v>
      </c>
      <c r="D44" s="78"/>
      <c r="E44" s="95">
        <f>SUM(100/F41*E41)</f>
        <v>75.507650000000012</v>
      </c>
      <c r="F44" s="78"/>
      <c r="G44" s="95">
        <f>SUM(100/H41*G41)</f>
        <v>106.88117647058823</v>
      </c>
      <c r="H44" s="78"/>
      <c r="I44" s="95">
        <f>SUM(100/J41*I41)</f>
        <v>172.72133333333329</v>
      </c>
      <c r="J44" s="78"/>
      <c r="K44" s="95"/>
      <c r="L44" s="242"/>
      <c r="M44" s="242">
        <f>SUM(100/N41*M41)</f>
        <v>153.03711764705884</v>
      </c>
      <c r="N44" s="78"/>
      <c r="O44" s="302"/>
      <c r="P44" s="247"/>
      <c r="Q44" s="312">
        <f>SUM(100/R41*Q41)</f>
        <v>73.701090909090908</v>
      </c>
      <c r="R44" s="78"/>
      <c r="S44" s="95">
        <f>SUM(100/T41*S41)</f>
        <v>112.61673427991889</v>
      </c>
      <c r="T44" s="78"/>
      <c r="U44" s="97">
        <f>SUM(100/V41*U41)</f>
        <v>106.39012718932445</v>
      </c>
      <c r="V44" s="78"/>
      <c r="W44" s="95">
        <f>SUM(100/X41*W41)</f>
        <v>68.935000000000002</v>
      </c>
      <c r="X44" s="78"/>
      <c r="Y44" s="113">
        <f>SUM(100/Z41*Y41)</f>
        <v>105.62511233660132</v>
      </c>
      <c r="Z44" s="114"/>
      <c r="AC44" s="2"/>
      <c r="AD44" s="2"/>
    </row>
    <row r="45" spans="1:30" x14ac:dyDescent="0.25">
      <c r="Q45" s="292"/>
    </row>
    <row r="47" spans="1:30" x14ac:dyDescent="0.25">
      <c r="C47" s="230"/>
      <c r="D47" s="230"/>
      <c r="E47" s="230"/>
      <c r="F47" s="230"/>
      <c r="G47" s="230"/>
      <c r="H47" s="360"/>
      <c r="I47" s="230"/>
      <c r="J47" s="36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</row>
    <row r="48" spans="1:30" x14ac:dyDescent="0.25">
      <c r="C48" s="230"/>
      <c r="D48" s="230"/>
      <c r="E48" s="230"/>
      <c r="F48" s="230"/>
      <c r="G48" s="360"/>
      <c r="H48" s="360"/>
      <c r="I48" s="360"/>
      <c r="J48" s="36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</row>
    <row r="50" spans="10:18" x14ac:dyDescent="0.25">
      <c r="R50" s="221"/>
    </row>
    <row r="53" spans="10:18" x14ac:dyDescent="0.25">
      <c r="J53" s="361"/>
    </row>
  </sheetData>
  <customSheetViews>
    <customSheetView guid="{512075D7-6EE7-4EEF-842F-09AF15E6D8B5}" scale="70" showPageBreaks="1" fitToPage="1" printArea="1">
      <pane ySplit="4" topLeftCell="A11" activePane="bottomLeft" state="frozen"/>
      <selection pane="bottomLeft" activeCell="N48" sqref="N48"/>
      <pageMargins left="0.59055118110236227" right="0.59055118110236227" top="1.1811023622047245" bottom="0.59055118110236227" header="0.11811023622047245" footer="0.31496062992125984"/>
      <pageSetup paperSize="9" scale="37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>
      <pane ySplit="4" topLeftCell="A11" activePane="bottomLeft" state="frozen"/>
      <selection pane="bottomLeft" activeCell="N48" sqref="N48"/>
      <pageMargins left="0.59055118110236227" right="0.59055118110236227" top="1.1811023622047245" bottom="0.59055118110236227" header="0.11811023622047245" footer="0.31496062992125984"/>
      <pageSetup paperSize="9" scale="3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88" showPageBreaks="1" fitToPage="1" printArea="1">
      <pane ySplit="4" topLeftCell="A20" activePane="bottomLeft" state="frozen"/>
      <selection pane="bottomLeft" activeCell="AA38" sqref="AA38"/>
      <pageMargins left="0.59055118110236227" right="0.59055118110236227" top="1.1811023622047245" bottom="0.59055118110236227" header="0.11811023622047245" footer="0.31496062992125984"/>
      <pageSetup paperSize="9" scale="3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>
      <pane ySplit="4" topLeftCell="A5" activePane="bottomLeft" state="frozen"/>
      <selection pane="bottomLeft" activeCell="A42" sqref="A42:XFD42"/>
      <pageMargins left="0.59055118110236227" right="0.59055118110236227" top="1.1811023622047245" bottom="0.59055118110236227" header="0.11811023622047245" footer="0.31496062992125984"/>
      <pageSetup paperSize="9" scale="3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70" showPageBreaks="1" fitToPage="1" printArea="1">
      <pane ySplit="4" topLeftCell="A14" activePane="bottomLeft" state="frozen"/>
      <selection pane="bottomLeft" activeCell="P46" sqref="P46"/>
      <pageMargins left="0.59055118110236227" right="0.59055118110236227" top="1.1811023622047245" bottom="0.59055118110236227" header="0.11811023622047245" footer="0.31496062992125984"/>
      <pageSetup paperSize="9" scale="3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20" activePane="bottomLeft" state="frozen"/>
      <selection pane="bottomLeft" activeCell="P36" sqref="P36"/>
      <pageMargins left="0.59055118110236227" right="0.59055118110236227" top="1.1811023622047245" bottom="0.59055118110236227" header="0.11811023622047245" footer="0.31496062992125984"/>
      <pageSetup paperSize="9" scale="37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5" activePane="bottomLeft" state="frozen"/>
      <selection pane="bottomLeft" activeCell="O1" sqref="O1:O1048576"/>
      <pageMargins left="0.59055118110236227" right="0.59055118110236227" top="1.1811023622047245" bottom="0.59055118110236227" header="0.11811023622047245" footer="0.31496062992125984"/>
      <pageSetup paperSize="9" scale="41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A42" sqref="A42:XFD42"/>
      <pageMargins left="0.59055118110236227" right="0.59055118110236227" top="1.1811023622047245" bottom="0.59055118110236227" header="0.11811023622047245" footer="0.31496062992125984"/>
      <pageSetup paperSize="9" scale="48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70" showPageBreaks="1" fitToPage="1">
      <pane ySplit="4" topLeftCell="A14" activePane="bottomLeft" state="frozen"/>
      <selection pane="bottomLeft" activeCell="N33" sqref="N33"/>
      <pageMargins left="0.59055118110236227" right="0.59055118110236227" top="1.1811023622047245" bottom="0.59055118110236227" header="0.11811023622047245" footer="0.31496062992125984"/>
      <pageSetup paperSize="9" scale="30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5" activePane="bottomLeft" state="frozen"/>
      <selection pane="bottomLeft" activeCell="M22" sqref="M22"/>
      <pageMargins left="0.59055118110236227" right="0.59055118110236227" top="1.1811023622047245" bottom="0.59055118110236227" header="0.11811023622047245" footer="0.31496062992125984"/>
      <pageSetup paperSize="9" scale="37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88" showPageBreaks="1" fitToPage="1" printArea="1">
      <pane ySplit="4" topLeftCell="A20" activePane="bottomLeft" state="frozen"/>
      <selection pane="bottomLeft" activeCell="AA38" sqref="AA38"/>
      <pageMargins left="0.59055118110236227" right="0.59055118110236227" top="1.1811023622047245" bottom="0.59055118110236227" header="0.11811023622047245" footer="0.31496062992125984"/>
      <pageSetup paperSize="9" scale="37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O3:R3"/>
    <mergeCell ref="I3:J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7" orientation="landscape" r:id="rId12"/>
  <headerFooter>
    <oddHeader>&amp;L&amp;G</oddHeader>
    <oddFooter>&amp;L&amp;"DIN Offc Light,Standard"&amp;7&amp;F / Version &amp;D&amp;R&amp;"DIN Offc Light,Standard"&amp;7Seite &amp;P von &amp;N</oddFooter>
  </headerFooter>
  <legacyDrawing r:id="rId13"/>
  <legacyDrawingHF r:id="rId1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G49"/>
  <sheetViews>
    <sheetView zoomScale="70" zoomScaleNormal="93" workbookViewId="0">
      <pane ySplit="4" topLeftCell="A17" activePane="bottomLeft" state="frozen"/>
      <selection pane="bottomLeft" activeCell="S52" sqref="S52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5.140625" style="2" bestFit="1" customWidth="1"/>
    <col min="4" max="5" width="14.28515625" style="2" bestFit="1" customWidth="1"/>
    <col min="6" max="6" width="14.85546875" style="2" bestFit="1" customWidth="1"/>
    <col min="7" max="8" width="13.140625" style="6" bestFit="1" customWidth="1"/>
    <col min="9" max="9" width="12.85546875" style="6" bestFit="1" customWidth="1"/>
    <col min="10" max="10" width="13.140625" style="6" bestFit="1" customWidth="1"/>
    <col min="11" max="11" width="14.28515625" style="2" bestFit="1" customWidth="1"/>
    <col min="12" max="13" width="14.28515625" style="2" customWidth="1"/>
    <col min="14" max="14" width="14.28515625" style="2" bestFit="1" customWidth="1"/>
    <col min="15" max="15" width="12.85546875" style="2" bestFit="1" customWidth="1"/>
    <col min="16" max="16" width="14.28515625" style="2" bestFit="1" customWidth="1"/>
    <col min="17" max="17" width="15" style="2" bestFit="1" customWidth="1"/>
    <col min="18" max="20" width="14.28515625" style="2" bestFit="1" customWidth="1"/>
    <col min="21" max="21" width="19.42578125" style="2" customWidth="1"/>
    <col min="22" max="22" width="15.42578125" style="2" bestFit="1" customWidth="1"/>
    <col min="23" max="23" width="17" style="2" bestFit="1" customWidth="1"/>
    <col min="24" max="24" width="13.140625" style="2" bestFit="1" customWidth="1"/>
    <col min="25" max="25" width="19.7109375" style="2" customWidth="1"/>
    <col min="26" max="26" width="15.85546875" style="2" bestFit="1" customWidth="1"/>
    <col min="27" max="27" width="27" style="2" bestFit="1" customWidth="1"/>
    <col min="28" max="28" width="8.42578125" style="2" bestFit="1" customWidth="1"/>
    <col min="29" max="29" width="5.140625" style="4" customWidth="1"/>
    <col min="30" max="30" width="20.7109375" style="4" customWidth="1"/>
    <col min="31" max="16384" width="11.42578125" style="2"/>
  </cols>
  <sheetData>
    <row r="1" spans="1:33" ht="34.15" customHeight="1" x14ac:dyDescent="0.25">
      <c r="A1" s="104" t="s">
        <v>55</v>
      </c>
      <c r="G1" s="2"/>
      <c r="H1" s="521">
        <v>45444</v>
      </c>
      <c r="I1" s="521"/>
      <c r="J1" s="521"/>
      <c r="K1" s="521"/>
      <c r="L1" s="435"/>
      <c r="M1" s="435"/>
    </row>
    <row r="2" spans="1:33" ht="21" thickBot="1" x14ac:dyDescent="0.3">
      <c r="A2" s="353"/>
      <c r="B2" s="354"/>
    </row>
    <row r="3" spans="1:33" s="8" customFormat="1" ht="50.25" thickBot="1" x14ac:dyDescent="0.3">
      <c r="A3" s="7"/>
      <c r="B3" s="355"/>
      <c r="C3" s="346" t="s">
        <v>20</v>
      </c>
      <c r="D3" s="347"/>
      <c r="E3" s="346" t="s">
        <v>23</v>
      </c>
      <c r="F3" s="347"/>
      <c r="G3" s="346" t="s">
        <v>24</v>
      </c>
      <c r="H3" s="347"/>
      <c r="I3" s="439" t="s">
        <v>53</v>
      </c>
      <c r="J3" s="440"/>
      <c r="K3" s="436" t="s">
        <v>25</v>
      </c>
      <c r="L3" s="438"/>
      <c r="M3" s="438"/>
      <c r="N3" s="437"/>
      <c r="O3" s="346" t="s">
        <v>30</v>
      </c>
      <c r="P3" s="351"/>
      <c r="Q3" s="351"/>
      <c r="R3" s="347"/>
      <c r="S3" s="351" t="s">
        <v>2</v>
      </c>
      <c r="T3" s="351"/>
      <c r="U3" s="357" t="s">
        <v>71</v>
      </c>
      <c r="V3" s="358"/>
      <c r="W3" s="346" t="s">
        <v>26</v>
      </c>
      <c r="X3" s="347"/>
      <c r="Y3" s="493" t="s">
        <v>27</v>
      </c>
      <c r="Z3" s="348"/>
      <c r="AA3" s="346" t="s">
        <v>0</v>
      </c>
      <c r="AB3" s="351"/>
      <c r="AC3" s="351"/>
      <c r="AD3" s="347"/>
    </row>
    <row r="4" spans="1:33" s="4" customFormat="1" ht="18.600000000000001" customHeight="1" x14ac:dyDescent="0.25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43" t="s">
        <v>69</v>
      </c>
      <c r="M4" s="237" t="s">
        <v>70</v>
      </c>
      <c r="N4" s="12" t="s">
        <v>21</v>
      </c>
      <c r="O4" s="11" t="s">
        <v>68</v>
      </c>
      <c r="P4" s="237" t="s">
        <v>69</v>
      </c>
      <c r="Q4" s="243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349" t="s">
        <v>4</v>
      </c>
      <c r="AC4" s="350"/>
      <c r="AD4" s="14" t="s">
        <v>5</v>
      </c>
    </row>
    <row r="5" spans="1:33" ht="18.600000000000001" customHeight="1" x14ac:dyDescent="0.25">
      <c r="A5" s="23">
        <v>1</v>
      </c>
      <c r="B5" s="24" t="s">
        <v>8</v>
      </c>
      <c r="C5" s="25">
        <v>14425.4</v>
      </c>
      <c r="D5" s="26">
        <v>4000</v>
      </c>
      <c r="E5" s="25">
        <v>911.1</v>
      </c>
      <c r="F5" s="27">
        <v>13333.333333333334</v>
      </c>
      <c r="G5" s="28">
        <v>588.29999999999995</v>
      </c>
      <c r="H5" s="27">
        <v>733.33333333333337</v>
      </c>
      <c r="I5" s="28">
        <v>0</v>
      </c>
      <c r="J5" s="27">
        <v>933.33333333333337</v>
      </c>
      <c r="K5" s="25">
        <v>18694.7</v>
      </c>
      <c r="L5" s="28"/>
      <c r="M5" s="239">
        <f>K5+L5</f>
        <v>18694.7</v>
      </c>
      <c r="N5" s="26">
        <v>6000</v>
      </c>
      <c r="O5" s="25">
        <v>-75.900000000000006</v>
      </c>
      <c r="P5" s="239">
        <v>0</v>
      </c>
      <c r="Q5" s="28">
        <f t="shared" ref="Q5:Q6" si="0">O5+P5</f>
        <v>-75.900000000000006</v>
      </c>
      <c r="R5" s="26">
        <v>4333.333333333333</v>
      </c>
      <c r="S5" s="25">
        <v>9755.6</v>
      </c>
      <c r="T5" s="26">
        <v>8603.3333333333339</v>
      </c>
      <c r="U5" s="183">
        <f t="shared" ref="U5:U6" si="1">SUM(C5+E5+G5+I5+K5+Q5+S5)</f>
        <v>44299.199999999997</v>
      </c>
      <c r="V5" s="90">
        <f>SUM(D5+F5+H5+J5+N5+R5+T5)</f>
        <v>37936.666666666664</v>
      </c>
      <c r="W5" s="25">
        <v>0</v>
      </c>
      <c r="X5" s="26">
        <v>2833.3333333333335</v>
      </c>
      <c r="Y5" s="92">
        <f t="shared" ref="Y5:Z6" si="2">SUM(U5+W5)</f>
        <v>44299.199999999997</v>
      </c>
      <c r="Z5" s="94">
        <f t="shared" si="2"/>
        <v>40770</v>
      </c>
      <c r="AA5" s="29" t="s">
        <v>79</v>
      </c>
      <c r="AB5" s="30">
        <v>18</v>
      </c>
      <c r="AC5" s="31" t="s">
        <v>7</v>
      </c>
      <c r="AD5" s="32"/>
    </row>
    <row r="6" spans="1:33" ht="18.600000000000001" customHeight="1" x14ac:dyDescent="0.25">
      <c r="A6" s="23">
        <f>SUM(A5+1)</f>
        <v>2</v>
      </c>
      <c r="B6" s="24" t="s">
        <v>9</v>
      </c>
      <c r="C6" s="25">
        <v>12356.9</v>
      </c>
      <c r="D6" s="26">
        <v>4000</v>
      </c>
      <c r="E6" s="25">
        <v>181.3</v>
      </c>
      <c r="F6" s="27">
        <v>13333.333333333334</v>
      </c>
      <c r="G6" s="28">
        <v>487.6</v>
      </c>
      <c r="H6" s="27">
        <v>733.33333333333337</v>
      </c>
      <c r="I6" s="28">
        <v>0</v>
      </c>
      <c r="J6" s="27">
        <v>933.33333333333337</v>
      </c>
      <c r="K6" s="25">
        <v>5310.4</v>
      </c>
      <c r="L6" s="28"/>
      <c r="M6" s="239">
        <f>K6+L6</f>
        <v>5310.4</v>
      </c>
      <c r="N6" s="26">
        <v>6000</v>
      </c>
      <c r="O6" s="25">
        <v>0</v>
      </c>
      <c r="P6" s="239">
        <v>0</v>
      </c>
      <c r="Q6" s="28">
        <f t="shared" si="0"/>
        <v>0</v>
      </c>
      <c r="R6" s="26">
        <v>4333.333333333333</v>
      </c>
      <c r="S6" s="25">
        <v>4892.2</v>
      </c>
      <c r="T6" s="26">
        <v>8603.3333333333339</v>
      </c>
      <c r="U6" s="183">
        <f t="shared" si="1"/>
        <v>23228.399999999998</v>
      </c>
      <c r="V6" s="90">
        <f>SUM(D6+F6+H6+J6+N6+R6+T6)</f>
        <v>37936.666666666664</v>
      </c>
      <c r="W6" s="25">
        <v>0</v>
      </c>
      <c r="X6" s="26">
        <v>2833.3333333333335</v>
      </c>
      <c r="Y6" s="92">
        <f t="shared" si="2"/>
        <v>23228.399999999998</v>
      </c>
      <c r="Z6" s="94">
        <f t="shared" si="2"/>
        <v>40770</v>
      </c>
      <c r="AA6" s="29" t="s">
        <v>163</v>
      </c>
      <c r="AB6" s="30">
        <v>18</v>
      </c>
      <c r="AC6" s="31" t="s">
        <v>7</v>
      </c>
      <c r="AD6" s="32"/>
    </row>
    <row r="7" spans="1:33" ht="16.5" x14ac:dyDescent="0.25">
      <c r="A7" s="33" t="s">
        <v>10</v>
      </c>
      <c r="B7" s="34">
        <v>22</v>
      </c>
      <c r="C7" s="35">
        <f t="shared" ref="C7:K7" si="3">SUM(C5:C6)</f>
        <v>26782.3</v>
      </c>
      <c r="D7" s="36">
        <f t="shared" si="3"/>
        <v>8000</v>
      </c>
      <c r="E7" s="35">
        <f t="shared" si="3"/>
        <v>1092.4000000000001</v>
      </c>
      <c r="F7" s="36">
        <f t="shared" si="3"/>
        <v>26666.666666666668</v>
      </c>
      <c r="G7" s="35">
        <f t="shared" si="3"/>
        <v>1075.9000000000001</v>
      </c>
      <c r="H7" s="36">
        <f t="shared" si="3"/>
        <v>1466.6666666666667</v>
      </c>
      <c r="I7" s="35">
        <f t="shared" si="3"/>
        <v>0</v>
      </c>
      <c r="J7" s="36">
        <f t="shared" si="3"/>
        <v>1866.6666666666667</v>
      </c>
      <c r="K7" s="35">
        <f t="shared" si="3"/>
        <v>24005.1</v>
      </c>
      <c r="L7" s="82">
        <f t="shared" ref="L7:M7" si="4">SUM(L5:L6)</f>
        <v>0</v>
      </c>
      <c r="M7" s="82">
        <f t="shared" si="4"/>
        <v>24005.1</v>
      </c>
      <c r="N7" s="36">
        <f t="shared" ref="N7:Z7" si="5">SUM(N5:N6)</f>
        <v>12000</v>
      </c>
      <c r="O7" s="266">
        <f t="shared" si="5"/>
        <v>-75.900000000000006</v>
      </c>
      <c r="P7" s="290">
        <f t="shared" si="5"/>
        <v>0</v>
      </c>
      <c r="Q7" s="38">
        <f t="shared" si="5"/>
        <v>-75.900000000000006</v>
      </c>
      <c r="R7" s="36">
        <f t="shared" si="5"/>
        <v>8666.6666666666661</v>
      </c>
      <c r="S7" s="35">
        <f t="shared" si="5"/>
        <v>14647.8</v>
      </c>
      <c r="T7" s="36">
        <f t="shared" si="5"/>
        <v>17206.666666666668</v>
      </c>
      <c r="U7" s="35">
        <f t="shared" si="5"/>
        <v>67527.599999999991</v>
      </c>
      <c r="V7" s="36">
        <f t="shared" si="5"/>
        <v>75873.333333333328</v>
      </c>
      <c r="W7" s="35">
        <f t="shared" si="5"/>
        <v>0</v>
      </c>
      <c r="X7" s="36">
        <f t="shared" si="5"/>
        <v>5666.666666666667</v>
      </c>
      <c r="Y7" s="35">
        <f t="shared" si="5"/>
        <v>67527.599999999991</v>
      </c>
      <c r="Z7" s="36">
        <f t="shared" si="5"/>
        <v>81540</v>
      </c>
      <c r="AA7" s="39" t="s">
        <v>11</v>
      </c>
      <c r="AB7" s="40">
        <f>SUM(AB5:AB6)/6</f>
        <v>6</v>
      </c>
      <c r="AC7" s="41" t="s">
        <v>7</v>
      </c>
      <c r="AD7" s="42"/>
    </row>
    <row r="8" spans="1:33" ht="18.600000000000001" customHeight="1" x14ac:dyDescent="0.3">
      <c r="A8" s="44">
        <f>SUM(A6+1)</f>
        <v>3</v>
      </c>
      <c r="B8" s="15" t="s">
        <v>12</v>
      </c>
      <c r="C8" s="49">
        <v>6298.5</v>
      </c>
      <c r="D8" s="17">
        <v>4000</v>
      </c>
      <c r="E8" s="49">
        <v>18</v>
      </c>
      <c r="F8" s="18">
        <v>13333.333333333334</v>
      </c>
      <c r="G8" s="19">
        <v>0</v>
      </c>
      <c r="H8" s="18">
        <v>733.33333333333337</v>
      </c>
      <c r="I8" s="19">
        <v>0</v>
      </c>
      <c r="J8" s="18">
        <v>933.33333333333337</v>
      </c>
      <c r="K8" s="16">
        <v>0</v>
      </c>
      <c r="L8" s="19"/>
      <c r="M8" s="238">
        <f t="shared" ref="M8:M14" si="6">K8+L8</f>
        <v>0</v>
      </c>
      <c r="N8" s="17">
        <v>6000</v>
      </c>
      <c r="O8" s="16">
        <v>3830.1</v>
      </c>
      <c r="P8" s="331">
        <v>6131</v>
      </c>
      <c r="Q8" s="19">
        <f>O8+P8</f>
        <v>9961.1</v>
      </c>
      <c r="R8" s="17">
        <v>4333.333333333333</v>
      </c>
      <c r="S8" s="16">
        <v>8376</v>
      </c>
      <c r="T8" s="17">
        <v>8603.3333333333339</v>
      </c>
      <c r="U8" s="91">
        <f t="shared" ref="U8:U14" si="7">SUM(C8+E8+G8+I8+K8+Q8+S8)</f>
        <v>24653.599999999999</v>
      </c>
      <c r="V8" s="89">
        <f t="shared" ref="V8:V14" si="8">SUM(D8+F8+H8+J8+N8+R8+T8)</f>
        <v>37936.666666666664</v>
      </c>
      <c r="W8" s="16">
        <v>0</v>
      </c>
      <c r="X8" s="17">
        <v>2833.3333333333335</v>
      </c>
      <c r="Y8" s="109">
        <f>SUM(U8+W8)</f>
        <v>24653.599999999999</v>
      </c>
      <c r="Z8" s="110">
        <f t="shared" ref="Y8:Z14" si="9">SUM(V8+X8)</f>
        <v>40770</v>
      </c>
      <c r="AA8" s="45" t="s">
        <v>59</v>
      </c>
      <c r="AB8" s="46">
        <v>10</v>
      </c>
      <c r="AC8" s="21" t="s">
        <v>7</v>
      </c>
      <c r="AD8" s="22"/>
    </row>
    <row r="9" spans="1:33" ht="18.600000000000001" customHeight="1" x14ac:dyDescent="0.25">
      <c r="A9" s="47">
        <f t="shared" ref="A9:A14" si="10">SUM(A8+1)</f>
        <v>4</v>
      </c>
      <c r="B9" s="15" t="s">
        <v>13</v>
      </c>
      <c r="C9" s="16">
        <v>2014</v>
      </c>
      <c r="D9" s="17">
        <v>4000</v>
      </c>
      <c r="E9" s="16">
        <v>8327.7999999999993</v>
      </c>
      <c r="F9" s="18">
        <v>13333.333333333334</v>
      </c>
      <c r="G9" s="19">
        <v>427.8</v>
      </c>
      <c r="H9" s="18">
        <v>733.33333333333337</v>
      </c>
      <c r="I9" s="19">
        <v>0</v>
      </c>
      <c r="J9" s="18">
        <v>933.33333333333337</v>
      </c>
      <c r="K9" s="16">
        <v>4162.7</v>
      </c>
      <c r="L9" s="19"/>
      <c r="M9" s="238">
        <f t="shared" si="6"/>
        <v>4162.7</v>
      </c>
      <c r="N9" s="17">
        <v>6000</v>
      </c>
      <c r="O9" s="16">
        <v>1951.5</v>
      </c>
      <c r="P9" s="238">
        <v>4404.2</v>
      </c>
      <c r="Q9" s="19">
        <f t="shared" ref="Q9:Q14" si="11">O9+P9</f>
        <v>6355.7</v>
      </c>
      <c r="R9" s="17">
        <v>4333.333333333333</v>
      </c>
      <c r="S9" s="16">
        <v>8626.2999999999993</v>
      </c>
      <c r="T9" s="17">
        <v>8603.3333333333339</v>
      </c>
      <c r="U9" s="91">
        <f t="shared" si="7"/>
        <v>29914.3</v>
      </c>
      <c r="V9" s="89">
        <f t="shared" si="8"/>
        <v>37936.666666666664</v>
      </c>
      <c r="W9" s="16">
        <v>633.70000000000005</v>
      </c>
      <c r="X9" s="17">
        <v>2833.3333333333335</v>
      </c>
      <c r="Y9" s="109">
        <f t="shared" si="9"/>
        <v>30548</v>
      </c>
      <c r="Z9" s="110">
        <f t="shared" si="9"/>
        <v>40770</v>
      </c>
      <c r="AA9" s="45" t="s">
        <v>72</v>
      </c>
      <c r="AB9" s="46">
        <v>16</v>
      </c>
      <c r="AC9" s="21" t="s">
        <v>7</v>
      </c>
      <c r="AD9" s="22"/>
    </row>
    <row r="10" spans="1:33" ht="18.600000000000001" customHeight="1" x14ac:dyDescent="0.25">
      <c r="A10" s="47">
        <f t="shared" si="10"/>
        <v>5</v>
      </c>
      <c r="B10" s="15" t="s">
        <v>14</v>
      </c>
      <c r="C10" s="16">
        <v>1451.1</v>
      </c>
      <c r="D10" s="17">
        <v>4000</v>
      </c>
      <c r="E10" s="16">
        <v>13172.5</v>
      </c>
      <c r="F10" s="18">
        <v>13333.333333333334</v>
      </c>
      <c r="G10" s="19">
        <v>761.1</v>
      </c>
      <c r="H10" s="18">
        <v>733.33333333333337</v>
      </c>
      <c r="I10" s="19">
        <v>0</v>
      </c>
      <c r="J10" s="18">
        <v>933.33333333333337</v>
      </c>
      <c r="K10" s="16">
        <v>4597.6000000000004</v>
      </c>
      <c r="L10" s="19"/>
      <c r="M10" s="238">
        <f t="shared" si="6"/>
        <v>4597.6000000000004</v>
      </c>
      <c r="N10" s="17">
        <v>6000</v>
      </c>
      <c r="O10" s="16">
        <v>832.8</v>
      </c>
      <c r="P10" s="238">
        <v>5211</v>
      </c>
      <c r="Q10" s="19">
        <f>O10+P10</f>
        <v>6043.8</v>
      </c>
      <c r="R10" s="17">
        <v>4333.333333333333</v>
      </c>
      <c r="S10" s="16">
        <v>8064.6</v>
      </c>
      <c r="T10" s="17">
        <v>8603.3333333333339</v>
      </c>
      <c r="U10" s="91">
        <f t="shared" si="7"/>
        <v>34090.700000000004</v>
      </c>
      <c r="V10" s="89">
        <f t="shared" si="8"/>
        <v>37936.666666666664</v>
      </c>
      <c r="W10" s="16">
        <v>1138.2</v>
      </c>
      <c r="X10" s="17">
        <v>2833.3333333333335</v>
      </c>
      <c r="Y10" s="109">
        <f>SUM(U10+W10)</f>
        <v>35228.9</v>
      </c>
      <c r="Z10" s="110">
        <f t="shared" si="9"/>
        <v>40770</v>
      </c>
      <c r="AA10" s="45" t="s">
        <v>58</v>
      </c>
      <c r="AB10" s="46">
        <v>21</v>
      </c>
      <c r="AC10" s="21" t="s">
        <v>7</v>
      </c>
      <c r="AD10" s="22"/>
    </row>
    <row r="11" spans="1:33" ht="18.600000000000001" customHeight="1" x14ac:dyDescent="0.25">
      <c r="A11" s="321">
        <f t="shared" si="10"/>
        <v>6</v>
      </c>
      <c r="B11" s="322" t="s">
        <v>15</v>
      </c>
      <c r="C11" s="123">
        <v>6077</v>
      </c>
      <c r="D11" s="265">
        <v>4000</v>
      </c>
      <c r="E11" s="123">
        <v>4636.2</v>
      </c>
      <c r="F11" s="323">
        <v>13333.333333333334</v>
      </c>
      <c r="G11" s="324">
        <v>569</v>
      </c>
      <c r="H11" s="323">
        <v>733.33333333333337</v>
      </c>
      <c r="I11" s="324">
        <v>2520</v>
      </c>
      <c r="J11" s="323">
        <v>933.33333333333337</v>
      </c>
      <c r="K11" s="123">
        <v>13012.7</v>
      </c>
      <c r="L11" s="324"/>
      <c r="M11" s="325">
        <f t="shared" si="6"/>
        <v>13012.7</v>
      </c>
      <c r="N11" s="265">
        <v>6000</v>
      </c>
      <c r="O11" s="123">
        <v>1076.2</v>
      </c>
      <c r="P11" s="325">
        <v>4934</v>
      </c>
      <c r="Q11" s="324">
        <f t="shared" si="11"/>
        <v>6010.2</v>
      </c>
      <c r="R11" s="265">
        <v>4333.333333333333</v>
      </c>
      <c r="S11" s="123">
        <v>6874.7</v>
      </c>
      <c r="T11" s="265">
        <v>8603.3333333333339</v>
      </c>
      <c r="U11" s="326">
        <f t="shared" si="7"/>
        <v>39699.799999999996</v>
      </c>
      <c r="V11" s="327">
        <f t="shared" si="8"/>
        <v>37936.666666666664</v>
      </c>
      <c r="W11" s="123">
        <v>1502</v>
      </c>
      <c r="X11" s="265">
        <v>2833.3333333333335</v>
      </c>
      <c r="Y11" s="109">
        <f t="shared" si="9"/>
        <v>41201.799999999996</v>
      </c>
      <c r="Z11" s="110">
        <f t="shared" si="9"/>
        <v>40770</v>
      </c>
      <c r="AA11" s="45" t="s">
        <v>57</v>
      </c>
      <c r="AB11" s="46">
        <v>25</v>
      </c>
      <c r="AC11" s="21" t="s">
        <v>7</v>
      </c>
      <c r="AD11" s="22"/>
    </row>
    <row r="12" spans="1:33" s="43" customFormat="1" ht="18.600000000000001" customHeight="1" x14ac:dyDescent="0.25">
      <c r="A12" s="47">
        <f t="shared" si="10"/>
        <v>7</v>
      </c>
      <c r="B12" s="15" t="s">
        <v>6</v>
      </c>
      <c r="C12" s="16">
        <v>4646.8999999999996</v>
      </c>
      <c r="D12" s="17">
        <v>4000</v>
      </c>
      <c r="E12" s="16">
        <v>8370.2000000000007</v>
      </c>
      <c r="F12" s="18">
        <v>13333.333333333334</v>
      </c>
      <c r="G12" s="19">
        <v>459.1</v>
      </c>
      <c r="H12" s="18">
        <v>733.33333333333337</v>
      </c>
      <c r="I12" s="19">
        <v>4722.5</v>
      </c>
      <c r="J12" s="18">
        <v>933.33333333333337</v>
      </c>
      <c r="K12" s="16">
        <v>23195.200000000001</v>
      </c>
      <c r="L12" s="19"/>
      <c r="M12" s="238">
        <f t="shared" si="6"/>
        <v>23195.200000000001</v>
      </c>
      <c r="N12" s="17">
        <v>6000</v>
      </c>
      <c r="O12" s="16">
        <v>20.9</v>
      </c>
      <c r="P12" s="238">
        <v>3671</v>
      </c>
      <c r="Q12" s="19">
        <f t="shared" si="11"/>
        <v>3691.9</v>
      </c>
      <c r="R12" s="17">
        <v>4333.333333333333</v>
      </c>
      <c r="S12" s="16">
        <v>9498.4</v>
      </c>
      <c r="T12" s="17">
        <v>8603.3333333333339</v>
      </c>
      <c r="U12" s="91">
        <f t="shared" si="7"/>
        <v>54584.200000000004</v>
      </c>
      <c r="V12" s="89">
        <f t="shared" si="8"/>
        <v>37936.666666666664</v>
      </c>
      <c r="W12" s="16">
        <v>622.79999999999995</v>
      </c>
      <c r="X12" s="17">
        <v>2833.3333333333335</v>
      </c>
      <c r="Y12" s="109">
        <f t="shared" si="9"/>
        <v>55207.000000000007</v>
      </c>
      <c r="Z12" s="110">
        <f t="shared" si="9"/>
        <v>40770</v>
      </c>
      <c r="AA12" s="45" t="s">
        <v>58</v>
      </c>
      <c r="AB12" s="46">
        <v>23</v>
      </c>
      <c r="AC12" s="21" t="s">
        <v>7</v>
      </c>
      <c r="AD12" s="22"/>
    </row>
    <row r="13" spans="1:33" ht="18.600000000000001" customHeight="1" x14ac:dyDescent="0.25">
      <c r="A13" s="23">
        <f t="shared" si="10"/>
        <v>8</v>
      </c>
      <c r="B13" s="24" t="s">
        <v>8</v>
      </c>
      <c r="C13" s="25">
        <v>9776.7999999999993</v>
      </c>
      <c r="D13" s="26">
        <v>4000</v>
      </c>
      <c r="E13" s="25">
        <v>4982</v>
      </c>
      <c r="F13" s="27">
        <v>13333.333333333334</v>
      </c>
      <c r="G13" s="28">
        <v>770.6</v>
      </c>
      <c r="H13" s="27">
        <v>733.33333333333337</v>
      </c>
      <c r="I13" s="28">
        <v>3830</v>
      </c>
      <c r="J13" s="27">
        <v>933.33333333333337</v>
      </c>
      <c r="K13" s="25">
        <v>25300.5</v>
      </c>
      <c r="L13" s="28"/>
      <c r="M13" s="239">
        <f t="shared" si="6"/>
        <v>25300.5</v>
      </c>
      <c r="N13" s="26">
        <v>6000</v>
      </c>
      <c r="O13" s="25">
        <v>1229.0999999999999</v>
      </c>
      <c r="P13" s="239">
        <v>0</v>
      </c>
      <c r="Q13" s="28">
        <f t="shared" si="11"/>
        <v>1229.0999999999999</v>
      </c>
      <c r="R13" s="26">
        <v>4333.333333333333</v>
      </c>
      <c r="S13" s="25">
        <v>10987.4</v>
      </c>
      <c r="T13" s="26">
        <v>8603.3333333333339</v>
      </c>
      <c r="U13" s="183">
        <f t="shared" si="7"/>
        <v>56876.4</v>
      </c>
      <c r="V13" s="90">
        <f t="shared" si="8"/>
        <v>37936.666666666664</v>
      </c>
      <c r="W13" s="25">
        <v>452.2</v>
      </c>
      <c r="X13" s="26">
        <v>2833.3333333333335</v>
      </c>
      <c r="Y13" s="92">
        <f t="shared" si="9"/>
        <v>57328.6</v>
      </c>
      <c r="Z13" s="94">
        <f t="shared" si="9"/>
        <v>40770</v>
      </c>
      <c r="AA13" s="29" t="s">
        <v>164</v>
      </c>
      <c r="AB13" s="30">
        <v>21</v>
      </c>
      <c r="AC13" s="31" t="s">
        <v>7</v>
      </c>
      <c r="AD13" s="32"/>
      <c r="AE13" s="334"/>
      <c r="AF13" s="335"/>
      <c r="AG13" s="335"/>
    </row>
    <row r="14" spans="1:33" ht="18.600000000000001" customHeight="1" x14ac:dyDescent="0.25">
      <c r="A14" s="23">
        <f t="shared" si="10"/>
        <v>9</v>
      </c>
      <c r="B14" s="24" t="s">
        <v>9</v>
      </c>
      <c r="C14" s="25">
        <v>10196.549999999999</v>
      </c>
      <c r="D14" s="26">
        <v>4000</v>
      </c>
      <c r="E14" s="25">
        <v>2335.4</v>
      </c>
      <c r="F14" s="27">
        <v>13333.333333333334</v>
      </c>
      <c r="G14" s="28">
        <v>379.2</v>
      </c>
      <c r="H14" s="27">
        <v>733.33333333333337</v>
      </c>
      <c r="I14" s="28">
        <v>0</v>
      </c>
      <c r="J14" s="27">
        <v>933.33333333333337</v>
      </c>
      <c r="K14" s="25">
        <v>14900.5</v>
      </c>
      <c r="L14" s="28"/>
      <c r="M14" s="239">
        <f t="shared" si="6"/>
        <v>14900.5</v>
      </c>
      <c r="N14" s="26">
        <v>6000</v>
      </c>
      <c r="O14" s="25">
        <v>0</v>
      </c>
      <c r="P14" s="239">
        <v>0</v>
      </c>
      <c r="Q14" s="28">
        <f t="shared" si="11"/>
        <v>0</v>
      </c>
      <c r="R14" s="26">
        <v>4333.333333333333</v>
      </c>
      <c r="S14" s="25">
        <v>4456</v>
      </c>
      <c r="T14" s="26">
        <v>8603.3333333333339</v>
      </c>
      <c r="U14" s="183">
        <f t="shared" si="7"/>
        <v>32267.65</v>
      </c>
      <c r="V14" s="90">
        <f t="shared" si="8"/>
        <v>37936.666666666664</v>
      </c>
      <c r="W14" s="25">
        <v>0</v>
      </c>
      <c r="X14" s="26">
        <v>2833.3333333333335</v>
      </c>
      <c r="Y14" s="92">
        <f t="shared" si="9"/>
        <v>32267.65</v>
      </c>
      <c r="Z14" s="94">
        <f t="shared" si="9"/>
        <v>40770</v>
      </c>
      <c r="AA14" s="29" t="s">
        <v>159</v>
      </c>
      <c r="AB14" s="30">
        <v>18</v>
      </c>
      <c r="AC14" s="31" t="s">
        <v>7</v>
      </c>
      <c r="AD14" s="32"/>
      <c r="AF14" s="230"/>
      <c r="AG14" s="230"/>
    </row>
    <row r="15" spans="1:33" ht="18.600000000000001" customHeight="1" x14ac:dyDescent="0.25">
      <c r="A15" s="33" t="s">
        <v>10</v>
      </c>
      <c r="B15" s="34">
        <f>SUM(B7+1)</f>
        <v>23</v>
      </c>
      <c r="C15" s="35">
        <f t="shared" ref="C15:Z15" si="12">SUM(C8:C14)</f>
        <v>40460.85</v>
      </c>
      <c r="D15" s="36">
        <f t="shared" si="12"/>
        <v>28000</v>
      </c>
      <c r="E15" s="35">
        <f t="shared" si="12"/>
        <v>41842.1</v>
      </c>
      <c r="F15" s="37">
        <f t="shared" si="12"/>
        <v>93333.333333333328</v>
      </c>
      <c r="G15" s="38">
        <f t="shared" si="12"/>
        <v>3366.7999999999997</v>
      </c>
      <c r="H15" s="37">
        <f t="shared" si="12"/>
        <v>5133.333333333333</v>
      </c>
      <c r="I15" s="38">
        <f>SUM(I8:I14)</f>
        <v>11072.5</v>
      </c>
      <c r="J15" s="37">
        <f>SUM(J8:J14)</f>
        <v>6533.333333333333</v>
      </c>
      <c r="K15" s="266">
        <f t="shared" si="12"/>
        <v>85169.2</v>
      </c>
      <c r="L15" s="290">
        <f t="shared" si="12"/>
        <v>0</v>
      </c>
      <c r="M15" s="38">
        <f t="shared" si="12"/>
        <v>85169.2</v>
      </c>
      <c r="N15" s="36">
        <f t="shared" si="12"/>
        <v>42000</v>
      </c>
      <c r="O15" s="266">
        <f t="shared" si="12"/>
        <v>8940.6</v>
      </c>
      <c r="P15" s="290">
        <f>SUM(P8:P14)</f>
        <v>24351.200000000001</v>
      </c>
      <c r="Q15" s="38">
        <f t="shared" si="12"/>
        <v>33291.800000000003</v>
      </c>
      <c r="R15" s="36">
        <f t="shared" si="12"/>
        <v>30333.333333333328</v>
      </c>
      <c r="S15" s="35">
        <f>SUM(S8:S14)</f>
        <v>56883.4</v>
      </c>
      <c r="T15" s="36">
        <f t="shared" si="12"/>
        <v>60223.333333333343</v>
      </c>
      <c r="U15" s="35">
        <f t="shared" si="12"/>
        <v>272086.65000000002</v>
      </c>
      <c r="V15" s="36">
        <f t="shared" si="12"/>
        <v>265556.66666666663</v>
      </c>
      <c r="W15" s="35">
        <f t="shared" si="12"/>
        <v>4348.8999999999996</v>
      </c>
      <c r="X15" s="36">
        <f t="shared" si="12"/>
        <v>19833.333333333332</v>
      </c>
      <c r="Y15" s="35">
        <f>SUM(Y8:Y14)</f>
        <v>276435.55</v>
      </c>
      <c r="Z15" s="36">
        <f t="shared" si="12"/>
        <v>285390</v>
      </c>
      <c r="AA15" s="39" t="s">
        <v>11</v>
      </c>
      <c r="AB15" s="40">
        <f>SUM(AB8:AB14)/7</f>
        <v>19.142857142857142</v>
      </c>
      <c r="AC15" s="41" t="s">
        <v>7</v>
      </c>
      <c r="AD15" s="42"/>
    </row>
    <row r="16" spans="1:33" ht="18.600000000000001" customHeight="1" x14ac:dyDescent="0.25">
      <c r="A16" s="44">
        <f>SUM(A14+1)</f>
        <v>10</v>
      </c>
      <c r="B16" s="15" t="s">
        <v>12</v>
      </c>
      <c r="C16" s="16">
        <v>7736.3</v>
      </c>
      <c r="D16" s="17">
        <v>4000</v>
      </c>
      <c r="E16" s="16">
        <v>1065.9000000000001</v>
      </c>
      <c r="F16" s="18">
        <v>13333.333333333334</v>
      </c>
      <c r="G16" s="19">
        <v>486</v>
      </c>
      <c r="H16" s="18">
        <v>733.33333333333337</v>
      </c>
      <c r="I16" s="19">
        <v>0</v>
      </c>
      <c r="J16" s="18">
        <v>933.33333333333337</v>
      </c>
      <c r="K16" s="16">
        <v>0</v>
      </c>
      <c r="L16" s="19"/>
      <c r="M16" s="238">
        <f t="shared" ref="M16:M22" si="13">K16+L16</f>
        <v>0</v>
      </c>
      <c r="N16" s="17">
        <v>6000</v>
      </c>
      <c r="O16" s="16">
        <v>1264.5999999999999</v>
      </c>
      <c r="P16" s="325">
        <v>14056</v>
      </c>
      <c r="Q16" s="19">
        <f>O16+P16</f>
        <v>15320.6</v>
      </c>
      <c r="R16" s="17">
        <v>4333.333333333333</v>
      </c>
      <c r="S16" s="16">
        <v>5646.2</v>
      </c>
      <c r="T16" s="17">
        <v>8603.3333333333339</v>
      </c>
      <c r="U16" s="91">
        <f t="shared" ref="U16:U22" si="14">SUM(C16+E16+G16+I16+K16+Q16+S16)</f>
        <v>30255.000000000004</v>
      </c>
      <c r="V16" s="89">
        <f t="shared" ref="V16:V22" si="15">SUM(D16+F16+H16+J16+N16+R16+T16)</f>
        <v>37936.666666666664</v>
      </c>
      <c r="W16" s="19">
        <v>175.7</v>
      </c>
      <c r="X16" s="18">
        <v>2833.3333333333335</v>
      </c>
      <c r="Y16" s="109">
        <f t="shared" ref="Y16:Z22" si="16">SUM(U16+W16)</f>
        <v>30430.700000000004</v>
      </c>
      <c r="Z16" s="110">
        <f t="shared" si="16"/>
        <v>40770</v>
      </c>
      <c r="AA16" s="50" t="s">
        <v>165</v>
      </c>
      <c r="AB16" s="51">
        <v>16</v>
      </c>
      <c r="AC16" s="21" t="s">
        <v>7</v>
      </c>
      <c r="AD16" s="22"/>
    </row>
    <row r="17" spans="1:32" ht="18.600000000000001" customHeight="1" x14ac:dyDescent="0.25">
      <c r="A17" s="47">
        <f t="shared" ref="A17:A22" si="17">SUM(A16+1)</f>
        <v>11</v>
      </c>
      <c r="B17" s="15" t="s">
        <v>13</v>
      </c>
      <c r="C17" s="16">
        <v>6579.8</v>
      </c>
      <c r="D17" s="17">
        <v>4000</v>
      </c>
      <c r="E17" s="16">
        <v>0</v>
      </c>
      <c r="F17" s="18">
        <v>13333.333333333334</v>
      </c>
      <c r="G17" s="19">
        <v>28.2</v>
      </c>
      <c r="H17" s="18">
        <v>733.33333333333337</v>
      </c>
      <c r="I17" s="19">
        <v>0</v>
      </c>
      <c r="J17" s="18">
        <v>933.33333333333337</v>
      </c>
      <c r="K17" s="16">
        <v>1106.7</v>
      </c>
      <c r="L17" s="19"/>
      <c r="M17" s="238">
        <f t="shared" si="13"/>
        <v>1106.7</v>
      </c>
      <c r="N17" s="17">
        <v>6000</v>
      </c>
      <c r="O17" s="16">
        <v>2815.7</v>
      </c>
      <c r="P17" s="325">
        <v>2289</v>
      </c>
      <c r="Q17" s="19">
        <f t="shared" ref="Q17:Q22" si="18">O17+P17</f>
        <v>5104.7</v>
      </c>
      <c r="R17" s="17">
        <v>4333.333333333333</v>
      </c>
      <c r="S17" s="16">
        <v>10291.299999999999</v>
      </c>
      <c r="T17" s="17">
        <v>8603.3333333333339</v>
      </c>
      <c r="U17" s="91">
        <f t="shared" si="14"/>
        <v>23110.699999999997</v>
      </c>
      <c r="V17" s="52">
        <f t="shared" si="15"/>
        <v>37936.666666666664</v>
      </c>
      <c r="W17" s="80">
        <v>0</v>
      </c>
      <c r="X17" s="18">
        <v>2833.3333333333335</v>
      </c>
      <c r="Y17" s="109">
        <f t="shared" si="16"/>
        <v>23110.699999999997</v>
      </c>
      <c r="Z17" s="110">
        <f t="shared" si="16"/>
        <v>40770</v>
      </c>
      <c r="AA17" s="45" t="s">
        <v>160</v>
      </c>
      <c r="AB17" s="46">
        <v>14</v>
      </c>
      <c r="AC17" s="21" t="s">
        <v>7</v>
      </c>
      <c r="AD17" s="22"/>
    </row>
    <row r="18" spans="1:32" ht="18.600000000000001" customHeight="1" x14ac:dyDescent="0.25">
      <c r="A18" s="47">
        <f t="shared" si="17"/>
        <v>12</v>
      </c>
      <c r="B18" s="15" t="s">
        <v>14</v>
      </c>
      <c r="C18" s="16">
        <v>10081.950000000001</v>
      </c>
      <c r="D18" s="17">
        <v>4000</v>
      </c>
      <c r="E18" s="16">
        <v>4242.2</v>
      </c>
      <c r="F18" s="18">
        <v>13333.333333333334</v>
      </c>
      <c r="G18" s="19">
        <v>377.2</v>
      </c>
      <c r="H18" s="18">
        <v>733.33333333333337</v>
      </c>
      <c r="I18" s="19">
        <v>0</v>
      </c>
      <c r="J18" s="18">
        <v>933.33333333333337</v>
      </c>
      <c r="K18" s="16">
        <v>5044.3999999999996</v>
      </c>
      <c r="L18" s="19"/>
      <c r="M18" s="238">
        <f t="shared" si="13"/>
        <v>5044.3999999999996</v>
      </c>
      <c r="N18" s="17">
        <v>6000</v>
      </c>
      <c r="O18" s="16">
        <v>1958.1</v>
      </c>
      <c r="P18" s="325">
        <v>6217.6</v>
      </c>
      <c r="Q18" s="19">
        <f t="shared" si="18"/>
        <v>8175.7000000000007</v>
      </c>
      <c r="R18" s="17">
        <v>4333.333333333333</v>
      </c>
      <c r="S18" s="16">
        <v>10127.6</v>
      </c>
      <c r="T18" s="17">
        <v>8603.3333333333339</v>
      </c>
      <c r="U18" s="91">
        <f t="shared" si="14"/>
        <v>38049.050000000003</v>
      </c>
      <c r="V18" s="15">
        <f t="shared" si="15"/>
        <v>37936.666666666664</v>
      </c>
      <c r="W18" s="80">
        <v>0</v>
      </c>
      <c r="X18" s="18">
        <v>2833.3333333333335</v>
      </c>
      <c r="Y18" s="109">
        <f t="shared" si="16"/>
        <v>38049.050000000003</v>
      </c>
      <c r="Z18" s="110">
        <f t="shared" si="16"/>
        <v>40770</v>
      </c>
      <c r="AA18" s="45" t="s">
        <v>57</v>
      </c>
      <c r="AB18" s="46">
        <v>15</v>
      </c>
      <c r="AC18" s="21" t="s">
        <v>7</v>
      </c>
      <c r="AD18" s="22"/>
    </row>
    <row r="19" spans="1:32" ht="18.600000000000001" customHeight="1" x14ac:dyDescent="0.25">
      <c r="A19" s="47">
        <f t="shared" si="17"/>
        <v>13</v>
      </c>
      <c r="B19" s="15" t="s">
        <v>15</v>
      </c>
      <c r="C19" s="16">
        <v>4907.3999999999996</v>
      </c>
      <c r="D19" s="17">
        <v>4000</v>
      </c>
      <c r="E19" s="16">
        <v>7958.7</v>
      </c>
      <c r="F19" s="18">
        <v>13333.333333333334</v>
      </c>
      <c r="G19" s="19">
        <v>504.2</v>
      </c>
      <c r="H19" s="18">
        <v>733.33333333333337</v>
      </c>
      <c r="I19" s="19">
        <v>0</v>
      </c>
      <c r="J19" s="18">
        <v>933.33333333333337</v>
      </c>
      <c r="K19" s="16">
        <v>0</v>
      </c>
      <c r="L19" s="19"/>
      <c r="M19" s="238">
        <f t="shared" si="13"/>
        <v>0</v>
      </c>
      <c r="N19" s="17">
        <v>6000</v>
      </c>
      <c r="O19" s="16">
        <v>2054.1999999999998</v>
      </c>
      <c r="P19" s="325">
        <v>6829</v>
      </c>
      <c r="Q19" s="19">
        <f t="shared" si="18"/>
        <v>8883.2000000000007</v>
      </c>
      <c r="R19" s="17">
        <v>4333.333333333333</v>
      </c>
      <c r="S19" s="16">
        <v>11109.48</v>
      </c>
      <c r="T19" s="17">
        <v>8603.3333333333339</v>
      </c>
      <c r="U19" s="91">
        <f t="shared" si="14"/>
        <v>33362.979999999996</v>
      </c>
      <c r="V19" s="15">
        <f t="shared" si="15"/>
        <v>37936.666666666664</v>
      </c>
      <c r="W19" s="80">
        <v>919.7</v>
      </c>
      <c r="X19" s="18">
        <v>2833.3333333333335</v>
      </c>
      <c r="Y19" s="109">
        <f t="shared" si="16"/>
        <v>34282.679999999993</v>
      </c>
      <c r="Z19" s="110">
        <f t="shared" si="16"/>
        <v>40770</v>
      </c>
      <c r="AA19" s="45" t="s">
        <v>166</v>
      </c>
      <c r="AB19" s="46">
        <v>23</v>
      </c>
      <c r="AC19" s="21" t="s">
        <v>7</v>
      </c>
      <c r="AD19" s="22"/>
    </row>
    <row r="20" spans="1:32" s="43" customFormat="1" ht="18.600000000000001" customHeight="1" x14ac:dyDescent="0.25">
      <c r="A20" s="47">
        <f t="shared" si="17"/>
        <v>14</v>
      </c>
      <c r="B20" s="52" t="s">
        <v>6</v>
      </c>
      <c r="C20" s="16">
        <v>11280.5</v>
      </c>
      <c r="D20" s="17">
        <v>4000</v>
      </c>
      <c r="E20" s="16">
        <v>2543</v>
      </c>
      <c r="F20" s="18">
        <v>13333.333333333334</v>
      </c>
      <c r="G20" s="19">
        <v>435.5</v>
      </c>
      <c r="H20" s="18">
        <v>733.33333333333337</v>
      </c>
      <c r="I20" s="19">
        <v>4522.5</v>
      </c>
      <c r="J20" s="18">
        <v>933.33333333333337</v>
      </c>
      <c r="K20" s="16">
        <v>15369.5</v>
      </c>
      <c r="L20" s="19"/>
      <c r="M20" s="238">
        <f t="shared" si="13"/>
        <v>15369.5</v>
      </c>
      <c r="N20" s="17">
        <v>6000</v>
      </c>
      <c r="O20" s="16">
        <v>384</v>
      </c>
      <c r="P20" s="325">
        <v>2435</v>
      </c>
      <c r="Q20" s="19">
        <f t="shared" si="18"/>
        <v>2819</v>
      </c>
      <c r="R20" s="17">
        <v>4333.333333333333</v>
      </c>
      <c r="S20" s="16">
        <v>10943.5</v>
      </c>
      <c r="T20" s="17">
        <v>8603.3333333333339</v>
      </c>
      <c r="U20" s="91">
        <f t="shared" si="14"/>
        <v>47913.5</v>
      </c>
      <c r="V20" s="15">
        <f t="shared" si="15"/>
        <v>37936.666666666664</v>
      </c>
      <c r="W20" s="80">
        <v>0</v>
      </c>
      <c r="X20" s="18">
        <v>2833.3333333333335</v>
      </c>
      <c r="Y20" s="109">
        <f t="shared" si="16"/>
        <v>47913.5</v>
      </c>
      <c r="Z20" s="110">
        <f t="shared" si="16"/>
        <v>40770</v>
      </c>
      <c r="AA20" s="45" t="s">
        <v>162</v>
      </c>
      <c r="AB20" s="46">
        <v>19</v>
      </c>
      <c r="AC20" s="21" t="s">
        <v>7</v>
      </c>
      <c r="AD20" s="22"/>
    </row>
    <row r="21" spans="1:32" ht="18.600000000000001" customHeight="1" x14ac:dyDescent="0.25">
      <c r="A21" s="23">
        <f t="shared" si="17"/>
        <v>15</v>
      </c>
      <c r="B21" s="24" t="s">
        <v>8</v>
      </c>
      <c r="C21" s="25">
        <v>15285</v>
      </c>
      <c r="D21" s="26">
        <v>4000</v>
      </c>
      <c r="E21" s="25">
        <v>669</v>
      </c>
      <c r="F21" s="27">
        <v>13333.333333333334</v>
      </c>
      <c r="G21" s="28">
        <v>623.9</v>
      </c>
      <c r="H21" s="27">
        <v>733.33333333333337</v>
      </c>
      <c r="I21" s="28">
        <v>3072</v>
      </c>
      <c r="J21" s="27">
        <v>933.33333333333337</v>
      </c>
      <c r="K21" s="352">
        <v>16260.7</v>
      </c>
      <c r="L21" s="443"/>
      <c r="M21" s="442">
        <f t="shared" si="13"/>
        <v>16260.7</v>
      </c>
      <c r="N21" s="26">
        <v>6000</v>
      </c>
      <c r="O21" s="25">
        <v>152.80000000000001</v>
      </c>
      <c r="P21" s="239">
        <v>0</v>
      </c>
      <c r="Q21" s="28">
        <f t="shared" si="18"/>
        <v>152.80000000000001</v>
      </c>
      <c r="R21" s="26">
        <v>4333.333333333333</v>
      </c>
      <c r="S21" s="25">
        <v>11256.45</v>
      </c>
      <c r="T21" s="26">
        <v>8603.3333333333339</v>
      </c>
      <c r="U21" s="183">
        <f t="shared" si="14"/>
        <v>47319.850000000006</v>
      </c>
      <c r="V21" s="24">
        <f t="shared" si="15"/>
        <v>37936.666666666664</v>
      </c>
      <c r="W21" s="81"/>
      <c r="X21" s="27">
        <v>2833.3333333333335</v>
      </c>
      <c r="Y21" s="92">
        <f t="shared" si="16"/>
        <v>47319.850000000006</v>
      </c>
      <c r="Z21" s="94">
        <f t="shared" si="16"/>
        <v>40770</v>
      </c>
      <c r="AA21" s="29" t="s">
        <v>167</v>
      </c>
      <c r="AB21" s="30">
        <v>18</v>
      </c>
      <c r="AC21" s="31" t="s">
        <v>7</v>
      </c>
      <c r="AD21" s="32"/>
    </row>
    <row r="22" spans="1:32" ht="18.600000000000001" customHeight="1" x14ac:dyDescent="0.25">
      <c r="A22" s="23">
        <f t="shared" si="17"/>
        <v>16</v>
      </c>
      <c r="B22" s="24" t="s">
        <v>9</v>
      </c>
      <c r="C22" s="25">
        <v>2107.1</v>
      </c>
      <c r="D22" s="26">
        <v>4000</v>
      </c>
      <c r="E22" s="25">
        <v>17520.5</v>
      </c>
      <c r="F22" s="27">
        <v>13333.333333333334</v>
      </c>
      <c r="G22" s="28">
        <v>1005.7</v>
      </c>
      <c r="H22" s="27">
        <v>733.33333333333337</v>
      </c>
      <c r="I22" s="28">
        <v>0</v>
      </c>
      <c r="J22" s="27">
        <v>933.33333333333337</v>
      </c>
      <c r="K22" s="25">
        <v>8303.6</v>
      </c>
      <c r="L22" s="28"/>
      <c r="M22" s="239">
        <f t="shared" si="13"/>
        <v>8303.6</v>
      </c>
      <c r="N22" s="26">
        <v>6000</v>
      </c>
      <c r="O22" s="25">
        <v>0</v>
      </c>
      <c r="P22" s="239">
        <v>0</v>
      </c>
      <c r="Q22" s="28">
        <f t="shared" si="18"/>
        <v>0</v>
      </c>
      <c r="R22" s="26">
        <v>4333.333333333333</v>
      </c>
      <c r="S22" s="25">
        <v>3952.2</v>
      </c>
      <c r="T22" s="26">
        <v>8603.3333333333339</v>
      </c>
      <c r="U22" s="183">
        <f t="shared" si="14"/>
        <v>32889.1</v>
      </c>
      <c r="V22" s="24">
        <f t="shared" si="15"/>
        <v>37936.666666666664</v>
      </c>
      <c r="W22" s="81">
        <v>1142.8</v>
      </c>
      <c r="X22" s="27">
        <v>2833.3333333333335</v>
      </c>
      <c r="Y22" s="333">
        <f t="shared" si="16"/>
        <v>34031.9</v>
      </c>
      <c r="Z22" s="332">
        <f t="shared" si="16"/>
        <v>40770</v>
      </c>
      <c r="AA22" s="29" t="s">
        <v>58</v>
      </c>
      <c r="AB22" s="30">
        <v>21</v>
      </c>
      <c r="AC22" s="31" t="s">
        <v>7</v>
      </c>
      <c r="AD22" s="32"/>
      <c r="AF22" s="401"/>
    </row>
    <row r="23" spans="1:32" ht="18.600000000000001" customHeight="1" x14ac:dyDescent="0.25">
      <c r="A23" s="33" t="s">
        <v>10</v>
      </c>
      <c r="B23" s="34">
        <f>SUM(B15+1)</f>
        <v>24</v>
      </c>
      <c r="C23" s="35">
        <f t="shared" ref="C23:Z23" si="19">SUM(C16:C22)</f>
        <v>57978.05</v>
      </c>
      <c r="D23" s="36">
        <f t="shared" si="19"/>
        <v>28000</v>
      </c>
      <c r="E23" s="35">
        <f t="shared" si="19"/>
        <v>33999.300000000003</v>
      </c>
      <c r="F23" s="37">
        <f t="shared" si="19"/>
        <v>93333.333333333328</v>
      </c>
      <c r="G23" s="38">
        <f t="shared" si="19"/>
        <v>3460.7</v>
      </c>
      <c r="H23" s="37">
        <f t="shared" si="19"/>
        <v>5133.333333333333</v>
      </c>
      <c r="I23" s="38">
        <f>SUM(I16:I22)</f>
        <v>7594.5</v>
      </c>
      <c r="J23" s="37">
        <f>SUM(J16:J22)</f>
        <v>6533.333333333333</v>
      </c>
      <c r="K23" s="35">
        <f t="shared" si="19"/>
        <v>46084.9</v>
      </c>
      <c r="L23" s="297">
        <f t="shared" si="19"/>
        <v>0</v>
      </c>
      <c r="M23" s="38">
        <f t="shared" si="19"/>
        <v>46084.9</v>
      </c>
      <c r="N23" s="36">
        <f t="shared" si="19"/>
        <v>42000</v>
      </c>
      <c r="O23" s="35">
        <f t="shared" si="19"/>
        <v>8629.3999999999978</v>
      </c>
      <c r="P23" s="297">
        <f>SUM(P16:P22)</f>
        <v>31826.6</v>
      </c>
      <c r="Q23" s="38">
        <f t="shared" si="19"/>
        <v>40456</v>
      </c>
      <c r="R23" s="36">
        <f t="shared" si="19"/>
        <v>30333.333333333328</v>
      </c>
      <c r="S23" s="35">
        <f>SUM(S16:S22)</f>
        <v>63326.729999999996</v>
      </c>
      <c r="T23" s="36">
        <f t="shared" si="19"/>
        <v>60223.333333333343</v>
      </c>
      <c r="U23" s="35">
        <f t="shared" si="19"/>
        <v>252900.18</v>
      </c>
      <c r="V23" s="36">
        <f t="shared" si="19"/>
        <v>265556.66666666663</v>
      </c>
      <c r="W23" s="82">
        <f t="shared" si="19"/>
        <v>2238.1999999999998</v>
      </c>
      <c r="X23" s="36">
        <f t="shared" si="19"/>
        <v>19833.333333333332</v>
      </c>
      <c r="Y23" s="35">
        <f t="shared" si="19"/>
        <v>255138.38</v>
      </c>
      <c r="Z23" s="36">
        <f t="shared" si="19"/>
        <v>285390</v>
      </c>
      <c r="AA23" s="39" t="s">
        <v>11</v>
      </c>
      <c r="AB23" s="40">
        <f>SUM(AB16:AB22)/7</f>
        <v>18</v>
      </c>
      <c r="AC23" s="41" t="s">
        <v>7</v>
      </c>
      <c r="AD23" s="42"/>
    </row>
    <row r="24" spans="1:32" ht="18.600000000000001" customHeight="1" x14ac:dyDescent="0.25">
      <c r="A24" s="44">
        <f>SUM(A22+1)</f>
        <v>17</v>
      </c>
      <c r="B24" s="15" t="s">
        <v>12</v>
      </c>
      <c r="C24" s="16">
        <v>186.9</v>
      </c>
      <c r="D24" s="17">
        <v>4000</v>
      </c>
      <c r="E24" s="16">
        <v>7562.5</v>
      </c>
      <c r="F24" s="18">
        <v>13333.333333333334</v>
      </c>
      <c r="G24" s="19">
        <v>777.3</v>
      </c>
      <c r="H24" s="18">
        <v>733.33333333333337</v>
      </c>
      <c r="I24" s="19">
        <v>0</v>
      </c>
      <c r="J24" s="18">
        <v>933.33333333333337</v>
      </c>
      <c r="K24" s="16">
        <v>488.8</v>
      </c>
      <c r="L24" s="19"/>
      <c r="M24" s="238">
        <f t="shared" ref="M24:M30" si="20">K24+L24</f>
        <v>488.8</v>
      </c>
      <c r="N24" s="17">
        <v>6000</v>
      </c>
      <c r="O24" s="16">
        <v>929.6</v>
      </c>
      <c r="P24" s="238">
        <v>6596</v>
      </c>
      <c r="Q24" s="19">
        <f>O24+P24</f>
        <v>7525.6</v>
      </c>
      <c r="R24" s="17">
        <v>4333.333333333333</v>
      </c>
      <c r="S24" s="16">
        <v>8255.9</v>
      </c>
      <c r="T24" s="17">
        <v>8603.3333333333339</v>
      </c>
      <c r="U24" s="91">
        <f t="shared" ref="U24:U30" si="21">SUM(C24+E24+G24+I24+K24+Q24+S24)</f>
        <v>24797</v>
      </c>
      <c r="V24" s="89">
        <f t="shared" ref="V24:V30" si="22">SUM(D24+F24+H24+J24+N24+R24+T24)</f>
        <v>37936.666666666664</v>
      </c>
      <c r="W24" s="16">
        <v>335.4</v>
      </c>
      <c r="X24" s="17">
        <v>2833.3333333333335</v>
      </c>
      <c r="Y24" s="109">
        <f t="shared" ref="Y24:Z30" si="23">SUM(U24+W24)</f>
        <v>25132.400000000001</v>
      </c>
      <c r="Z24" s="110">
        <f t="shared" si="23"/>
        <v>40770</v>
      </c>
      <c r="AA24" s="50" t="s">
        <v>109</v>
      </c>
      <c r="AB24" s="51">
        <v>22</v>
      </c>
      <c r="AC24" s="21" t="s">
        <v>7</v>
      </c>
      <c r="AD24" s="22"/>
    </row>
    <row r="25" spans="1:32" ht="18.600000000000001" customHeight="1" x14ac:dyDescent="0.25">
      <c r="A25" s="47">
        <f t="shared" ref="A25:A30" si="24">SUM(A24+1)</f>
        <v>18</v>
      </c>
      <c r="B25" s="15" t="s">
        <v>13</v>
      </c>
      <c r="C25" s="16">
        <v>1066.7</v>
      </c>
      <c r="D25" s="17">
        <v>4000</v>
      </c>
      <c r="E25" s="16">
        <v>15004</v>
      </c>
      <c r="F25" s="18">
        <v>13333.333333333334</v>
      </c>
      <c r="G25" s="19">
        <v>565.20000000000005</v>
      </c>
      <c r="H25" s="18">
        <v>733.33333333333337</v>
      </c>
      <c r="I25" s="19">
        <v>0</v>
      </c>
      <c r="J25" s="18">
        <v>933.33333333333337</v>
      </c>
      <c r="K25" s="16">
        <v>1922.5</v>
      </c>
      <c r="L25" s="19"/>
      <c r="M25" s="238">
        <f t="shared" si="20"/>
        <v>1922.5</v>
      </c>
      <c r="N25" s="17">
        <v>6000</v>
      </c>
      <c r="O25" s="16">
        <v>1697.1</v>
      </c>
      <c r="P25" s="238">
        <v>5983</v>
      </c>
      <c r="Q25" s="19">
        <f t="shared" ref="Q25:Q30" si="25">O25+P25</f>
        <v>7680.1</v>
      </c>
      <c r="R25" s="17">
        <v>4333.333333333333</v>
      </c>
      <c r="S25" s="16">
        <v>9763.4</v>
      </c>
      <c r="T25" s="17">
        <v>8603.3333333333339</v>
      </c>
      <c r="U25" s="91">
        <f t="shared" si="21"/>
        <v>36001.9</v>
      </c>
      <c r="V25" s="89">
        <f t="shared" si="22"/>
        <v>37936.666666666664</v>
      </c>
      <c r="W25" s="16">
        <v>2961.8</v>
      </c>
      <c r="X25" s="17">
        <v>2833.3333333333335</v>
      </c>
      <c r="Y25" s="109">
        <f t="shared" si="23"/>
        <v>38963.700000000004</v>
      </c>
      <c r="Z25" s="110">
        <f t="shared" si="23"/>
        <v>40770</v>
      </c>
      <c r="AA25" s="45" t="s">
        <v>58</v>
      </c>
      <c r="AB25" s="46">
        <v>29</v>
      </c>
      <c r="AC25" s="21" t="s">
        <v>7</v>
      </c>
      <c r="AD25" s="22"/>
    </row>
    <row r="26" spans="1:32" ht="18.600000000000001" customHeight="1" x14ac:dyDescent="0.25">
      <c r="A26" s="47">
        <f t="shared" si="24"/>
        <v>19</v>
      </c>
      <c r="B26" s="15" t="s">
        <v>14</v>
      </c>
      <c r="C26" s="16">
        <v>4904.3</v>
      </c>
      <c r="D26" s="17">
        <v>4000</v>
      </c>
      <c r="E26" s="16">
        <v>7924.8</v>
      </c>
      <c r="F26" s="18">
        <v>13333.333333333334</v>
      </c>
      <c r="G26" s="19">
        <v>854</v>
      </c>
      <c r="H26" s="18">
        <v>733.33333333333337</v>
      </c>
      <c r="I26" s="19">
        <v>0</v>
      </c>
      <c r="J26" s="18">
        <v>933.33333333333337</v>
      </c>
      <c r="K26" s="16">
        <v>510</v>
      </c>
      <c r="L26" s="19"/>
      <c r="M26" s="238">
        <f t="shared" si="20"/>
        <v>510</v>
      </c>
      <c r="N26" s="17">
        <v>6000</v>
      </c>
      <c r="O26" s="16">
        <v>1153.8</v>
      </c>
      <c r="P26" s="238">
        <v>6290</v>
      </c>
      <c r="Q26" s="19">
        <f t="shared" si="25"/>
        <v>7443.8</v>
      </c>
      <c r="R26" s="17">
        <v>4333.333333333333</v>
      </c>
      <c r="S26" s="16">
        <v>6733.5</v>
      </c>
      <c r="T26" s="17">
        <v>8603.3333333333339</v>
      </c>
      <c r="U26" s="91">
        <f t="shared" si="21"/>
        <v>28370.400000000001</v>
      </c>
      <c r="V26" s="89">
        <f t="shared" si="22"/>
        <v>37936.666666666664</v>
      </c>
      <c r="W26" s="16">
        <v>3294.49</v>
      </c>
      <c r="X26" s="17">
        <v>2833.3333333333335</v>
      </c>
      <c r="Y26" s="109">
        <f t="shared" si="23"/>
        <v>31664.89</v>
      </c>
      <c r="Z26" s="110">
        <f t="shared" si="23"/>
        <v>40770</v>
      </c>
      <c r="AA26" s="45" t="s">
        <v>58</v>
      </c>
      <c r="AB26" s="46">
        <v>28</v>
      </c>
      <c r="AC26" s="21" t="s">
        <v>7</v>
      </c>
      <c r="AD26" s="22"/>
    </row>
    <row r="27" spans="1:32" ht="18.600000000000001" customHeight="1" x14ac:dyDescent="0.25">
      <c r="A27" s="47">
        <f t="shared" si="24"/>
        <v>20</v>
      </c>
      <c r="B27" s="15" t="s">
        <v>15</v>
      </c>
      <c r="C27" s="16">
        <v>8289.1</v>
      </c>
      <c r="D27" s="17">
        <v>4000</v>
      </c>
      <c r="E27" s="16">
        <v>3012.2</v>
      </c>
      <c r="F27" s="18">
        <v>13333.333333333334</v>
      </c>
      <c r="G27" s="19">
        <v>376.7</v>
      </c>
      <c r="H27" s="18">
        <v>733.33333333333337</v>
      </c>
      <c r="I27" s="19">
        <v>0</v>
      </c>
      <c r="J27" s="18">
        <v>933.33333333333337</v>
      </c>
      <c r="K27" s="16">
        <v>3748.5</v>
      </c>
      <c r="L27" s="19"/>
      <c r="M27" s="238">
        <f t="shared" si="20"/>
        <v>3748.5</v>
      </c>
      <c r="N27" s="17">
        <v>6000</v>
      </c>
      <c r="O27" s="16">
        <v>1078</v>
      </c>
      <c r="P27" s="238">
        <v>5661</v>
      </c>
      <c r="Q27" s="19">
        <f>O27+P27</f>
        <v>6739</v>
      </c>
      <c r="R27" s="17">
        <v>4333.333333333333</v>
      </c>
      <c r="S27" s="20">
        <v>6739.8</v>
      </c>
      <c r="T27" s="17">
        <v>8603.3333333333339</v>
      </c>
      <c r="U27" s="91">
        <f t="shared" si="21"/>
        <v>28905.3</v>
      </c>
      <c r="V27" s="89">
        <f t="shared" si="22"/>
        <v>37936.666666666664</v>
      </c>
      <c r="W27" s="16">
        <v>0</v>
      </c>
      <c r="X27" s="17">
        <v>2833.3333333333335</v>
      </c>
      <c r="Y27" s="109">
        <f t="shared" si="23"/>
        <v>28905.3</v>
      </c>
      <c r="Z27" s="110">
        <f t="shared" si="23"/>
        <v>40770</v>
      </c>
      <c r="AA27" s="45" t="s">
        <v>168</v>
      </c>
      <c r="AB27" s="46">
        <v>20</v>
      </c>
      <c r="AC27" s="21" t="s">
        <v>7</v>
      </c>
      <c r="AD27" s="22"/>
    </row>
    <row r="28" spans="1:32" ht="18.600000000000001" customHeight="1" x14ac:dyDescent="0.25">
      <c r="A28" s="47">
        <f t="shared" si="24"/>
        <v>21</v>
      </c>
      <c r="B28" s="15" t="s">
        <v>6</v>
      </c>
      <c r="C28" s="16">
        <v>12444.3</v>
      </c>
      <c r="D28" s="17">
        <v>4000</v>
      </c>
      <c r="E28" s="16">
        <v>194</v>
      </c>
      <c r="F28" s="18">
        <v>13333.333333333334</v>
      </c>
      <c r="G28" s="19">
        <v>43.9</v>
      </c>
      <c r="H28" s="18">
        <v>733.33333333333337</v>
      </c>
      <c r="I28" s="19">
        <v>4040</v>
      </c>
      <c r="J28" s="18">
        <v>933.33333333333337</v>
      </c>
      <c r="K28" s="16">
        <v>12038.9</v>
      </c>
      <c r="L28" s="19"/>
      <c r="M28" s="238">
        <f t="shared" si="20"/>
        <v>12038.9</v>
      </c>
      <c r="N28" s="17">
        <v>6000</v>
      </c>
      <c r="O28" s="16">
        <v>75.2</v>
      </c>
      <c r="P28" s="238">
        <v>3226</v>
      </c>
      <c r="Q28" s="19">
        <f>O28+P28</f>
        <v>3301.2</v>
      </c>
      <c r="R28" s="17">
        <v>4333.333333333333</v>
      </c>
      <c r="S28" s="16">
        <v>7056.4</v>
      </c>
      <c r="T28" s="17">
        <v>8603.3333333333339</v>
      </c>
      <c r="U28" s="91">
        <f t="shared" si="21"/>
        <v>39118.699999999997</v>
      </c>
      <c r="V28" s="89">
        <f t="shared" si="22"/>
        <v>37936.666666666664</v>
      </c>
      <c r="W28" s="16">
        <v>0</v>
      </c>
      <c r="X28" s="17">
        <v>2833.3333333333335</v>
      </c>
      <c r="Y28" s="109">
        <f t="shared" si="23"/>
        <v>39118.699999999997</v>
      </c>
      <c r="Z28" s="110">
        <f t="shared" si="23"/>
        <v>40770</v>
      </c>
      <c r="AA28" s="45" t="s">
        <v>169</v>
      </c>
      <c r="AB28" s="46">
        <v>17</v>
      </c>
      <c r="AC28" s="21" t="s">
        <v>7</v>
      </c>
      <c r="AD28" s="22"/>
    </row>
    <row r="29" spans="1:32" ht="18.600000000000001" customHeight="1" x14ac:dyDescent="0.25">
      <c r="A29" s="23">
        <f t="shared" si="24"/>
        <v>22</v>
      </c>
      <c r="B29" s="24" t="s">
        <v>8</v>
      </c>
      <c r="C29" s="25">
        <v>15575</v>
      </c>
      <c r="D29" s="26">
        <v>4000</v>
      </c>
      <c r="E29" s="25">
        <v>78.400000000000006</v>
      </c>
      <c r="F29" s="27">
        <v>13333.333333333334</v>
      </c>
      <c r="G29" s="28">
        <v>313.89999999999998</v>
      </c>
      <c r="H29" s="27">
        <v>733.33333333333337</v>
      </c>
      <c r="I29" s="28">
        <v>3510</v>
      </c>
      <c r="J29" s="27">
        <v>933.33333333333337</v>
      </c>
      <c r="K29" s="25">
        <v>15974.1</v>
      </c>
      <c r="L29" s="28"/>
      <c r="M29" s="239">
        <f t="shared" si="20"/>
        <v>15974.1</v>
      </c>
      <c r="N29" s="26">
        <v>6000</v>
      </c>
      <c r="O29" s="25">
        <v>0</v>
      </c>
      <c r="P29" s="239">
        <v>0</v>
      </c>
      <c r="Q29" s="28">
        <f t="shared" si="25"/>
        <v>0</v>
      </c>
      <c r="R29" s="26">
        <v>4333.333333333333</v>
      </c>
      <c r="S29" s="25">
        <v>11567</v>
      </c>
      <c r="T29" s="26">
        <v>8603.3333333333339</v>
      </c>
      <c r="U29" s="183">
        <f t="shared" si="21"/>
        <v>47018.400000000001</v>
      </c>
      <c r="V29" s="90">
        <f t="shared" si="22"/>
        <v>37936.666666666664</v>
      </c>
      <c r="W29" s="25">
        <v>0</v>
      </c>
      <c r="X29" s="26">
        <v>2833.3333333333335</v>
      </c>
      <c r="Y29" s="92">
        <f t="shared" si="23"/>
        <v>47018.400000000001</v>
      </c>
      <c r="Z29" s="94">
        <f t="shared" si="23"/>
        <v>40770</v>
      </c>
      <c r="AA29" s="29" t="s">
        <v>59</v>
      </c>
      <c r="AB29" s="30">
        <v>16</v>
      </c>
      <c r="AC29" s="31" t="s">
        <v>7</v>
      </c>
      <c r="AD29" s="32"/>
    </row>
    <row r="30" spans="1:32" ht="18.600000000000001" customHeight="1" x14ac:dyDescent="0.25">
      <c r="A30" s="23">
        <f t="shared" si="24"/>
        <v>23</v>
      </c>
      <c r="B30" s="53" t="s">
        <v>9</v>
      </c>
      <c r="C30" s="25">
        <v>9737.48</v>
      </c>
      <c r="D30" s="26">
        <v>4000</v>
      </c>
      <c r="E30" s="25">
        <v>1078.4000000000001</v>
      </c>
      <c r="F30" s="27">
        <v>13333.333333333334</v>
      </c>
      <c r="G30" s="28">
        <v>462.5</v>
      </c>
      <c r="H30" s="27">
        <v>733.33333333333337</v>
      </c>
      <c r="I30" s="28">
        <v>0</v>
      </c>
      <c r="J30" s="27">
        <v>933.33333333333337</v>
      </c>
      <c r="K30" s="25">
        <v>11388.9</v>
      </c>
      <c r="L30" s="28"/>
      <c r="M30" s="239">
        <f t="shared" si="20"/>
        <v>11388.9</v>
      </c>
      <c r="N30" s="26">
        <v>6000</v>
      </c>
      <c r="O30" s="25">
        <v>798.9</v>
      </c>
      <c r="P30" s="239">
        <v>0</v>
      </c>
      <c r="Q30" s="28">
        <f t="shared" si="25"/>
        <v>798.9</v>
      </c>
      <c r="R30" s="26">
        <v>4333.333333333333</v>
      </c>
      <c r="S30" s="25">
        <v>5444.6</v>
      </c>
      <c r="T30" s="26">
        <v>8603.3333333333339</v>
      </c>
      <c r="U30" s="183">
        <f t="shared" si="21"/>
        <v>28910.78</v>
      </c>
      <c r="V30" s="90">
        <f t="shared" si="22"/>
        <v>37936.666666666664</v>
      </c>
      <c r="W30" s="25">
        <v>0</v>
      </c>
      <c r="X30" s="26">
        <v>2833.3333333333335</v>
      </c>
      <c r="Y30" s="92">
        <f t="shared" si="23"/>
        <v>28910.78</v>
      </c>
      <c r="Z30" s="94">
        <f t="shared" si="23"/>
        <v>40770</v>
      </c>
      <c r="AA30" s="29" t="s">
        <v>60</v>
      </c>
      <c r="AB30" s="30">
        <v>18</v>
      </c>
      <c r="AC30" s="31" t="s">
        <v>7</v>
      </c>
      <c r="AD30" s="32"/>
    </row>
    <row r="31" spans="1:32" ht="18.600000000000001" customHeight="1" x14ac:dyDescent="0.25">
      <c r="A31" s="33" t="s">
        <v>10</v>
      </c>
      <c r="B31" s="34">
        <f>SUM(B23+1)</f>
        <v>25</v>
      </c>
      <c r="C31" s="35">
        <f t="shared" ref="C31:Z31" si="26">SUM(C24:C30)</f>
        <v>52203.78</v>
      </c>
      <c r="D31" s="36">
        <f t="shared" si="26"/>
        <v>28000</v>
      </c>
      <c r="E31" s="35">
        <f t="shared" si="26"/>
        <v>34854.300000000003</v>
      </c>
      <c r="F31" s="37">
        <f t="shared" si="26"/>
        <v>93333.333333333328</v>
      </c>
      <c r="G31" s="38">
        <f t="shared" si="26"/>
        <v>3393.5</v>
      </c>
      <c r="H31" s="37">
        <f t="shared" si="26"/>
        <v>5133.333333333333</v>
      </c>
      <c r="I31" s="38">
        <f>SUM(I24:I30)</f>
        <v>7550</v>
      </c>
      <c r="J31" s="37">
        <f>SUM(J24:J30)</f>
        <v>6533.333333333333</v>
      </c>
      <c r="K31" s="266">
        <f t="shared" si="26"/>
        <v>46071.700000000004</v>
      </c>
      <c r="L31" s="290">
        <f t="shared" si="26"/>
        <v>0</v>
      </c>
      <c r="M31" s="38">
        <f t="shared" si="26"/>
        <v>46071.700000000004</v>
      </c>
      <c r="N31" s="36">
        <f t="shared" si="26"/>
        <v>42000</v>
      </c>
      <c r="O31" s="266">
        <f t="shared" si="26"/>
        <v>5732.5999999999995</v>
      </c>
      <c r="P31" s="38">
        <f t="shared" si="26"/>
        <v>27756</v>
      </c>
      <c r="Q31" s="82">
        <f t="shared" si="26"/>
        <v>33488.6</v>
      </c>
      <c r="R31" s="36">
        <f t="shared" si="26"/>
        <v>30333.333333333328</v>
      </c>
      <c r="S31" s="35">
        <f t="shared" si="26"/>
        <v>55560.6</v>
      </c>
      <c r="T31" s="36">
        <f t="shared" si="26"/>
        <v>60223.333333333343</v>
      </c>
      <c r="U31" s="35">
        <f t="shared" si="26"/>
        <v>233122.47999999998</v>
      </c>
      <c r="V31" s="36">
        <f t="shared" si="26"/>
        <v>265556.66666666663</v>
      </c>
      <c r="W31" s="35">
        <f t="shared" si="26"/>
        <v>6591.6900000000005</v>
      </c>
      <c r="X31" s="36">
        <f t="shared" si="26"/>
        <v>19833.333333333332</v>
      </c>
      <c r="Y31" s="35">
        <f t="shared" si="26"/>
        <v>239714.16999999998</v>
      </c>
      <c r="Z31" s="36">
        <f t="shared" si="26"/>
        <v>285390</v>
      </c>
      <c r="AA31" s="39" t="s">
        <v>11</v>
      </c>
      <c r="AB31" s="40">
        <f>SUM(AB24:AB30)/7</f>
        <v>21.428571428571427</v>
      </c>
      <c r="AC31" s="41" t="s">
        <v>7</v>
      </c>
      <c r="AD31" s="42"/>
    </row>
    <row r="32" spans="1:32" ht="18.600000000000001" customHeight="1" x14ac:dyDescent="0.25">
      <c r="A32" s="44">
        <f>SUM(A30+1)</f>
        <v>24</v>
      </c>
      <c r="B32" s="15" t="s">
        <v>12</v>
      </c>
      <c r="C32" s="16">
        <v>1298</v>
      </c>
      <c r="D32" s="17">
        <v>4000</v>
      </c>
      <c r="E32" s="16">
        <v>10443.950000000001</v>
      </c>
      <c r="F32" s="18">
        <v>13333.333333333334</v>
      </c>
      <c r="G32" s="19">
        <v>667.6</v>
      </c>
      <c r="H32" s="18">
        <v>733.33333333333337</v>
      </c>
      <c r="I32" s="19">
        <v>0</v>
      </c>
      <c r="J32" s="18">
        <v>933.33333333333337</v>
      </c>
      <c r="K32" s="16">
        <v>5.2</v>
      </c>
      <c r="L32" s="19"/>
      <c r="M32" s="238">
        <f t="shared" ref="M32:M38" si="27">K32+L32</f>
        <v>5.2</v>
      </c>
      <c r="N32" s="17">
        <v>6000</v>
      </c>
      <c r="O32" s="16">
        <v>950.5</v>
      </c>
      <c r="P32" s="238">
        <v>2365</v>
      </c>
      <c r="Q32" s="19">
        <f>O32+P32</f>
        <v>3315.5</v>
      </c>
      <c r="R32" s="17">
        <v>4333.333333333333</v>
      </c>
      <c r="S32" s="16">
        <v>8290.6</v>
      </c>
      <c r="T32" s="17">
        <v>8603.3333333333339</v>
      </c>
      <c r="U32" s="91">
        <f>SUM(C32+E32+G32+I32+K32+Q32+S32)</f>
        <v>24020.850000000002</v>
      </c>
      <c r="V32" s="89">
        <f>SUM(D32+F32+H32+J32+N32+R32+T32)</f>
        <v>37936.666666666664</v>
      </c>
      <c r="W32" s="16">
        <v>780.8</v>
      </c>
      <c r="X32" s="17">
        <v>2833.3333333333335</v>
      </c>
      <c r="Y32" s="109">
        <f t="shared" ref="Y32:Z38" si="28">SUM(U32+W32)</f>
        <v>24801.65</v>
      </c>
      <c r="Z32" s="110">
        <f t="shared" si="28"/>
        <v>40770</v>
      </c>
      <c r="AA32" s="45" t="s">
        <v>138</v>
      </c>
      <c r="AB32" s="46">
        <v>22</v>
      </c>
      <c r="AC32" s="21" t="s">
        <v>7</v>
      </c>
      <c r="AD32" s="22"/>
    </row>
    <row r="33" spans="1:30" ht="18.600000000000001" customHeight="1" x14ac:dyDescent="0.25">
      <c r="A33" s="44">
        <f>SUM(A32+1)</f>
        <v>25</v>
      </c>
      <c r="B33" s="15" t="s">
        <v>13</v>
      </c>
      <c r="C33" s="16">
        <v>9432.6</v>
      </c>
      <c r="D33" s="17">
        <v>4000</v>
      </c>
      <c r="E33" s="16">
        <v>9202.4</v>
      </c>
      <c r="F33" s="18">
        <v>13333.333333333334</v>
      </c>
      <c r="G33" s="19">
        <v>703</v>
      </c>
      <c r="H33" s="18">
        <v>733.33333333333337</v>
      </c>
      <c r="I33" s="19">
        <v>0</v>
      </c>
      <c r="J33" s="18">
        <v>933.33333333333337</v>
      </c>
      <c r="K33" s="16">
        <v>1779</v>
      </c>
      <c r="L33" s="19"/>
      <c r="M33" s="238">
        <f t="shared" si="27"/>
        <v>1779</v>
      </c>
      <c r="N33" s="17">
        <v>6000</v>
      </c>
      <c r="O33" s="16">
        <v>578.20000000000005</v>
      </c>
      <c r="P33" s="238">
        <v>5381</v>
      </c>
      <c r="Q33" s="19">
        <f t="shared" ref="Q33:Q38" si="29">O33+P33</f>
        <v>5959.2</v>
      </c>
      <c r="R33" s="17">
        <v>4333.333333333333</v>
      </c>
      <c r="S33" s="16">
        <v>9626.1</v>
      </c>
      <c r="T33" s="17">
        <v>8603.3333333333339</v>
      </c>
      <c r="U33" s="91">
        <f t="shared" ref="U33:U38" si="30">SUM(C33+E33+G33+I33+K33+Q33+S33)</f>
        <v>36702.300000000003</v>
      </c>
      <c r="V33" s="89">
        <f>SUM(D33+F33+H33+J33+N33+R33+T33)</f>
        <v>37936.666666666664</v>
      </c>
      <c r="W33" s="16">
        <v>1183.5</v>
      </c>
      <c r="X33" s="17">
        <v>2833.3333333333335</v>
      </c>
      <c r="Y33" s="109">
        <f t="shared" si="28"/>
        <v>37885.800000000003</v>
      </c>
      <c r="Z33" s="110">
        <f t="shared" si="28"/>
        <v>40770</v>
      </c>
      <c r="AA33" s="45" t="s">
        <v>58</v>
      </c>
      <c r="AB33" s="46">
        <v>26</v>
      </c>
      <c r="AC33" s="21" t="s">
        <v>7</v>
      </c>
      <c r="AD33" s="22"/>
    </row>
    <row r="34" spans="1:30" ht="18.600000000000001" customHeight="1" x14ac:dyDescent="0.25">
      <c r="A34" s="44">
        <f>SUM(A33+1)</f>
        <v>26</v>
      </c>
      <c r="B34" s="15" t="s">
        <v>14</v>
      </c>
      <c r="C34" s="16">
        <v>10122.9</v>
      </c>
      <c r="D34" s="17">
        <v>4000</v>
      </c>
      <c r="E34" s="16">
        <v>2336.9</v>
      </c>
      <c r="F34" s="18">
        <v>13333.333333333334</v>
      </c>
      <c r="G34" s="19">
        <v>300.8</v>
      </c>
      <c r="H34" s="18">
        <v>733.33333333333337</v>
      </c>
      <c r="I34" s="19">
        <v>1100</v>
      </c>
      <c r="J34" s="18">
        <v>933.33333333333337</v>
      </c>
      <c r="K34" s="16">
        <v>5446.4</v>
      </c>
      <c r="L34" s="19"/>
      <c r="M34" s="238">
        <f t="shared" si="27"/>
        <v>5446.4</v>
      </c>
      <c r="N34" s="17">
        <v>6000</v>
      </c>
      <c r="O34" s="16">
        <v>712.9</v>
      </c>
      <c r="P34" s="238">
        <v>4466</v>
      </c>
      <c r="Q34" s="19">
        <f t="shared" si="29"/>
        <v>5178.8999999999996</v>
      </c>
      <c r="R34" s="17">
        <v>4333.333333333333</v>
      </c>
      <c r="S34" s="16">
        <v>8243.7000000000007</v>
      </c>
      <c r="T34" s="17">
        <v>8603.3333333333339</v>
      </c>
      <c r="U34" s="91">
        <f t="shared" si="30"/>
        <v>32729.600000000002</v>
      </c>
      <c r="V34" s="89">
        <f>SUM(D34+F34+H34+J34+N34+R34+T34)</f>
        <v>37936.666666666664</v>
      </c>
      <c r="W34" s="16">
        <v>0</v>
      </c>
      <c r="X34" s="17">
        <v>2833.3333333333335</v>
      </c>
      <c r="Y34" s="109">
        <f t="shared" si="28"/>
        <v>32729.600000000002</v>
      </c>
      <c r="Z34" s="110">
        <f t="shared" si="28"/>
        <v>40770</v>
      </c>
      <c r="AA34" s="45" t="s">
        <v>79</v>
      </c>
      <c r="AB34" s="46">
        <v>20</v>
      </c>
      <c r="AC34" s="21" t="s">
        <v>7</v>
      </c>
      <c r="AD34" s="22"/>
    </row>
    <row r="35" spans="1:30" ht="18.600000000000001" customHeight="1" x14ac:dyDescent="0.25">
      <c r="A35" s="44">
        <f>SUM(A34+1)</f>
        <v>27</v>
      </c>
      <c r="B35" s="236" t="s">
        <v>15</v>
      </c>
      <c r="C35" s="16">
        <v>2345.1</v>
      </c>
      <c r="D35" s="17">
        <v>4000</v>
      </c>
      <c r="E35" s="16">
        <v>17304.3</v>
      </c>
      <c r="F35" s="18">
        <v>13333.333333333334</v>
      </c>
      <c r="G35" s="80">
        <v>975</v>
      </c>
      <c r="H35" s="18">
        <v>733.33333333333337</v>
      </c>
      <c r="I35" s="80">
        <v>0</v>
      </c>
      <c r="J35" s="18">
        <v>933.33333333333337</v>
      </c>
      <c r="K35" s="16">
        <v>-28.2</v>
      </c>
      <c r="L35" s="19"/>
      <c r="M35" s="238">
        <f t="shared" si="27"/>
        <v>-28.2</v>
      </c>
      <c r="N35" s="17">
        <v>6000</v>
      </c>
      <c r="O35" s="16">
        <v>2584.8000000000002</v>
      </c>
      <c r="P35" s="238">
        <v>6947</v>
      </c>
      <c r="Q35" s="19">
        <f t="shared" si="29"/>
        <v>9531.7999999999993</v>
      </c>
      <c r="R35" s="17">
        <v>4333.333333333333</v>
      </c>
      <c r="S35" s="16">
        <v>10436.200000000001</v>
      </c>
      <c r="T35" s="17">
        <v>8603.3333333333339</v>
      </c>
      <c r="U35" s="91">
        <f t="shared" si="30"/>
        <v>40564.199999999997</v>
      </c>
      <c r="V35" s="89">
        <f>SUM(D35+F35+H35+J35+N35+R35+T35)</f>
        <v>37936.666666666664</v>
      </c>
      <c r="W35" s="16">
        <v>2887</v>
      </c>
      <c r="X35" s="17">
        <v>2833.3333333333335</v>
      </c>
      <c r="Y35" s="109">
        <f t="shared" si="28"/>
        <v>43451.199999999997</v>
      </c>
      <c r="Z35" s="110">
        <f t="shared" si="28"/>
        <v>40770</v>
      </c>
      <c r="AA35" s="45" t="s">
        <v>170</v>
      </c>
      <c r="AB35" s="46">
        <v>24</v>
      </c>
      <c r="AC35" s="21" t="s">
        <v>7</v>
      </c>
      <c r="AD35" s="22"/>
    </row>
    <row r="36" spans="1:30" ht="18.600000000000001" customHeight="1" x14ac:dyDescent="0.25">
      <c r="A36" s="44">
        <f t="shared" ref="A36:A38" si="31">SUM(A35+1)</f>
        <v>28</v>
      </c>
      <c r="B36" s="236" t="s">
        <v>123</v>
      </c>
      <c r="C36" s="16">
        <v>2122.8000000000002</v>
      </c>
      <c r="D36" s="17">
        <v>4000</v>
      </c>
      <c r="E36" s="16">
        <v>16551.099999999999</v>
      </c>
      <c r="F36" s="18">
        <v>13333.333333333334</v>
      </c>
      <c r="G36" s="80">
        <v>700.7</v>
      </c>
      <c r="H36" s="18">
        <v>733.33333333333337</v>
      </c>
      <c r="I36" s="80">
        <v>3787.5</v>
      </c>
      <c r="J36" s="18">
        <v>933.33333333333337</v>
      </c>
      <c r="K36" s="16">
        <v>22266.5</v>
      </c>
      <c r="L36" s="19"/>
      <c r="M36" s="238">
        <f t="shared" si="27"/>
        <v>22266.5</v>
      </c>
      <c r="N36" s="17">
        <v>6000</v>
      </c>
      <c r="O36" s="16">
        <v>56.5</v>
      </c>
      <c r="P36" s="238">
        <v>2602</v>
      </c>
      <c r="Q36" s="19">
        <f t="shared" si="29"/>
        <v>2658.5</v>
      </c>
      <c r="R36" s="17">
        <v>4333.333333333333</v>
      </c>
      <c r="S36" s="16">
        <v>11036.2</v>
      </c>
      <c r="T36" s="17">
        <v>8603.3333333333339</v>
      </c>
      <c r="U36" s="91">
        <f t="shared" ref="U36:U37" si="32">SUM(C36+E36+G36+I36+K36+Q36+S36)</f>
        <v>59123.3</v>
      </c>
      <c r="V36" s="89">
        <f t="shared" ref="V36:V37" si="33">SUM(D36+F36+H36+J36+N36+R36+T36)</f>
        <v>37936.666666666664</v>
      </c>
      <c r="W36" s="16">
        <v>2307.8000000000002</v>
      </c>
      <c r="X36" s="17">
        <v>2833.3333333333335</v>
      </c>
      <c r="Y36" s="109">
        <f t="shared" ref="Y36:Y37" si="34">SUM(U36+W36)</f>
        <v>61431.100000000006</v>
      </c>
      <c r="Z36" s="110">
        <f t="shared" ref="Z36:Z37" si="35">SUM(V36+X36)</f>
        <v>40770</v>
      </c>
      <c r="AA36" s="45" t="s">
        <v>171</v>
      </c>
      <c r="AB36" s="46">
        <v>29</v>
      </c>
      <c r="AC36" s="21" t="s">
        <v>7</v>
      </c>
      <c r="AD36" s="22"/>
    </row>
    <row r="37" spans="1:30" ht="18.600000000000001" customHeight="1" x14ac:dyDescent="0.25">
      <c r="A37" s="23">
        <f t="shared" si="31"/>
        <v>29</v>
      </c>
      <c r="B37" s="451" t="s">
        <v>125</v>
      </c>
      <c r="C37" s="25">
        <v>10036.1</v>
      </c>
      <c r="D37" s="26">
        <v>4000</v>
      </c>
      <c r="E37" s="25">
        <v>5955.9</v>
      </c>
      <c r="F37" s="27">
        <v>13333.333333333334</v>
      </c>
      <c r="G37" s="81">
        <v>595.29999999999995</v>
      </c>
      <c r="H37" s="27">
        <v>733.33333333333337</v>
      </c>
      <c r="I37" s="81">
        <v>0</v>
      </c>
      <c r="J37" s="27">
        <v>933.33333333333337</v>
      </c>
      <c r="K37" s="25">
        <v>23568.9</v>
      </c>
      <c r="L37" s="28"/>
      <c r="M37" s="239">
        <f t="shared" si="27"/>
        <v>23568.9</v>
      </c>
      <c r="N37" s="26">
        <v>6000</v>
      </c>
      <c r="O37" s="25">
        <v>0</v>
      </c>
      <c r="P37" s="239">
        <v>0</v>
      </c>
      <c r="Q37" s="28">
        <f t="shared" si="29"/>
        <v>0</v>
      </c>
      <c r="R37" s="26">
        <v>4333.333333333333</v>
      </c>
      <c r="S37" s="25">
        <v>12244.8</v>
      </c>
      <c r="T37" s="26">
        <v>8603.3333333333339</v>
      </c>
      <c r="U37" s="183">
        <f t="shared" si="32"/>
        <v>52401</v>
      </c>
      <c r="V37" s="90">
        <f t="shared" si="33"/>
        <v>37936.666666666664</v>
      </c>
      <c r="W37" s="25">
        <v>2601.6999999999998</v>
      </c>
      <c r="X37" s="26">
        <v>2833.3333333333335</v>
      </c>
      <c r="Y37" s="92">
        <f t="shared" si="34"/>
        <v>55002.7</v>
      </c>
      <c r="Z37" s="234">
        <f t="shared" si="35"/>
        <v>40770</v>
      </c>
      <c r="AA37" s="29" t="s">
        <v>60</v>
      </c>
      <c r="AB37" s="30">
        <v>30</v>
      </c>
      <c r="AC37" s="31" t="s">
        <v>7</v>
      </c>
      <c r="AD37" s="32"/>
    </row>
    <row r="38" spans="1:30" ht="18.600000000000001" customHeight="1" x14ac:dyDescent="0.25">
      <c r="A38" s="23">
        <f t="shared" si="31"/>
        <v>30</v>
      </c>
      <c r="B38" s="451" t="s">
        <v>126</v>
      </c>
      <c r="C38" s="25">
        <v>13478.2</v>
      </c>
      <c r="D38" s="26">
        <v>4000</v>
      </c>
      <c r="E38" s="25">
        <v>1203.2</v>
      </c>
      <c r="F38" s="27">
        <v>13333.333333333334</v>
      </c>
      <c r="G38" s="81">
        <v>427.2</v>
      </c>
      <c r="H38" s="27">
        <v>733.33333333333337</v>
      </c>
      <c r="I38" s="81">
        <v>0</v>
      </c>
      <c r="J38" s="27">
        <v>933.33333333333337</v>
      </c>
      <c r="K38" s="25">
        <v>12894.8</v>
      </c>
      <c r="L38" s="28"/>
      <c r="M38" s="239">
        <f t="shared" si="27"/>
        <v>12894.8</v>
      </c>
      <c r="N38" s="26">
        <v>6000</v>
      </c>
      <c r="O38" s="25">
        <v>0</v>
      </c>
      <c r="P38" s="239">
        <v>0</v>
      </c>
      <c r="Q38" s="28">
        <f t="shared" si="29"/>
        <v>0</v>
      </c>
      <c r="R38" s="26">
        <v>4333.333333333333</v>
      </c>
      <c r="S38" s="25">
        <v>8236.2999999999993</v>
      </c>
      <c r="T38" s="26">
        <v>8603.3333333333339</v>
      </c>
      <c r="U38" s="183">
        <f t="shared" si="30"/>
        <v>36239.699999999997</v>
      </c>
      <c r="V38" s="90">
        <f>SUM(D38+F38+H38+J38+N38+R38+T38)</f>
        <v>37936.666666666664</v>
      </c>
      <c r="W38" s="25">
        <v>0</v>
      </c>
      <c r="X38" s="26">
        <v>2833.3333333333335</v>
      </c>
      <c r="Y38" s="92">
        <f t="shared" si="28"/>
        <v>36239.699999999997</v>
      </c>
      <c r="Z38" s="234">
        <f t="shared" si="28"/>
        <v>40770</v>
      </c>
      <c r="AA38" s="29" t="s">
        <v>88</v>
      </c>
      <c r="AB38" s="30">
        <v>19</v>
      </c>
      <c r="AC38" s="31" t="s">
        <v>7</v>
      </c>
      <c r="AD38" s="32"/>
    </row>
    <row r="39" spans="1:30" ht="20.100000000000001" customHeight="1" thickBot="1" x14ac:dyDescent="0.3">
      <c r="A39" s="33" t="s">
        <v>10</v>
      </c>
      <c r="B39" s="34">
        <f>SUM(B31+1)</f>
        <v>26</v>
      </c>
      <c r="C39" s="35">
        <f>SUM(C32:C38)</f>
        <v>48835.7</v>
      </c>
      <c r="D39" s="36">
        <f>SUM(D32:D38)</f>
        <v>28000</v>
      </c>
      <c r="E39" s="35">
        <f t="shared" ref="E39:Z39" si="36">SUM(E32:E38)</f>
        <v>62997.75</v>
      </c>
      <c r="F39" s="36">
        <f t="shared" si="36"/>
        <v>93333.333333333328</v>
      </c>
      <c r="G39" s="35">
        <f t="shared" si="36"/>
        <v>4369.5999999999995</v>
      </c>
      <c r="H39" s="36">
        <f t="shared" si="36"/>
        <v>5133.333333333333</v>
      </c>
      <c r="I39" s="35">
        <f t="shared" si="36"/>
        <v>4887.5</v>
      </c>
      <c r="J39" s="36">
        <f t="shared" si="36"/>
        <v>6533.333333333333</v>
      </c>
      <c r="K39" s="68">
        <f>SUM(K32:K38)</f>
        <v>65932.600000000006</v>
      </c>
      <c r="L39" s="306">
        <f t="shared" si="36"/>
        <v>0</v>
      </c>
      <c r="M39" s="82">
        <f t="shared" si="36"/>
        <v>65932.600000000006</v>
      </c>
      <c r="N39" s="36">
        <f t="shared" si="36"/>
        <v>42000</v>
      </c>
      <c r="O39" s="266">
        <f>SUM(O32:O38)</f>
        <v>4882.8999999999996</v>
      </c>
      <c r="P39" s="306">
        <f>SUM(P32:P38)</f>
        <v>21761</v>
      </c>
      <c r="Q39" s="82">
        <f t="shared" si="36"/>
        <v>26643.9</v>
      </c>
      <c r="R39" s="36">
        <f t="shared" si="36"/>
        <v>30333.333333333328</v>
      </c>
      <c r="S39" s="35">
        <f>SUM(S32:S38)</f>
        <v>68113.900000000009</v>
      </c>
      <c r="T39" s="36">
        <f t="shared" si="36"/>
        <v>60223.333333333343</v>
      </c>
      <c r="U39" s="35">
        <f t="shared" si="36"/>
        <v>281780.95</v>
      </c>
      <c r="V39" s="36">
        <f t="shared" si="36"/>
        <v>265556.66666666663</v>
      </c>
      <c r="W39" s="35">
        <f t="shared" si="36"/>
        <v>9760.7999999999993</v>
      </c>
      <c r="X39" s="36">
        <f t="shared" si="36"/>
        <v>19833.333333333332</v>
      </c>
      <c r="Y39" s="35">
        <f t="shared" si="36"/>
        <v>291541.75</v>
      </c>
      <c r="Z39" s="36">
        <f t="shared" si="36"/>
        <v>285390</v>
      </c>
      <c r="AA39" s="39" t="s">
        <v>11</v>
      </c>
      <c r="AB39" s="40">
        <f>SUM(AB32:AB38)/5</f>
        <v>34</v>
      </c>
      <c r="AC39" s="41" t="s">
        <v>7</v>
      </c>
      <c r="AD39" s="42"/>
    </row>
    <row r="40" spans="1:30" ht="19.149999999999999" customHeight="1" x14ac:dyDescent="0.25">
      <c r="A40" s="175" t="s">
        <v>16</v>
      </c>
      <c r="B40" s="127"/>
      <c r="C40" s="115">
        <f>SUM(C7+C15+C23+C31+C39)</f>
        <v>226260.68</v>
      </c>
      <c r="D40" s="116">
        <f t="shared" ref="D40:Z40" si="37">SUM(D7+D15+D23+D31+D39)</f>
        <v>120000</v>
      </c>
      <c r="E40" s="116">
        <f t="shared" si="37"/>
        <v>174785.85</v>
      </c>
      <c r="F40" s="116">
        <f t="shared" si="37"/>
        <v>399999.99999999994</v>
      </c>
      <c r="G40" s="115">
        <f t="shared" si="37"/>
        <v>15666.5</v>
      </c>
      <c r="H40" s="116">
        <f t="shared" si="37"/>
        <v>21999.999999999996</v>
      </c>
      <c r="I40" s="115">
        <f>SUM(I7+I15+I23+I31+I39)</f>
        <v>31104.5</v>
      </c>
      <c r="J40" s="304">
        <f>SUM(J7+J15+J23+J31+J39)</f>
        <v>27999.999999999996</v>
      </c>
      <c r="K40" s="115">
        <f t="shared" si="37"/>
        <v>267263.5</v>
      </c>
      <c r="L40" s="244">
        <f t="shared" si="37"/>
        <v>0</v>
      </c>
      <c r="M40" s="116">
        <f t="shared" si="37"/>
        <v>267263.5</v>
      </c>
      <c r="N40" s="116">
        <f t="shared" si="37"/>
        <v>180000</v>
      </c>
      <c r="O40" s="336">
        <f t="shared" si="37"/>
        <v>28109.599999999999</v>
      </c>
      <c r="P40" s="244">
        <f>SUM(P7+P15+P23+P31+P39)</f>
        <v>105694.8</v>
      </c>
      <c r="Q40" s="244">
        <f>O40+P40</f>
        <v>133804.4</v>
      </c>
      <c r="R40" s="304">
        <f t="shared" si="37"/>
        <v>129999.99999999997</v>
      </c>
      <c r="S40" s="115">
        <f>SUM(S7+S15+S23+S31+S39)</f>
        <v>258532.43</v>
      </c>
      <c r="T40" s="116">
        <f t="shared" si="37"/>
        <v>258100.00000000006</v>
      </c>
      <c r="U40" s="115">
        <f>SUM(U7+U15+U23+U31+U39)</f>
        <v>1107417.8599999999</v>
      </c>
      <c r="V40" s="116">
        <f t="shared" si="37"/>
        <v>1138099.9999999998</v>
      </c>
      <c r="W40" s="115">
        <f t="shared" si="37"/>
        <v>22939.59</v>
      </c>
      <c r="X40" s="116">
        <f t="shared" si="37"/>
        <v>84999.999999999985</v>
      </c>
      <c r="Y40" s="115">
        <f>SUM(Y7+Y15+Y23+Y31+Y39)</f>
        <v>1130357.45</v>
      </c>
      <c r="Z40" s="116">
        <f t="shared" si="37"/>
        <v>1223100</v>
      </c>
      <c r="AA40" s="126" t="s">
        <v>16</v>
      </c>
      <c r="AB40" s="101"/>
      <c r="AC40" s="102"/>
      <c r="AD40" s="103"/>
    </row>
    <row r="41" spans="1:30" ht="19.5" customHeight="1" thickBot="1" x14ac:dyDescent="0.3">
      <c r="A41" s="177" t="s">
        <v>28</v>
      </c>
      <c r="B41" s="178"/>
      <c r="C41" s="65">
        <f t="shared" ref="C41:Z41" si="38">C40/30</f>
        <v>7542.0226666666667</v>
      </c>
      <c r="D41" s="66">
        <f t="shared" si="38"/>
        <v>4000</v>
      </c>
      <c r="E41" s="65">
        <f t="shared" si="38"/>
        <v>5826.1950000000006</v>
      </c>
      <c r="F41" s="66">
        <f t="shared" si="38"/>
        <v>13333.333333333332</v>
      </c>
      <c r="G41" s="65">
        <f t="shared" si="38"/>
        <v>522.2166666666667</v>
      </c>
      <c r="H41" s="66">
        <f t="shared" si="38"/>
        <v>733.33333333333326</v>
      </c>
      <c r="I41" s="65">
        <f>I40/30</f>
        <v>1036.8166666666666</v>
      </c>
      <c r="J41" s="66">
        <f>J40/30</f>
        <v>933.33333333333326</v>
      </c>
      <c r="K41" s="65">
        <f t="shared" si="38"/>
        <v>8908.7833333333328</v>
      </c>
      <c r="L41" s="245">
        <f t="shared" si="38"/>
        <v>0</v>
      </c>
      <c r="M41" s="240">
        <f t="shared" si="38"/>
        <v>8908.7833333333328</v>
      </c>
      <c r="N41" s="66">
        <f t="shared" si="38"/>
        <v>6000</v>
      </c>
      <c r="O41" s="65">
        <f t="shared" si="38"/>
        <v>936.98666666666657</v>
      </c>
      <c r="P41" s="240">
        <f t="shared" si="38"/>
        <v>3523.1600000000003</v>
      </c>
      <c r="Q41" s="245">
        <f t="shared" si="38"/>
        <v>4460.1466666666665</v>
      </c>
      <c r="R41" s="66">
        <f t="shared" si="38"/>
        <v>4333.3333333333321</v>
      </c>
      <c r="S41" s="65">
        <f t="shared" si="38"/>
        <v>8617.7476666666662</v>
      </c>
      <c r="T41" s="66">
        <f t="shared" si="38"/>
        <v>8603.3333333333358</v>
      </c>
      <c r="U41" s="65">
        <f t="shared" si="38"/>
        <v>36913.928666666659</v>
      </c>
      <c r="V41" s="66">
        <f t="shared" si="38"/>
        <v>37936.666666666657</v>
      </c>
      <c r="W41" s="65">
        <f t="shared" si="38"/>
        <v>764.65300000000002</v>
      </c>
      <c r="X41" s="66">
        <f t="shared" si="38"/>
        <v>2833.333333333333</v>
      </c>
      <c r="Y41" s="65">
        <f t="shared" si="38"/>
        <v>37678.581666666665</v>
      </c>
      <c r="Z41" s="66">
        <f t="shared" si="38"/>
        <v>40770</v>
      </c>
      <c r="AA41" s="69" t="s">
        <v>17</v>
      </c>
      <c r="AB41" s="98"/>
      <c r="AC41" s="99"/>
      <c r="AD41" s="100"/>
    </row>
    <row r="42" spans="1:30" ht="20.100000000000001" customHeight="1" x14ac:dyDescent="0.25">
      <c r="A42" s="72" t="s">
        <v>18</v>
      </c>
      <c r="B42" s="73"/>
      <c r="C42" s="74">
        <f>SUM(C40-D40)</f>
        <v>106260.68</v>
      </c>
      <c r="D42" s="75"/>
      <c r="E42" s="74">
        <f>SUM(E40-F40)</f>
        <v>-225214.14999999994</v>
      </c>
      <c r="F42" s="75"/>
      <c r="G42" s="74">
        <f>SUM(G40-H40)</f>
        <v>-6333.4999999999964</v>
      </c>
      <c r="H42" s="75"/>
      <c r="I42" s="74">
        <f>SUM(I40-J40)</f>
        <v>3104.5000000000036</v>
      </c>
      <c r="J42" s="75"/>
      <c r="K42" s="74"/>
      <c r="L42" s="246"/>
      <c r="M42" s="241">
        <f>SUM(M40-N40)</f>
        <v>87263.5</v>
      </c>
      <c r="N42" s="75"/>
      <c r="O42" s="74"/>
      <c r="P42" s="241"/>
      <c r="Q42" s="246">
        <f>SUM(Q40-R40)</f>
        <v>3804.4000000000233</v>
      </c>
      <c r="R42" s="75"/>
      <c r="S42" s="74">
        <f>SUM(S40-T40)</f>
        <v>432.42999999993481</v>
      </c>
      <c r="T42" s="75"/>
      <c r="U42" s="96">
        <f>SUM(U40-V40)</f>
        <v>-30682.139999999898</v>
      </c>
      <c r="V42" s="75"/>
      <c r="W42" s="74">
        <f>SUM(W40-X40)</f>
        <v>-62060.409999999989</v>
      </c>
      <c r="X42" s="75"/>
      <c r="Y42" s="111">
        <f>SUM(Y40-Z40)</f>
        <v>-92742.550000000047</v>
      </c>
      <c r="Z42" s="112"/>
      <c r="AC42" s="2"/>
      <c r="AD42" s="2"/>
    </row>
    <row r="43" spans="1:30" ht="20.100000000000001" customHeight="1" thickBot="1" x14ac:dyDescent="0.3">
      <c r="A43" s="76" t="s">
        <v>19</v>
      </c>
      <c r="B43" s="77"/>
      <c r="C43" s="95">
        <f>SUM(100/D40*C40)</f>
        <v>188.55056666666667</v>
      </c>
      <c r="D43" s="78"/>
      <c r="E43" s="95">
        <f>SUM(100/F40*E40)</f>
        <v>43.69646250000001</v>
      </c>
      <c r="F43" s="78"/>
      <c r="G43" s="95">
        <f>SUM(100/H40*G40)</f>
        <v>71.211363636363643</v>
      </c>
      <c r="H43" s="78"/>
      <c r="I43" s="95">
        <f>SUM(100/J40*I40)</f>
        <v>111.08750000000001</v>
      </c>
      <c r="J43" s="78"/>
      <c r="K43" s="95"/>
      <c r="L43" s="247"/>
      <c r="M43" s="242">
        <f>SUM(100/N40*M40)</f>
        <v>148.47972222222222</v>
      </c>
      <c r="N43" s="78"/>
      <c r="O43" s="95"/>
      <c r="P43" s="242"/>
      <c r="Q43" s="247">
        <f>SUM(100/R40*Q40)</f>
        <v>102.92646153846157</v>
      </c>
      <c r="R43" s="78"/>
      <c r="S43" s="95">
        <f>SUM(100/T40*S40)</f>
        <v>100.16754358775665</v>
      </c>
      <c r="T43" s="78"/>
      <c r="U43" s="97">
        <f>SUM(100/V40*U40)</f>
        <v>97.304091028907834</v>
      </c>
      <c r="V43" s="78"/>
      <c r="W43" s="95">
        <f>SUM(100/X40*W40)</f>
        <v>26.987752941176474</v>
      </c>
      <c r="X43" s="78"/>
      <c r="Y43" s="113">
        <f>SUM(100/Z40*Y40)</f>
        <v>92.417418853732315</v>
      </c>
      <c r="Z43" s="114"/>
      <c r="AC43" s="2"/>
      <c r="AD43" s="2"/>
    </row>
    <row r="44" spans="1:30" x14ac:dyDescent="0.25">
      <c r="C44" s="221"/>
    </row>
    <row r="45" spans="1:30" x14ac:dyDescent="0.25">
      <c r="C45" s="230"/>
      <c r="D45" s="230"/>
      <c r="E45" s="230"/>
      <c r="F45" s="230"/>
      <c r="G45" s="360"/>
      <c r="H45" s="360"/>
      <c r="I45" s="360"/>
      <c r="J45" s="36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</row>
    <row r="48" spans="1:30" x14ac:dyDescent="0.25">
      <c r="I48" s="343"/>
      <c r="O48" s="343"/>
      <c r="S48" s="343"/>
      <c r="W48" s="343"/>
    </row>
    <row r="49" spans="9:23" x14ac:dyDescent="0.25">
      <c r="I49" s="345"/>
      <c r="O49" s="344"/>
      <c r="S49" s="344"/>
      <c r="W49" s="343"/>
    </row>
  </sheetData>
  <customSheetViews>
    <customSheetView guid="{512075D7-6EE7-4EEF-842F-09AF15E6D8B5}" scale="70" showPageBreaks="1" fitToPage="1" printArea="1">
      <pane ySplit="4" topLeftCell="A17" activePane="bottomLeft" state="frozen"/>
      <selection pane="bottomLeft" activeCell="S52" sqref="S52"/>
      <pageMargins left="0.59055118110236227" right="0.59055118110236227" top="1.1811023622047245" bottom="0.59055118110236227" header="0.11811023622047245" footer="0.31496062992125984"/>
      <pageSetup paperSize="9" scale="36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>
      <pane ySplit="4" topLeftCell="A17" activePane="bottomLeft" state="frozen"/>
      <selection pane="bottomLeft" activeCell="S52" sqref="S52"/>
      <pageMargins left="0.59055118110236227" right="0.59055118110236227" top="1.1811023622047245" bottom="0.59055118110236227" header="0.11811023622047245" footer="0.31496062992125984"/>
      <pageSetup paperSize="9" scale="35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98" showPageBreaks="1" fitToPage="1" printArea="1">
      <pane ySplit="4" topLeftCell="A23" activePane="bottomLeft" state="frozen"/>
      <selection pane="bottomLeft" activeCell="X38" sqref="X38"/>
      <pageMargins left="0.59055118110236227" right="0.59055118110236227" top="1.1811023622047245" bottom="0.59055118110236227" header="0.11811023622047245" footer="0.31496062992125984"/>
      <pageSetup paperSize="9" scale="35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70" showPageBreaks="1" fitToPage="1" printArea="1" topLeftCell="G1">
      <pane ySplit="4" topLeftCell="A14" activePane="bottomLeft" state="frozen"/>
      <selection pane="bottomLeft" activeCell="AA38" sqref="AA38"/>
      <pageMargins left="0.59055118110236227" right="0.59055118110236227" top="1.1811023622047245" bottom="0.59055118110236227" header="0.11811023622047245" footer="0.31496062992125984"/>
      <pageSetup paperSize="9" scale="35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5" showPageBreaks="1" fitToPage="1" printArea="1">
      <pane ySplit="4" topLeftCell="A17" activePane="bottomLeft" state="frozen"/>
      <selection pane="bottomLeft" activeCell="P35" sqref="P35"/>
      <pageMargins left="0.59055118110236227" right="0.59055118110236227" top="1.1811023622047245" bottom="0.59055118110236227" header="0.11811023622047245" footer="0.31496062992125984"/>
      <pageSetup paperSize="9" scale="35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5" showPageBreaks="1" fitToPage="1" printArea="1">
      <pane ySplit="4" topLeftCell="A26" activePane="bottomLeft" state="frozen"/>
      <selection pane="bottomLeft" activeCell="P37" sqref="P37"/>
      <pageMargins left="0.59055118110236227" right="0.59055118110236227" top="1.1811023622047245" bottom="0.59055118110236227" header="0.11811023622047245" footer="0.31496062992125984"/>
      <pageSetup paperSize="9" scale="35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5" activePane="bottomLeft" state="frozen"/>
      <selection pane="bottomLeft" activeCell="Q23" sqref="Q23"/>
      <pageMargins left="0.59055118110236227" right="0.59055118110236227" top="1.1811023622047245" bottom="0.59055118110236227" header="0.11811023622047245" footer="0.31496062992125984"/>
      <pageSetup paperSize="9" scale="41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5" showPageBreaks="1" fitToPage="1" printArea="1">
      <pane ySplit="4" topLeftCell="A14" activePane="bottomLeft" state="frozen"/>
      <selection pane="bottomLeft" activeCell="L45" sqref="L45"/>
      <pageMargins left="0.59055118110236227" right="0.59055118110236227" top="1.1811023622047245" bottom="0.59055118110236227" header="0.11811023622047245" footer="0.31496062992125984"/>
      <pageSetup paperSize="9" scale="46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5" showPageBreaks="1" fitToPage="1" printArea="1">
      <pane ySplit="4" topLeftCell="A8" activePane="bottomLeft" state="frozen"/>
      <selection pane="bottomLeft" activeCell="N35" sqref="N35"/>
      <pageMargins left="0.59055118110236227" right="0.59055118110236227" top="1.1811023622047245" bottom="0.59055118110236227" header="0.11811023622047245" footer="0.31496062992125984"/>
      <pageSetup paperSize="9" scale="36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5" showPageBreaks="1" fitToPage="1" printArea="1">
      <pane ySplit="4" topLeftCell="A5" activePane="bottomLeft" state="frozen"/>
      <selection pane="bottomLeft" activeCell="F52" sqref="F52"/>
      <pageMargins left="0.59055118110236227" right="0.59055118110236227" top="1.1811023622047245" bottom="0.59055118110236227" header="0.11811023622047245" footer="0.31496062992125984"/>
      <pageSetup paperSize="9" scale="35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5" activePane="bottomLeft" state="frozen"/>
      <selection pane="bottomLeft" activeCell="P15" sqref="P15"/>
      <pageMargins left="0.59055118110236227" right="0.59055118110236227" top="1.1811023622047245" bottom="0.59055118110236227" header="0.11811023622047245" footer="0.31496062992125984"/>
      <pageSetup paperSize="9" scale="35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">
    <mergeCell ref="H1:K1"/>
  </mergeCells>
  <pageMargins left="0.59055118110236227" right="0.59055118110236227" top="1.1811023622047245" bottom="0.59055118110236227" header="0.11811023622047245" footer="0.31496062992125984"/>
  <pageSetup paperSize="9" scale="36" orientation="landscape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I50"/>
  <sheetViews>
    <sheetView topLeftCell="I1" zoomScale="70" zoomScaleNormal="80" workbookViewId="0">
      <pane ySplit="4" topLeftCell="A11" activePane="bottomLeft" state="frozen"/>
      <selection activeCell="I1" sqref="I1"/>
      <selection pane="bottomLeft" activeCell="AF43" sqref="AF43"/>
    </sheetView>
  </sheetViews>
  <sheetFormatPr baseColWidth="10" defaultColWidth="11.42578125" defaultRowHeight="15" x14ac:dyDescent="0.25"/>
  <cols>
    <col min="1" max="1" width="9.140625" style="4" customWidth="1"/>
    <col min="2" max="2" width="11.5703125" style="2" customWidth="1"/>
    <col min="3" max="4" width="14.28515625" style="2" bestFit="1" customWidth="1"/>
    <col min="5" max="5" width="14.5703125" style="2" bestFit="1" customWidth="1"/>
    <col min="6" max="6" width="14.85546875" style="2" bestFit="1" customWidth="1"/>
    <col min="7" max="7" width="12.85546875" style="6" bestFit="1" customWidth="1"/>
    <col min="8" max="8" width="13.140625" style="6" bestFit="1" customWidth="1"/>
    <col min="9" max="9" width="12.85546875" style="6" bestFit="1" customWidth="1"/>
    <col min="10" max="10" width="13.140625" style="6" bestFit="1" customWidth="1"/>
    <col min="11" max="11" width="14.28515625" style="2" bestFit="1" customWidth="1"/>
    <col min="12" max="13" width="14.28515625" style="2" customWidth="1"/>
    <col min="14" max="14" width="14.28515625" style="2" bestFit="1" customWidth="1"/>
    <col min="15" max="15" width="11.7109375" style="2" customWidth="1"/>
    <col min="16" max="16" width="12.85546875" style="2" bestFit="1" customWidth="1"/>
    <col min="17" max="17" width="15" style="2" bestFit="1" customWidth="1"/>
    <col min="18" max="18" width="13.140625" style="2" bestFit="1" customWidth="1"/>
    <col min="19" max="19" width="14.28515625" style="2" bestFit="1" customWidth="1"/>
    <col min="20" max="20" width="14.5703125" style="2" bestFit="1" customWidth="1"/>
    <col min="21" max="21" width="17.42578125" style="2" bestFit="1" customWidth="1"/>
    <col min="22" max="22" width="16.28515625" style="2" bestFit="1" customWidth="1"/>
    <col min="23" max="24" width="13.140625" style="2" bestFit="1" customWidth="1"/>
    <col min="25" max="25" width="17.42578125" style="2" bestFit="1" customWidth="1"/>
    <col min="26" max="26" width="16.28515625" style="2" bestFit="1" customWidth="1"/>
    <col min="27" max="27" width="34" style="2" bestFit="1" customWidth="1"/>
    <col min="28" max="28" width="7.7109375" style="2" bestFit="1" customWidth="1"/>
    <col min="29" max="29" width="5.140625" style="4" customWidth="1"/>
    <col min="30" max="30" width="20.7109375" style="4" customWidth="1"/>
    <col min="31" max="31" width="11.42578125" style="2"/>
    <col min="32" max="32" width="34.85546875" style="2" bestFit="1" customWidth="1"/>
    <col min="33" max="16384" width="11.42578125" style="2"/>
  </cols>
  <sheetData>
    <row r="1" spans="1:35" ht="34.15" customHeight="1" x14ac:dyDescent="0.25">
      <c r="A1" s="104" t="s">
        <v>55</v>
      </c>
      <c r="G1" s="2"/>
      <c r="H1" s="521">
        <v>45474</v>
      </c>
      <c r="I1" s="521"/>
      <c r="J1" s="521"/>
      <c r="K1" s="521"/>
      <c r="L1" s="435"/>
      <c r="M1" s="435"/>
    </row>
    <row r="2" spans="1:35" ht="21" thickBot="1" x14ac:dyDescent="0.3">
      <c r="A2" s="105"/>
    </row>
    <row r="3" spans="1:35" s="8" customFormat="1" ht="36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3" t="s">
        <v>53</v>
      </c>
      <c r="J3" s="514"/>
      <c r="K3" s="513" t="s">
        <v>25</v>
      </c>
      <c r="L3" s="515"/>
      <c r="M3" s="515"/>
      <c r="N3" s="514"/>
      <c r="O3" s="513" t="s">
        <v>30</v>
      </c>
      <c r="P3" s="526"/>
      <c r="Q3" s="526"/>
      <c r="R3" s="527"/>
      <c r="S3" s="513" t="s">
        <v>2</v>
      </c>
      <c r="T3" s="514"/>
      <c r="U3" s="528" t="s">
        <v>71</v>
      </c>
      <c r="V3" s="529"/>
      <c r="W3" s="513" t="s">
        <v>26</v>
      </c>
      <c r="X3" s="514"/>
      <c r="Y3" s="524" t="s">
        <v>27</v>
      </c>
      <c r="Z3" s="525"/>
      <c r="AA3" s="513" t="s">
        <v>0</v>
      </c>
      <c r="AB3" s="515"/>
      <c r="AC3" s="515"/>
      <c r="AD3" s="514"/>
      <c r="AF3" s="496"/>
      <c r="AG3" s="496"/>
      <c r="AH3" s="496"/>
      <c r="AI3" s="496"/>
    </row>
    <row r="4" spans="1:35" s="4" customFormat="1" ht="18.600000000000001" customHeight="1" x14ac:dyDescent="0.25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43" t="s">
        <v>69</v>
      </c>
      <c r="M4" s="243" t="s">
        <v>70</v>
      </c>
      <c r="N4" s="256" t="s">
        <v>21</v>
      </c>
      <c r="O4" s="11" t="s">
        <v>68</v>
      </c>
      <c r="P4" s="237" t="s">
        <v>69</v>
      </c>
      <c r="Q4" s="243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19" t="s">
        <v>4</v>
      </c>
      <c r="AC4" s="520"/>
      <c r="AD4" s="14" t="s">
        <v>5</v>
      </c>
      <c r="AF4" s="393"/>
      <c r="AG4" s="393"/>
      <c r="AH4" s="393"/>
      <c r="AI4" s="393"/>
    </row>
    <row r="5" spans="1:35" ht="18.600000000000001" customHeight="1" x14ac:dyDescent="0.25">
      <c r="A5" s="44">
        <v>1</v>
      </c>
      <c r="B5" s="15" t="s">
        <v>12</v>
      </c>
      <c r="C5" s="49">
        <v>9383.1</v>
      </c>
      <c r="D5" s="17">
        <v>4838.7096769999998</v>
      </c>
      <c r="E5" s="49">
        <v>2211</v>
      </c>
      <c r="F5" s="18">
        <v>12903.2258</v>
      </c>
      <c r="G5" s="19">
        <v>707.5</v>
      </c>
      <c r="H5" s="18">
        <v>806.45160999999996</v>
      </c>
      <c r="I5" s="19">
        <v>0</v>
      </c>
      <c r="J5" s="17">
        <v>1290.32258</v>
      </c>
      <c r="K5" s="16">
        <v>6676.3</v>
      </c>
      <c r="L5" s="19"/>
      <c r="M5" s="19">
        <f>K5+L5</f>
        <v>6676.3</v>
      </c>
      <c r="N5" s="18">
        <v>5161.2903219999998</v>
      </c>
      <c r="O5" s="16">
        <v>328.3</v>
      </c>
      <c r="P5" s="238">
        <v>2640</v>
      </c>
      <c r="Q5" s="19">
        <f>O5+P5</f>
        <v>2968.3</v>
      </c>
      <c r="R5" s="17">
        <v>1290.32258</v>
      </c>
      <c r="S5" s="16">
        <v>7776.3</v>
      </c>
      <c r="T5" s="17">
        <v>8448.3870967741932</v>
      </c>
      <c r="U5" s="91">
        <f>SUM(C5+E5+G5+I5+K5+Q5+S5)</f>
        <v>29722.5</v>
      </c>
      <c r="V5" s="89">
        <f>SUM(D5+F5+H5+J5+N5+R5+T5)</f>
        <v>34738.709665774193</v>
      </c>
      <c r="W5" s="16">
        <v>0</v>
      </c>
      <c r="X5" s="17">
        <v>2741.9354837999999</v>
      </c>
      <c r="Y5" s="109">
        <f>SUM(U5+W5)</f>
        <v>29722.5</v>
      </c>
      <c r="Z5" s="110">
        <f t="shared" ref="Z5" si="0">SUM(V5+X5)</f>
        <v>37480.645149574193</v>
      </c>
      <c r="AA5" s="45" t="s">
        <v>173</v>
      </c>
      <c r="AB5" s="46">
        <v>20</v>
      </c>
      <c r="AC5" s="21" t="s">
        <v>7</v>
      </c>
      <c r="AD5" s="22"/>
      <c r="AF5" s="359"/>
      <c r="AG5" s="230"/>
      <c r="AH5" s="230"/>
      <c r="AI5" s="230"/>
    </row>
    <row r="6" spans="1:35" ht="18.600000000000001" customHeight="1" x14ac:dyDescent="0.25">
      <c r="A6" s="47">
        <f t="shared" ref="A6:A11" si="1">SUM(A5+1)</f>
        <v>2</v>
      </c>
      <c r="B6" s="15" t="s">
        <v>13</v>
      </c>
      <c r="C6" s="16">
        <v>11235.7</v>
      </c>
      <c r="D6" s="17">
        <v>4838.7096769999998</v>
      </c>
      <c r="E6" s="16">
        <v>1772.7</v>
      </c>
      <c r="F6" s="18">
        <v>12903.2258</v>
      </c>
      <c r="G6" s="19">
        <v>437.4</v>
      </c>
      <c r="H6" s="18">
        <v>806.45160999999996</v>
      </c>
      <c r="I6" s="19">
        <v>0</v>
      </c>
      <c r="J6" s="17">
        <v>1290.32258</v>
      </c>
      <c r="K6" s="16">
        <v>5179.3</v>
      </c>
      <c r="L6" s="19"/>
      <c r="M6" s="19">
        <f t="shared" ref="M6:M11" si="2">K6+L6</f>
        <v>5179.3</v>
      </c>
      <c r="N6" s="18">
        <v>5161.2903219999998</v>
      </c>
      <c r="O6" s="16">
        <v>832.8</v>
      </c>
      <c r="P6" s="238">
        <v>2407</v>
      </c>
      <c r="Q6" s="19">
        <f t="shared" ref="Q6:Q11" si="3">O6+P6</f>
        <v>3239.8</v>
      </c>
      <c r="R6" s="17">
        <v>1290.32258</v>
      </c>
      <c r="S6" s="16">
        <v>7704.5</v>
      </c>
      <c r="T6" s="17">
        <v>8448.3870967741932</v>
      </c>
      <c r="U6" s="91">
        <f t="shared" ref="U6:U11" si="4">SUM(C6+E6+G6+I6+K6+Q6+S6)</f>
        <v>29569.4</v>
      </c>
      <c r="V6" s="89">
        <f t="shared" ref="V6:V35" si="5">SUM(D6+F6+H6+J6+N6+R6+T6)</f>
        <v>34738.709665774193</v>
      </c>
      <c r="W6" s="16">
        <v>0</v>
      </c>
      <c r="X6" s="17">
        <v>2741.9354837999999</v>
      </c>
      <c r="Y6" s="109">
        <f t="shared" ref="Y6:Z11" si="6">SUM(U6+W6)</f>
        <v>29569.4</v>
      </c>
      <c r="Z6" s="110">
        <f t="shared" si="6"/>
        <v>37480.645149574193</v>
      </c>
      <c r="AA6" s="45" t="s">
        <v>172</v>
      </c>
      <c r="AB6" s="46">
        <v>19</v>
      </c>
      <c r="AC6" s="21" t="s">
        <v>7</v>
      </c>
      <c r="AD6" s="22"/>
      <c r="AF6" s="359"/>
      <c r="AG6" s="230"/>
      <c r="AH6" s="230"/>
      <c r="AI6" s="230"/>
    </row>
    <row r="7" spans="1:35" ht="18.600000000000001" customHeight="1" x14ac:dyDescent="0.25">
      <c r="A7" s="47">
        <f t="shared" si="1"/>
        <v>3</v>
      </c>
      <c r="B7" s="15" t="s">
        <v>14</v>
      </c>
      <c r="C7" s="16">
        <v>12751.8</v>
      </c>
      <c r="D7" s="17">
        <v>4838.7096769999998</v>
      </c>
      <c r="E7" s="16">
        <v>743.9</v>
      </c>
      <c r="F7" s="18">
        <v>12903.2258</v>
      </c>
      <c r="G7" s="19">
        <v>201.1</v>
      </c>
      <c r="H7" s="18">
        <v>806.45160999999996</v>
      </c>
      <c r="I7" s="19">
        <v>0</v>
      </c>
      <c r="J7" s="17">
        <v>1290.32258</v>
      </c>
      <c r="K7" s="16">
        <v>0</v>
      </c>
      <c r="L7" s="19"/>
      <c r="M7" s="19">
        <f t="shared" si="2"/>
        <v>0</v>
      </c>
      <c r="N7" s="18">
        <v>5161.2903219999998</v>
      </c>
      <c r="O7" s="16">
        <v>1372</v>
      </c>
      <c r="P7" s="238">
        <v>4991</v>
      </c>
      <c r="Q7" s="19">
        <f t="shared" si="3"/>
        <v>6363</v>
      </c>
      <c r="R7" s="17">
        <v>1290.32258</v>
      </c>
      <c r="S7" s="16">
        <v>8155.5</v>
      </c>
      <c r="T7" s="17">
        <v>8448.3870967741932</v>
      </c>
      <c r="U7" s="91">
        <f t="shared" si="4"/>
        <v>28215.3</v>
      </c>
      <c r="V7" s="89">
        <f t="shared" si="5"/>
        <v>34738.709665774193</v>
      </c>
      <c r="W7" s="16">
        <v>0</v>
      </c>
      <c r="X7" s="17">
        <v>2741.9354837999999</v>
      </c>
      <c r="Y7" s="109">
        <f t="shared" si="6"/>
        <v>28215.3</v>
      </c>
      <c r="Z7" s="110">
        <f t="shared" si="6"/>
        <v>37480.645149574193</v>
      </c>
      <c r="AA7" s="45" t="s">
        <v>174</v>
      </c>
      <c r="AB7" s="46">
        <v>15</v>
      </c>
      <c r="AC7" s="21" t="s">
        <v>7</v>
      </c>
      <c r="AD7" s="22"/>
      <c r="AF7" s="359"/>
      <c r="AG7" s="230"/>
      <c r="AH7" s="230"/>
      <c r="AI7" s="230"/>
    </row>
    <row r="8" spans="1:35" ht="18.600000000000001" customHeight="1" x14ac:dyDescent="0.25">
      <c r="A8" s="47">
        <f t="shared" si="1"/>
        <v>4</v>
      </c>
      <c r="B8" s="15" t="s">
        <v>15</v>
      </c>
      <c r="C8" s="16">
        <v>14048</v>
      </c>
      <c r="D8" s="17">
        <v>4838.7096769999998</v>
      </c>
      <c r="E8" s="16">
        <v>4916.6000000000004</v>
      </c>
      <c r="F8" s="18">
        <v>12903.2258</v>
      </c>
      <c r="G8" s="19">
        <v>738.1</v>
      </c>
      <c r="H8" s="18">
        <v>806.45160999999996</v>
      </c>
      <c r="I8" s="19">
        <v>0</v>
      </c>
      <c r="J8" s="17">
        <v>1290.32258</v>
      </c>
      <c r="K8" s="16">
        <v>8773.2000000000007</v>
      </c>
      <c r="L8" s="19"/>
      <c r="M8" s="19">
        <f t="shared" si="2"/>
        <v>8773.2000000000007</v>
      </c>
      <c r="N8" s="18">
        <v>5161.2903219999998</v>
      </c>
      <c r="O8" s="16">
        <v>2637.1</v>
      </c>
      <c r="P8" s="238">
        <v>2668</v>
      </c>
      <c r="Q8" s="19">
        <f t="shared" si="3"/>
        <v>5305.1</v>
      </c>
      <c r="R8" s="17">
        <v>1290.32258</v>
      </c>
      <c r="S8" s="16">
        <v>8251.6</v>
      </c>
      <c r="T8" s="17">
        <v>8448.3870967741932</v>
      </c>
      <c r="U8" s="91">
        <f t="shared" si="4"/>
        <v>42032.6</v>
      </c>
      <c r="V8" s="89">
        <f t="shared" si="5"/>
        <v>34738.709665774193</v>
      </c>
      <c r="W8" s="16">
        <v>127.3</v>
      </c>
      <c r="X8" s="17">
        <v>2741.9354837999999</v>
      </c>
      <c r="Y8" s="109">
        <f t="shared" si="6"/>
        <v>42159.9</v>
      </c>
      <c r="Z8" s="110">
        <f t="shared" si="6"/>
        <v>37480.645149574193</v>
      </c>
      <c r="AA8" s="45" t="s">
        <v>138</v>
      </c>
      <c r="AB8" s="46">
        <v>18</v>
      </c>
      <c r="AC8" s="21" t="s">
        <v>7</v>
      </c>
      <c r="AD8" s="22"/>
      <c r="AF8" s="359"/>
      <c r="AG8" s="230"/>
      <c r="AH8" s="230"/>
      <c r="AI8" s="230"/>
    </row>
    <row r="9" spans="1:35" ht="18.600000000000001" customHeight="1" x14ac:dyDescent="0.25">
      <c r="A9" s="47">
        <f t="shared" si="1"/>
        <v>5</v>
      </c>
      <c r="B9" s="15" t="s">
        <v>6</v>
      </c>
      <c r="C9" s="16">
        <v>2250.1</v>
      </c>
      <c r="D9" s="17">
        <v>4838.7096769999998</v>
      </c>
      <c r="E9" s="16">
        <v>19674.400000000001</v>
      </c>
      <c r="F9" s="18">
        <v>12903.2258</v>
      </c>
      <c r="G9" s="19">
        <v>852.7</v>
      </c>
      <c r="H9" s="18">
        <v>806.45160999999996</v>
      </c>
      <c r="I9" s="19">
        <v>4186</v>
      </c>
      <c r="J9" s="17">
        <v>1290.32258</v>
      </c>
      <c r="K9" s="16">
        <v>19243.599999999999</v>
      </c>
      <c r="L9" s="19"/>
      <c r="M9" s="19">
        <f t="shared" si="2"/>
        <v>19243.599999999999</v>
      </c>
      <c r="N9" s="18">
        <v>5161.2903219999998</v>
      </c>
      <c r="O9" s="16">
        <v>339</v>
      </c>
      <c r="P9" s="238">
        <v>1495</v>
      </c>
      <c r="Q9" s="19">
        <f t="shared" si="3"/>
        <v>1834</v>
      </c>
      <c r="R9" s="17">
        <v>1290.32258</v>
      </c>
      <c r="S9" s="16">
        <v>11600.1</v>
      </c>
      <c r="T9" s="17">
        <v>8448.3870967741932</v>
      </c>
      <c r="U9" s="91">
        <f t="shared" si="4"/>
        <v>59640.9</v>
      </c>
      <c r="V9" s="89">
        <f t="shared" si="5"/>
        <v>34738.709665774193</v>
      </c>
      <c r="W9" s="16">
        <v>2688.9</v>
      </c>
      <c r="X9" s="17">
        <v>2741.9354837999999</v>
      </c>
      <c r="Y9" s="109">
        <f t="shared" si="6"/>
        <v>62329.8</v>
      </c>
      <c r="Z9" s="110">
        <f t="shared" si="6"/>
        <v>37480.645149574193</v>
      </c>
      <c r="AA9" s="45" t="s">
        <v>58</v>
      </c>
      <c r="AB9" s="46">
        <v>24</v>
      </c>
      <c r="AC9" s="21" t="s">
        <v>7</v>
      </c>
      <c r="AD9" s="22"/>
      <c r="AF9" s="359"/>
      <c r="AG9" s="230"/>
      <c r="AH9" s="230"/>
      <c r="AI9" s="230"/>
    </row>
    <row r="10" spans="1:35" ht="18.600000000000001" customHeight="1" x14ac:dyDescent="0.25">
      <c r="A10" s="23">
        <f t="shared" si="1"/>
        <v>6</v>
      </c>
      <c r="B10" s="24" t="s">
        <v>8</v>
      </c>
      <c r="C10" s="25">
        <v>9116.9</v>
      </c>
      <c r="D10" s="26">
        <v>4838.7096769999998</v>
      </c>
      <c r="E10" s="25">
        <v>4192.5</v>
      </c>
      <c r="F10" s="27">
        <v>12903.2258</v>
      </c>
      <c r="G10" s="28">
        <v>504.2</v>
      </c>
      <c r="H10" s="27">
        <v>806.45160999999996</v>
      </c>
      <c r="I10" s="28">
        <v>3984.5</v>
      </c>
      <c r="J10" s="26">
        <v>1290.32258</v>
      </c>
      <c r="K10" s="25">
        <v>18426.3</v>
      </c>
      <c r="L10" s="28"/>
      <c r="M10" s="28">
        <f t="shared" si="2"/>
        <v>18426.3</v>
      </c>
      <c r="N10" s="27">
        <v>5161.2903219999998</v>
      </c>
      <c r="O10" s="25">
        <v>0</v>
      </c>
      <c r="P10" s="239">
        <v>0</v>
      </c>
      <c r="Q10" s="28">
        <f t="shared" si="3"/>
        <v>0</v>
      </c>
      <c r="R10" s="26">
        <v>1290.32258</v>
      </c>
      <c r="S10" s="25">
        <v>12856.3</v>
      </c>
      <c r="T10" s="26">
        <v>8448.3870967741932</v>
      </c>
      <c r="U10" s="183">
        <f t="shared" si="4"/>
        <v>49080.7</v>
      </c>
      <c r="V10" s="90">
        <f t="shared" si="5"/>
        <v>34738.709665774193</v>
      </c>
      <c r="W10" s="25">
        <v>299.39999999999998</v>
      </c>
      <c r="X10" s="26">
        <v>2741.9354837999999</v>
      </c>
      <c r="Y10" s="92">
        <f t="shared" si="6"/>
        <v>49380.1</v>
      </c>
      <c r="Z10" s="94">
        <f t="shared" si="6"/>
        <v>37480.645149574193</v>
      </c>
      <c r="AA10" s="29" t="s">
        <v>59</v>
      </c>
      <c r="AB10" s="30">
        <v>19</v>
      </c>
      <c r="AC10" s="31" t="s">
        <v>7</v>
      </c>
      <c r="AD10" s="32"/>
      <c r="AF10" s="359"/>
      <c r="AG10" s="230"/>
      <c r="AH10" s="230"/>
      <c r="AI10" s="230"/>
    </row>
    <row r="11" spans="1:35" s="43" customFormat="1" ht="18.600000000000001" customHeight="1" x14ac:dyDescent="0.25">
      <c r="A11" s="23">
        <f t="shared" si="1"/>
        <v>7</v>
      </c>
      <c r="B11" s="24" t="s">
        <v>9</v>
      </c>
      <c r="C11" s="25">
        <v>19953.8</v>
      </c>
      <c r="D11" s="26">
        <v>4838.7096769999998</v>
      </c>
      <c r="E11" s="25">
        <v>1239</v>
      </c>
      <c r="F11" s="27">
        <v>12903.2258</v>
      </c>
      <c r="G11" s="28">
        <v>294.5</v>
      </c>
      <c r="H11" s="27">
        <v>806.45160999999996</v>
      </c>
      <c r="I11" s="28">
        <v>0</v>
      </c>
      <c r="J11" s="26">
        <v>1290.32258</v>
      </c>
      <c r="K11" s="25">
        <v>7339</v>
      </c>
      <c r="L11" s="28"/>
      <c r="M11" s="28">
        <f t="shared" si="2"/>
        <v>7339</v>
      </c>
      <c r="N11" s="27">
        <v>5161.2903219999998</v>
      </c>
      <c r="O11" s="25">
        <v>0</v>
      </c>
      <c r="P11" s="239">
        <v>0</v>
      </c>
      <c r="Q11" s="28">
        <f t="shared" si="3"/>
        <v>0</v>
      </c>
      <c r="R11" s="26">
        <v>1290.32258</v>
      </c>
      <c r="S11" s="25">
        <v>7393.3</v>
      </c>
      <c r="T11" s="26">
        <v>8448.3870967741932</v>
      </c>
      <c r="U11" s="183">
        <f t="shared" si="4"/>
        <v>36219.599999999999</v>
      </c>
      <c r="V11" s="90">
        <f t="shared" si="5"/>
        <v>34738.709665774193</v>
      </c>
      <c r="W11" s="25">
        <v>0</v>
      </c>
      <c r="X11" s="26">
        <v>2741.9354837999999</v>
      </c>
      <c r="Y11" s="92">
        <f t="shared" si="6"/>
        <v>36219.599999999999</v>
      </c>
      <c r="Z11" s="94">
        <f t="shared" si="6"/>
        <v>37480.645149574193</v>
      </c>
      <c r="AA11" s="29" t="s">
        <v>175</v>
      </c>
      <c r="AB11" s="30">
        <v>19</v>
      </c>
      <c r="AC11" s="31" t="s">
        <v>7</v>
      </c>
      <c r="AD11" s="32"/>
      <c r="AF11" s="359"/>
      <c r="AG11" s="335"/>
      <c r="AH11" s="335"/>
      <c r="AI11" s="335"/>
    </row>
    <row r="12" spans="1:35" ht="18.600000000000001" customHeight="1" x14ac:dyDescent="0.25">
      <c r="A12" s="33" t="s">
        <v>10</v>
      </c>
      <c r="B12" s="34">
        <f>SUM(26+1)</f>
        <v>27</v>
      </c>
      <c r="C12" s="35">
        <f t="shared" ref="C12:Z12" si="7">SUM(C5:C11)</f>
        <v>78739.400000000009</v>
      </c>
      <c r="D12" s="36">
        <f t="shared" si="7"/>
        <v>33870.967739</v>
      </c>
      <c r="E12" s="35">
        <f t="shared" si="7"/>
        <v>34750.100000000006</v>
      </c>
      <c r="F12" s="37">
        <f t="shared" si="7"/>
        <v>90322.580600000001</v>
      </c>
      <c r="G12" s="38">
        <f t="shared" si="7"/>
        <v>3735.5</v>
      </c>
      <c r="H12" s="37">
        <f t="shared" si="7"/>
        <v>5645.1612699999996</v>
      </c>
      <c r="I12" s="38">
        <f>SUM(I5:I11)</f>
        <v>8170.5</v>
      </c>
      <c r="J12" s="37">
        <f>SUM(J5:J11)</f>
        <v>9032.2580600000001</v>
      </c>
      <c r="K12" s="35">
        <f t="shared" si="7"/>
        <v>65637.7</v>
      </c>
      <c r="L12" s="38">
        <f t="shared" si="7"/>
        <v>0</v>
      </c>
      <c r="M12" s="82">
        <f t="shared" si="7"/>
        <v>65637.7</v>
      </c>
      <c r="N12" s="37">
        <f t="shared" si="7"/>
        <v>36129.032253999998</v>
      </c>
      <c r="O12" s="35">
        <f>SUM(O5:O11)</f>
        <v>5509.2</v>
      </c>
      <c r="P12" s="82">
        <f>SUM(P5:P11)</f>
        <v>14201</v>
      </c>
      <c r="Q12" s="82">
        <f>SUM(Q5:Q11)</f>
        <v>19710.2</v>
      </c>
      <c r="R12" s="36">
        <f t="shared" ref="R12" si="8">SUM(R5:R11)</f>
        <v>9032.2580600000001</v>
      </c>
      <c r="S12" s="35">
        <f>SUM(S5:S11)</f>
        <v>63737.600000000006</v>
      </c>
      <c r="T12" s="36">
        <f t="shared" si="7"/>
        <v>59138.709677419363</v>
      </c>
      <c r="U12" s="35">
        <f t="shared" si="7"/>
        <v>274480.99999999994</v>
      </c>
      <c r="V12" s="36">
        <f t="shared" si="7"/>
        <v>243170.96766041935</v>
      </c>
      <c r="W12" s="35">
        <f t="shared" si="7"/>
        <v>3115.6000000000004</v>
      </c>
      <c r="X12" s="36">
        <f t="shared" si="7"/>
        <v>19193.5483866</v>
      </c>
      <c r="Y12" s="35">
        <f t="shared" si="7"/>
        <v>277596.60000000003</v>
      </c>
      <c r="Z12" s="36">
        <f t="shared" si="7"/>
        <v>262364.5160470194</v>
      </c>
      <c r="AA12" s="39" t="s">
        <v>11</v>
      </c>
      <c r="AB12" s="40">
        <f>SUM(AB5:AB11)/7</f>
        <v>19.142857142857142</v>
      </c>
      <c r="AC12" s="41" t="s">
        <v>7</v>
      </c>
      <c r="AD12" s="42"/>
      <c r="AF12" s="359"/>
      <c r="AG12" s="230"/>
      <c r="AH12" s="230"/>
      <c r="AI12" s="230"/>
    </row>
    <row r="13" spans="1:35" ht="18.600000000000001" customHeight="1" x14ac:dyDescent="0.25">
      <c r="A13" s="44">
        <f>SUM(A11+1)</f>
        <v>8</v>
      </c>
      <c r="B13" s="15" t="s">
        <v>12</v>
      </c>
      <c r="C13" s="16">
        <v>1598.1</v>
      </c>
      <c r="D13" s="17">
        <v>4838.7096769999998</v>
      </c>
      <c r="E13" s="16">
        <v>16253.2</v>
      </c>
      <c r="F13" s="18">
        <v>12903.2258</v>
      </c>
      <c r="G13" s="19">
        <v>1050.8</v>
      </c>
      <c r="H13" s="18">
        <v>806.45160999999996</v>
      </c>
      <c r="I13" s="19">
        <v>0</v>
      </c>
      <c r="J13" s="17">
        <v>1290.32258</v>
      </c>
      <c r="K13" s="16">
        <v>0</v>
      </c>
      <c r="L13" s="19"/>
      <c r="M13" s="19">
        <f t="shared" ref="M13:M19" si="9">K13+L13</f>
        <v>0</v>
      </c>
      <c r="N13" s="18">
        <v>5161.2903219999998</v>
      </c>
      <c r="O13" s="16">
        <v>0</v>
      </c>
      <c r="P13" s="238">
        <v>0</v>
      </c>
      <c r="Q13" s="19">
        <f t="shared" ref="Q13:Q19" si="10">O13+P13</f>
        <v>0</v>
      </c>
      <c r="R13" s="17">
        <v>1290.32258</v>
      </c>
      <c r="S13" s="16">
        <v>7711.6</v>
      </c>
      <c r="T13" s="17">
        <v>8448.3870967741932</v>
      </c>
      <c r="U13" s="91">
        <f>SUM(C13+E13+G13+I13+K13+Q13+S13)</f>
        <v>26613.699999999997</v>
      </c>
      <c r="V13" s="89">
        <f t="shared" si="5"/>
        <v>34738.709665774193</v>
      </c>
      <c r="W13" s="16">
        <v>3010.5</v>
      </c>
      <c r="X13" s="17">
        <v>2741.9354837999999</v>
      </c>
      <c r="Y13" s="109">
        <f t="shared" ref="Y13:Z19" si="11">SUM(U13+W13)</f>
        <v>29624.199999999997</v>
      </c>
      <c r="Z13" s="110">
        <f t="shared" si="11"/>
        <v>37480.645149574193</v>
      </c>
      <c r="AA13" s="50" t="s">
        <v>176</v>
      </c>
      <c r="AB13" s="51">
        <v>25</v>
      </c>
      <c r="AC13" s="21" t="s">
        <v>7</v>
      </c>
      <c r="AD13" s="22"/>
      <c r="AF13" s="359"/>
      <c r="AG13" s="230"/>
      <c r="AH13" s="230"/>
      <c r="AI13" s="230"/>
    </row>
    <row r="14" spans="1:35" ht="18.600000000000001" customHeight="1" x14ac:dyDescent="0.25">
      <c r="A14" s="47">
        <f t="shared" ref="A14:A19" si="12">SUM(A13+1)</f>
        <v>9</v>
      </c>
      <c r="B14" s="15" t="s">
        <v>13</v>
      </c>
      <c r="C14" s="16">
        <v>3361.7</v>
      </c>
      <c r="D14" s="17">
        <v>4838.7096769999998</v>
      </c>
      <c r="E14" s="16">
        <v>19674</v>
      </c>
      <c r="F14" s="18">
        <v>12903.2258</v>
      </c>
      <c r="G14" s="19">
        <v>918.5</v>
      </c>
      <c r="H14" s="18">
        <v>806.45160999999996</v>
      </c>
      <c r="I14" s="19">
        <v>0</v>
      </c>
      <c r="J14" s="17">
        <v>1290.32258</v>
      </c>
      <c r="K14" s="16">
        <v>0</v>
      </c>
      <c r="L14" s="19"/>
      <c r="M14" s="19">
        <f t="shared" si="9"/>
        <v>0</v>
      </c>
      <c r="N14" s="18">
        <v>5161.2903219999998</v>
      </c>
      <c r="O14" s="16">
        <v>738.6</v>
      </c>
      <c r="P14" s="238">
        <v>2481</v>
      </c>
      <c r="Q14" s="19">
        <f t="shared" si="10"/>
        <v>3219.6</v>
      </c>
      <c r="R14" s="17">
        <v>1290.32258</v>
      </c>
      <c r="S14" s="16">
        <v>8032.2</v>
      </c>
      <c r="T14" s="17">
        <v>8448.3870967741932</v>
      </c>
      <c r="U14" s="91">
        <f t="shared" ref="U14:U19" si="13">SUM(C14+E14+G14+I14+K14+Q14+S14)</f>
        <v>35206</v>
      </c>
      <c r="V14" s="89">
        <f t="shared" si="5"/>
        <v>34738.709665774193</v>
      </c>
      <c r="W14" s="16">
        <v>7917</v>
      </c>
      <c r="X14" s="17">
        <v>2741.9354837999999</v>
      </c>
      <c r="Y14" s="109">
        <f t="shared" si="11"/>
        <v>43123</v>
      </c>
      <c r="Z14" s="110">
        <f t="shared" si="11"/>
        <v>37480.645149574193</v>
      </c>
      <c r="AA14" s="45" t="s">
        <v>177</v>
      </c>
      <c r="AB14" s="46">
        <v>27</v>
      </c>
      <c r="AC14" s="21" t="s">
        <v>7</v>
      </c>
      <c r="AD14" s="22"/>
      <c r="AF14" s="359"/>
      <c r="AG14" s="230"/>
      <c r="AH14" s="230"/>
      <c r="AI14" s="230"/>
    </row>
    <row r="15" spans="1:35" ht="18.600000000000001" customHeight="1" x14ac:dyDescent="0.25">
      <c r="A15" s="47">
        <f t="shared" si="12"/>
        <v>10</v>
      </c>
      <c r="B15" s="15" t="s">
        <v>14</v>
      </c>
      <c r="C15" s="16">
        <v>3210.9</v>
      </c>
      <c r="D15" s="17">
        <v>4838.7096769999998</v>
      </c>
      <c r="E15" s="16">
        <v>12324.75</v>
      </c>
      <c r="F15" s="18">
        <v>12903.2258</v>
      </c>
      <c r="G15" s="19">
        <v>572.29999999999995</v>
      </c>
      <c r="H15" s="18">
        <v>806.45160999999996</v>
      </c>
      <c r="I15" s="19">
        <v>0</v>
      </c>
      <c r="J15" s="17">
        <v>1290.32258</v>
      </c>
      <c r="K15" s="16">
        <v>170.6</v>
      </c>
      <c r="L15" s="19"/>
      <c r="M15" s="19">
        <f t="shared" si="9"/>
        <v>170.6</v>
      </c>
      <c r="N15" s="18">
        <v>5161.2903219999998</v>
      </c>
      <c r="O15" s="16">
        <v>116.3</v>
      </c>
      <c r="P15" s="238">
        <v>1234</v>
      </c>
      <c r="Q15" s="19">
        <f t="shared" si="10"/>
        <v>1350.3</v>
      </c>
      <c r="R15" s="17">
        <v>1290.32258</v>
      </c>
      <c r="S15" s="16">
        <v>6265.25</v>
      </c>
      <c r="T15" s="17">
        <v>8448.3870967741932</v>
      </c>
      <c r="U15" s="91">
        <f t="shared" si="13"/>
        <v>23894.1</v>
      </c>
      <c r="V15" s="89">
        <f t="shared" si="5"/>
        <v>34738.709665774193</v>
      </c>
      <c r="W15" s="16">
        <v>686.8</v>
      </c>
      <c r="X15" s="17">
        <v>2741.9354837999999</v>
      </c>
      <c r="Y15" s="109">
        <f t="shared" si="11"/>
        <v>24580.899999999998</v>
      </c>
      <c r="Z15" s="110">
        <f t="shared" si="11"/>
        <v>37480.645149574193</v>
      </c>
      <c r="AA15" s="45" t="s">
        <v>57</v>
      </c>
      <c r="AB15" s="46">
        <v>25</v>
      </c>
      <c r="AC15" s="21" t="s">
        <v>7</v>
      </c>
      <c r="AD15" s="22"/>
      <c r="AF15" s="359"/>
      <c r="AG15" s="230"/>
      <c r="AH15" s="230"/>
      <c r="AI15" s="230"/>
    </row>
    <row r="16" spans="1:35" ht="18.600000000000001" customHeight="1" x14ac:dyDescent="0.25">
      <c r="A16" s="47">
        <f t="shared" si="12"/>
        <v>11</v>
      </c>
      <c r="B16" s="15" t="s">
        <v>15</v>
      </c>
      <c r="C16" s="16">
        <v>6962.6</v>
      </c>
      <c r="D16" s="17">
        <v>4838.7096769999998</v>
      </c>
      <c r="E16" s="16">
        <v>10957.2</v>
      </c>
      <c r="F16" s="18">
        <v>12903.2258</v>
      </c>
      <c r="G16" s="19">
        <v>677.2</v>
      </c>
      <c r="H16" s="18">
        <v>806.45160999999996</v>
      </c>
      <c r="I16" s="19">
        <v>0</v>
      </c>
      <c r="J16" s="17">
        <v>1290.32258</v>
      </c>
      <c r="K16" s="16">
        <v>180</v>
      </c>
      <c r="L16" s="19"/>
      <c r="M16" s="19">
        <f t="shared" si="9"/>
        <v>180</v>
      </c>
      <c r="N16" s="18">
        <v>5161.2903219999998</v>
      </c>
      <c r="O16" s="16">
        <v>185.3</v>
      </c>
      <c r="P16" s="238">
        <v>1970</v>
      </c>
      <c r="Q16" s="19">
        <f t="shared" si="10"/>
        <v>2155.3000000000002</v>
      </c>
      <c r="R16" s="17">
        <v>1290.32258</v>
      </c>
      <c r="S16" s="16">
        <v>8311.4</v>
      </c>
      <c r="T16" s="17">
        <v>8448.3870967741932</v>
      </c>
      <c r="U16" s="91">
        <f t="shared" si="13"/>
        <v>29243.700000000004</v>
      </c>
      <c r="V16" s="89">
        <f t="shared" si="5"/>
        <v>34738.709665774193</v>
      </c>
      <c r="W16" s="16">
        <v>1533.4</v>
      </c>
      <c r="X16" s="17">
        <v>2741.9354837999999</v>
      </c>
      <c r="Y16" s="109">
        <f t="shared" si="11"/>
        <v>30777.100000000006</v>
      </c>
      <c r="Z16" s="110">
        <f t="shared" si="11"/>
        <v>37480.645149574193</v>
      </c>
      <c r="AA16" s="45" t="s">
        <v>138</v>
      </c>
      <c r="AB16" s="46">
        <v>27</v>
      </c>
      <c r="AC16" s="21" t="s">
        <v>7</v>
      </c>
      <c r="AD16" s="22"/>
      <c r="AF16" s="359"/>
      <c r="AG16" s="230"/>
      <c r="AH16" s="230"/>
      <c r="AI16" s="230"/>
    </row>
    <row r="17" spans="1:35" ht="18.600000000000001" customHeight="1" x14ac:dyDescent="0.25">
      <c r="A17" s="47">
        <f t="shared" si="12"/>
        <v>12</v>
      </c>
      <c r="B17" s="52" t="s">
        <v>6</v>
      </c>
      <c r="C17" s="16">
        <v>14071.1</v>
      </c>
      <c r="D17" s="17">
        <v>4838.7096769999998</v>
      </c>
      <c r="E17" s="16">
        <v>2648.8</v>
      </c>
      <c r="F17" s="18">
        <v>12903.2258</v>
      </c>
      <c r="G17" s="19">
        <v>417.4</v>
      </c>
      <c r="H17" s="18">
        <v>806.45160999999996</v>
      </c>
      <c r="I17" s="19">
        <v>0</v>
      </c>
      <c r="J17" s="17">
        <v>1290.32258</v>
      </c>
      <c r="K17" s="16">
        <v>12702</v>
      </c>
      <c r="L17" s="19"/>
      <c r="M17" s="19">
        <f t="shared" si="9"/>
        <v>12702</v>
      </c>
      <c r="N17" s="18">
        <v>5161.2903219999998</v>
      </c>
      <c r="O17" s="16">
        <v>32.1</v>
      </c>
      <c r="P17" s="238">
        <v>922</v>
      </c>
      <c r="Q17" s="19">
        <f t="shared" si="10"/>
        <v>954.1</v>
      </c>
      <c r="R17" s="17">
        <v>1290.32258</v>
      </c>
      <c r="S17" s="16">
        <v>10873.65</v>
      </c>
      <c r="T17" s="17">
        <v>8448.3870967741932</v>
      </c>
      <c r="U17" s="91">
        <f t="shared" si="13"/>
        <v>41667.050000000003</v>
      </c>
      <c r="V17" s="89">
        <f t="shared" si="5"/>
        <v>34738.709665774193</v>
      </c>
      <c r="W17" s="16">
        <v>0</v>
      </c>
      <c r="X17" s="17">
        <v>2741.9354837999999</v>
      </c>
      <c r="Y17" s="109">
        <f t="shared" si="11"/>
        <v>41667.050000000003</v>
      </c>
      <c r="Z17" s="110">
        <f t="shared" si="11"/>
        <v>37480.645149574193</v>
      </c>
      <c r="AA17" s="45" t="s">
        <v>178</v>
      </c>
      <c r="AB17" s="46">
        <v>23</v>
      </c>
      <c r="AC17" s="21" t="s">
        <v>7</v>
      </c>
      <c r="AD17" s="22"/>
      <c r="AF17" s="359"/>
      <c r="AG17" s="230"/>
      <c r="AH17" s="230"/>
      <c r="AI17" s="230"/>
    </row>
    <row r="18" spans="1:35" ht="18.600000000000001" customHeight="1" x14ac:dyDescent="0.25">
      <c r="A18" s="23">
        <f t="shared" si="12"/>
        <v>13</v>
      </c>
      <c r="B18" s="24" t="s">
        <v>8</v>
      </c>
      <c r="C18" s="25">
        <v>10395.6</v>
      </c>
      <c r="D18" s="26">
        <v>4838.7096769999998</v>
      </c>
      <c r="E18" s="25">
        <v>8890.7999999999993</v>
      </c>
      <c r="F18" s="27">
        <v>12903.2258</v>
      </c>
      <c r="G18" s="28">
        <v>1660.7</v>
      </c>
      <c r="H18" s="27">
        <v>806.45160999999996</v>
      </c>
      <c r="I18" s="28">
        <v>0</v>
      </c>
      <c r="J18" s="26">
        <v>1290.32258</v>
      </c>
      <c r="K18" s="25">
        <v>13858.6</v>
      </c>
      <c r="L18" s="28"/>
      <c r="M18" s="28">
        <f t="shared" si="9"/>
        <v>13858.6</v>
      </c>
      <c r="N18" s="27">
        <v>5161.2903219999998</v>
      </c>
      <c r="O18" s="25">
        <v>0</v>
      </c>
      <c r="P18" s="239">
        <v>0</v>
      </c>
      <c r="Q18" s="28">
        <f t="shared" si="10"/>
        <v>0</v>
      </c>
      <c r="R18" s="26">
        <v>1290.32258</v>
      </c>
      <c r="S18" s="25">
        <v>11050.28</v>
      </c>
      <c r="T18" s="26">
        <v>8448.3870967741932</v>
      </c>
      <c r="U18" s="183">
        <f t="shared" si="13"/>
        <v>45855.98</v>
      </c>
      <c r="V18" s="90">
        <f t="shared" si="5"/>
        <v>34738.709665774193</v>
      </c>
      <c r="W18" s="25">
        <v>339.2</v>
      </c>
      <c r="X18" s="26">
        <v>2741.9354837999999</v>
      </c>
      <c r="Y18" s="92">
        <f t="shared" si="11"/>
        <v>46195.18</v>
      </c>
      <c r="Z18" s="94">
        <f t="shared" si="11"/>
        <v>37480.645149574193</v>
      </c>
      <c r="AA18" s="29" t="s">
        <v>57</v>
      </c>
      <c r="AB18" s="30">
        <v>21</v>
      </c>
      <c r="AC18" s="31" t="s">
        <v>7</v>
      </c>
      <c r="AD18" s="32"/>
      <c r="AF18" s="359"/>
      <c r="AG18" s="230"/>
      <c r="AH18" s="230"/>
      <c r="AI18" s="230"/>
    </row>
    <row r="19" spans="1:35" s="43" customFormat="1" ht="18.600000000000001" customHeight="1" x14ac:dyDescent="0.25">
      <c r="A19" s="23">
        <f t="shared" si="12"/>
        <v>14</v>
      </c>
      <c r="B19" s="24" t="s">
        <v>9</v>
      </c>
      <c r="C19" s="25">
        <v>833.1</v>
      </c>
      <c r="D19" s="26">
        <v>4838.7096769999998</v>
      </c>
      <c r="E19" s="25">
        <v>20252.599999999999</v>
      </c>
      <c r="F19" s="27">
        <v>12903.2258</v>
      </c>
      <c r="G19" s="28">
        <v>972.1</v>
      </c>
      <c r="H19" s="27">
        <v>806.45160999999996</v>
      </c>
      <c r="I19" s="28">
        <v>0</v>
      </c>
      <c r="J19" s="26">
        <v>1290.32258</v>
      </c>
      <c r="K19" s="25">
        <v>2342.1999999999998</v>
      </c>
      <c r="L19" s="28"/>
      <c r="M19" s="28">
        <f t="shared" si="9"/>
        <v>2342.1999999999998</v>
      </c>
      <c r="N19" s="27">
        <v>5161.2903219999998</v>
      </c>
      <c r="O19" s="25">
        <v>0</v>
      </c>
      <c r="P19" s="239">
        <v>0</v>
      </c>
      <c r="Q19" s="28">
        <f t="shared" si="10"/>
        <v>0</v>
      </c>
      <c r="R19" s="26">
        <v>1290.32258</v>
      </c>
      <c r="S19" s="25">
        <v>7802.38</v>
      </c>
      <c r="T19" s="26">
        <v>8448.3870967741932</v>
      </c>
      <c r="U19" s="183">
        <f t="shared" si="13"/>
        <v>32202.379999999997</v>
      </c>
      <c r="V19" s="90">
        <f t="shared" si="5"/>
        <v>34738.709665774193</v>
      </c>
      <c r="W19" s="25">
        <v>5295.1</v>
      </c>
      <c r="X19" s="26">
        <v>2741.9354837999999</v>
      </c>
      <c r="Y19" s="92">
        <f t="shared" si="11"/>
        <v>37497.479999999996</v>
      </c>
      <c r="Z19" s="94">
        <f t="shared" si="11"/>
        <v>37480.645149574193</v>
      </c>
      <c r="AA19" s="29" t="s">
        <v>138</v>
      </c>
      <c r="AB19" s="30">
        <v>25</v>
      </c>
      <c r="AC19" s="31" t="s">
        <v>7</v>
      </c>
      <c r="AD19" s="32"/>
      <c r="AF19" s="359"/>
      <c r="AG19" s="335"/>
      <c r="AH19" s="335"/>
      <c r="AI19" s="335"/>
    </row>
    <row r="20" spans="1:35" ht="18.600000000000001" customHeight="1" x14ac:dyDescent="0.25">
      <c r="A20" s="33" t="s">
        <v>10</v>
      </c>
      <c r="B20" s="34">
        <f>SUM(B12+1)</f>
        <v>28</v>
      </c>
      <c r="C20" s="35">
        <f t="shared" ref="C20:Z20" si="14">SUM(C13:C19)</f>
        <v>40433.1</v>
      </c>
      <c r="D20" s="36">
        <f t="shared" si="14"/>
        <v>33870.967739</v>
      </c>
      <c r="E20" s="35">
        <f t="shared" si="14"/>
        <v>91001.35</v>
      </c>
      <c r="F20" s="37">
        <f t="shared" si="14"/>
        <v>90322.580600000001</v>
      </c>
      <c r="G20" s="38">
        <f t="shared" si="14"/>
        <v>6269.0000000000009</v>
      </c>
      <c r="H20" s="37">
        <f t="shared" si="14"/>
        <v>5645.1612699999996</v>
      </c>
      <c r="I20" s="38">
        <f>SUM(I13:I19)</f>
        <v>0</v>
      </c>
      <c r="J20" s="37">
        <f>SUM(J13:J19)</f>
        <v>9032.2580600000001</v>
      </c>
      <c r="K20" s="35">
        <f t="shared" si="14"/>
        <v>29253.4</v>
      </c>
      <c r="L20" s="38">
        <f t="shared" si="14"/>
        <v>0</v>
      </c>
      <c r="M20" s="82">
        <f t="shared" si="14"/>
        <v>29253.4</v>
      </c>
      <c r="N20" s="37">
        <f t="shared" si="14"/>
        <v>36129.032253999998</v>
      </c>
      <c r="O20" s="35">
        <f>SUM(O13:O19)</f>
        <v>1072.3</v>
      </c>
      <c r="P20" s="82">
        <f>SUM(P13:P19)</f>
        <v>6607</v>
      </c>
      <c r="Q20" s="82">
        <f>SUM(Q13:Q19)</f>
        <v>7679.3</v>
      </c>
      <c r="R20" s="36">
        <f t="shared" ref="R20" si="15">SUM(R13:R19)</f>
        <v>9032.2580600000001</v>
      </c>
      <c r="S20" s="35">
        <f t="shared" si="14"/>
        <v>60046.759999999995</v>
      </c>
      <c r="T20" s="36">
        <f t="shared" si="14"/>
        <v>59138.709677419363</v>
      </c>
      <c r="U20" s="35">
        <f t="shared" si="14"/>
        <v>234682.91</v>
      </c>
      <c r="V20" s="36">
        <f t="shared" si="14"/>
        <v>243170.96766041935</v>
      </c>
      <c r="W20" s="35">
        <f t="shared" si="14"/>
        <v>18782</v>
      </c>
      <c r="X20" s="36">
        <f t="shared" si="14"/>
        <v>19193.5483866</v>
      </c>
      <c r="Y20" s="35">
        <f t="shared" si="14"/>
        <v>253464.90999999997</v>
      </c>
      <c r="Z20" s="36">
        <f t="shared" si="14"/>
        <v>262364.5160470194</v>
      </c>
      <c r="AA20" s="39" t="s">
        <v>11</v>
      </c>
      <c r="AB20" s="40">
        <f>SUM(AB13:AB19)/7</f>
        <v>24.714285714285715</v>
      </c>
      <c r="AC20" s="41" t="s">
        <v>7</v>
      </c>
      <c r="AD20" s="42"/>
      <c r="AF20" s="359"/>
      <c r="AG20" s="230"/>
      <c r="AH20" s="230"/>
      <c r="AI20" s="230"/>
    </row>
    <row r="21" spans="1:35" ht="18.600000000000001" customHeight="1" x14ac:dyDescent="0.25">
      <c r="A21" s="44">
        <f>SUM(A19+1)</f>
        <v>15</v>
      </c>
      <c r="B21" s="15" t="s">
        <v>12</v>
      </c>
      <c r="C21" s="16">
        <v>7696.8</v>
      </c>
      <c r="D21" s="17">
        <v>4838.7096769999998</v>
      </c>
      <c r="E21" s="16">
        <v>8752.15</v>
      </c>
      <c r="F21" s="18">
        <v>12903.2258</v>
      </c>
      <c r="G21" s="19">
        <v>672.2</v>
      </c>
      <c r="H21" s="18">
        <v>806.45160999999996</v>
      </c>
      <c r="I21" s="19">
        <v>0</v>
      </c>
      <c r="J21" s="17">
        <v>1290.32258</v>
      </c>
      <c r="K21" s="16">
        <v>0</v>
      </c>
      <c r="L21" s="19"/>
      <c r="M21" s="19">
        <f t="shared" ref="M21:M27" si="16">K21+L21</f>
        <v>0</v>
      </c>
      <c r="N21" s="18">
        <v>5161.2903219999998</v>
      </c>
      <c r="O21" s="16">
        <v>445.4</v>
      </c>
      <c r="P21" s="238">
        <v>535</v>
      </c>
      <c r="Q21" s="19">
        <f t="shared" ref="Q21:Q27" si="17">O21+P21</f>
        <v>980.4</v>
      </c>
      <c r="R21" s="17">
        <v>1290.32258</v>
      </c>
      <c r="S21" s="16">
        <v>6826.18</v>
      </c>
      <c r="T21" s="17">
        <v>8448.3870967741932</v>
      </c>
      <c r="U21" s="91">
        <f>SUM(C21+E21+G21+I21+K21+Q21+S21)</f>
        <v>24927.730000000003</v>
      </c>
      <c r="V21" s="89">
        <f t="shared" si="5"/>
        <v>34738.709665774193</v>
      </c>
      <c r="W21" s="16">
        <v>2472.9</v>
      </c>
      <c r="X21" s="17">
        <v>2741.9354837999999</v>
      </c>
      <c r="Y21" s="109">
        <f t="shared" ref="Y21:Z27" si="18">SUM(U21+W21)</f>
        <v>27400.630000000005</v>
      </c>
      <c r="Z21" s="110">
        <f t="shared" si="18"/>
        <v>37480.645149574193</v>
      </c>
      <c r="AA21" s="50" t="s">
        <v>179</v>
      </c>
      <c r="AB21" s="51">
        <v>24</v>
      </c>
      <c r="AC21" s="21" t="s">
        <v>7</v>
      </c>
      <c r="AD21" s="22"/>
      <c r="AF21" s="359"/>
      <c r="AG21" s="230"/>
      <c r="AH21" s="230"/>
      <c r="AI21" s="230"/>
    </row>
    <row r="22" spans="1:35" ht="18.600000000000001" customHeight="1" x14ac:dyDescent="0.25">
      <c r="A22" s="47">
        <f t="shared" ref="A22:A27" si="19">SUM(A21+1)</f>
        <v>16</v>
      </c>
      <c r="B22" s="15" t="s">
        <v>13</v>
      </c>
      <c r="C22" s="16">
        <v>2680.5</v>
      </c>
      <c r="D22" s="17">
        <v>4838.7096769999998</v>
      </c>
      <c r="E22" s="16">
        <v>14288.4</v>
      </c>
      <c r="F22" s="18">
        <v>12903.2258</v>
      </c>
      <c r="G22" s="19">
        <v>794.6</v>
      </c>
      <c r="H22" s="18">
        <v>806.45160999999996</v>
      </c>
      <c r="I22" s="19">
        <v>0</v>
      </c>
      <c r="J22" s="17">
        <v>1290.32258</v>
      </c>
      <c r="K22" s="16">
        <v>0</v>
      </c>
      <c r="L22" s="19"/>
      <c r="M22" s="19">
        <f t="shared" si="16"/>
        <v>0</v>
      </c>
      <c r="N22" s="18">
        <v>5161.2903219999998</v>
      </c>
      <c r="O22" s="16">
        <v>0</v>
      </c>
      <c r="P22" s="238">
        <v>777</v>
      </c>
      <c r="Q22" s="19">
        <f t="shared" si="17"/>
        <v>777</v>
      </c>
      <c r="R22" s="17">
        <v>1290.32258</v>
      </c>
      <c r="S22" s="16">
        <v>8543.26</v>
      </c>
      <c r="T22" s="17">
        <v>8448.3870967741932</v>
      </c>
      <c r="U22" s="91">
        <f t="shared" ref="U22:U27" si="20">SUM(C22+E22+G22+I22+K22+Q22+S22)</f>
        <v>27083.760000000002</v>
      </c>
      <c r="V22" s="89">
        <f t="shared" si="5"/>
        <v>34738.709665774193</v>
      </c>
      <c r="W22" s="16">
        <v>624.20000000000005</v>
      </c>
      <c r="X22" s="17">
        <v>2741.9354837999999</v>
      </c>
      <c r="Y22" s="109">
        <f t="shared" si="18"/>
        <v>27707.960000000003</v>
      </c>
      <c r="Z22" s="110">
        <f t="shared" si="18"/>
        <v>37480.645149574193</v>
      </c>
      <c r="AA22" s="50" t="s">
        <v>180</v>
      </c>
      <c r="AB22" s="46">
        <v>23</v>
      </c>
      <c r="AC22" s="21" t="s">
        <v>7</v>
      </c>
      <c r="AD22" s="22"/>
      <c r="AF22" s="359"/>
      <c r="AG22" s="230"/>
      <c r="AH22" s="230"/>
      <c r="AI22" s="230"/>
    </row>
    <row r="23" spans="1:35" ht="18.600000000000001" customHeight="1" x14ac:dyDescent="0.25">
      <c r="A23" s="47">
        <f t="shared" si="19"/>
        <v>17</v>
      </c>
      <c r="B23" s="15" t="s">
        <v>14</v>
      </c>
      <c r="C23" s="16">
        <v>2359.6999999999998</v>
      </c>
      <c r="D23" s="17">
        <v>4838.7096769999998</v>
      </c>
      <c r="E23" s="16">
        <v>20462.7</v>
      </c>
      <c r="F23" s="18">
        <v>12903.2258</v>
      </c>
      <c r="G23" s="19">
        <v>712.5</v>
      </c>
      <c r="H23" s="18">
        <v>806.45160999999996</v>
      </c>
      <c r="I23" s="19">
        <v>0</v>
      </c>
      <c r="J23" s="17">
        <v>1290.32258</v>
      </c>
      <c r="K23" s="16">
        <v>0</v>
      </c>
      <c r="L23" s="19"/>
      <c r="M23" s="19">
        <f t="shared" si="16"/>
        <v>0</v>
      </c>
      <c r="N23" s="18">
        <v>5161.2903219999998</v>
      </c>
      <c r="O23" s="16">
        <v>743</v>
      </c>
      <c r="P23" s="238">
        <v>2250</v>
      </c>
      <c r="Q23" s="19">
        <f t="shared" si="17"/>
        <v>2993</v>
      </c>
      <c r="R23" s="17">
        <v>1290.32258</v>
      </c>
      <c r="S23" s="16">
        <v>9579.6</v>
      </c>
      <c r="T23" s="17">
        <v>8448.3870967741932</v>
      </c>
      <c r="U23" s="91">
        <f t="shared" si="20"/>
        <v>36107.5</v>
      </c>
      <c r="V23" s="89">
        <f t="shared" si="5"/>
        <v>34738.709665774193</v>
      </c>
      <c r="W23" s="16">
        <v>1747.3</v>
      </c>
      <c r="X23" s="17">
        <v>2741.9354837999999</v>
      </c>
      <c r="Y23" s="109">
        <f t="shared" si="18"/>
        <v>37854.800000000003</v>
      </c>
      <c r="Z23" s="110">
        <f t="shared" si="18"/>
        <v>37480.645149574193</v>
      </c>
      <c r="AA23" s="50" t="s">
        <v>58</v>
      </c>
      <c r="AB23" s="46">
        <v>25</v>
      </c>
      <c r="AC23" s="21" t="s">
        <v>7</v>
      </c>
      <c r="AD23" s="22"/>
      <c r="AF23" s="359"/>
      <c r="AG23" s="230"/>
      <c r="AH23" s="230"/>
      <c r="AI23" s="230"/>
    </row>
    <row r="24" spans="1:35" ht="18.600000000000001" customHeight="1" x14ac:dyDescent="0.25">
      <c r="A24" s="47">
        <f t="shared" si="19"/>
        <v>18</v>
      </c>
      <c r="B24" s="15" t="s">
        <v>15</v>
      </c>
      <c r="C24" s="16">
        <v>3005.7</v>
      </c>
      <c r="D24" s="17">
        <v>4838.7096769999998</v>
      </c>
      <c r="E24" s="16">
        <v>20987.4</v>
      </c>
      <c r="F24" s="18">
        <v>12903.2258</v>
      </c>
      <c r="G24" s="19">
        <v>1167.0999999999999</v>
      </c>
      <c r="H24" s="18">
        <v>806.45160999999996</v>
      </c>
      <c r="I24" s="19">
        <v>0</v>
      </c>
      <c r="J24" s="17">
        <v>1290.32258</v>
      </c>
      <c r="K24" s="16">
        <v>0</v>
      </c>
      <c r="L24" s="19"/>
      <c r="M24" s="19">
        <f t="shared" si="16"/>
        <v>0</v>
      </c>
      <c r="N24" s="18">
        <v>5161.2903219999998</v>
      </c>
      <c r="O24" s="16">
        <v>0</v>
      </c>
      <c r="P24" s="238">
        <v>1307.5</v>
      </c>
      <c r="Q24" s="19">
        <f t="shared" si="17"/>
        <v>1307.5</v>
      </c>
      <c r="R24" s="17">
        <v>1290.32258</v>
      </c>
      <c r="S24" s="16">
        <v>6724.4</v>
      </c>
      <c r="T24" s="17">
        <v>8448.3870967741932</v>
      </c>
      <c r="U24" s="91">
        <f t="shared" si="20"/>
        <v>33192.1</v>
      </c>
      <c r="V24" s="89">
        <f t="shared" si="5"/>
        <v>34738.709665774193</v>
      </c>
      <c r="W24" s="16">
        <v>6360.1</v>
      </c>
      <c r="X24" s="17">
        <v>2741.9354837999999</v>
      </c>
      <c r="Y24" s="109">
        <f t="shared" si="18"/>
        <v>39552.199999999997</v>
      </c>
      <c r="Z24" s="110">
        <f t="shared" si="18"/>
        <v>37480.645149574193</v>
      </c>
      <c r="AA24" s="50" t="s">
        <v>58</v>
      </c>
      <c r="AB24" s="46">
        <v>30</v>
      </c>
      <c r="AC24" s="21" t="s">
        <v>7</v>
      </c>
      <c r="AD24" s="22"/>
      <c r="AF24" s="359"/>
      <c r="AG24" s="230"/>
      <c r="AH24" s="230"/>
      <c r="AI24" s="230"/>
    </row>
    <row r="25" spans="1:35" ht="18.600000000000001" customHeight="1" x14ac:dyDescent="0.25">
      <c r="A25" s="47">
        <f t="shared" si="19"/>
        <v>19</v>
      </c>
      <c r="B25" s="52" t="s">
        <v>6</v>
      </c>
      <c r="C25" s="16">
        <v>3990.3</v>
      </c>
      <c r="D25" s="17">
        <v>4838.7096769999998</v>
      </c>
      <c r="E25" s="16">
        <v>20866</v>
      </c>
      <c r="F25" s="18">
        <v>12903.2258</v>
      </c>
      <c r="G25" s="19">
        <v>1324.7</v>
      </c>
      <c r="H25" s="18">
        <v>806.45160999999996</v>
      </c>
      <c r="I25" s="19">
        <v>0</v>
      </c>
      <c r="J25" s="17">
        <v>1290.32258</v>
      </c>
      <c r="K25" s="16">
        <v>3433.1</v>
      </c>
      <c r="L25" s="19"/>
      <c r="M25" s="19">
        <f t="shared" si="16"/>
        <v>3433.1</v>
      </c>
      <c r="N25" s="18">
        <v>5161.2903219999998</v>
      </c>
      <c r="O25" s="16">
        <v>0</v>
      </c>
      <c r="P25" s="238">
        <v>0</v>
      </c>
      <c r="Q25" s="19">
        <f t="shared" si="17"/>
        <v>0</v>
      </c>
      <c r="R25" s="17">
        <v>1290.32258</v>
      </c>
      <c r="S25" s="16">
        <v>8066</v>
      </c>
      <c r="T25" s="17">
        <v>8448.3870967741932</v>
      </c>
      <c r="U25" s="91">
        <f t="shared" si="20"/>
        <v>37680.1</v>
      </c>
      <c r="V25" s="89">
        <f t="shared" si="5"/>
        <v>34738.709665774193</v>
      </c>
      <c r="W25" s="16">
        <v>9006.5</v>
      </c>
      <c r="X25" s="17">
        <v>2741.9354837999999</v>
      </c>
      <c r="Y25" s="109">
        <f t="shared" si="18"/>
        <v>46686.6</v>
      </c>
      <c r="Z25" s="110">
        <f t="shared" si="18"/>
        <v>37480.645149574193</v>
      </c>
      <c r="AA25" s="50" t="s">
        <v>58</v>
      </c>
      <c r="AB25" s="46">
        <v>31</v>
      </c>
      <c r="AC25" s="21" t="s">
        <v>7</v>
      </c>
      <c r="AD25" s="22"/>
      <c r="AF25" s="359"/>
      <c r="AG25" s="230"/>
      <c r="AH25" s="230"/>
      <c r="AI25" s="230"/>
    </row>
    <row r="26" spans="1:35" ht="18.600000000000001" customHeight="1" x14ac:dyDescent="0.25">
      <c r="A26" s="23">
        <f t="shared" si="19"/>
        <v>20</v>
      </c>
      <c r="B26" s="24" t="s">
        <v>8</v>
      </c>
      <c r="C26" s="25">
        <v>3134.5</v>
      </c>
      <c r="D26" s="26">
        <v>4838.7096769999998</v>
      </c>
      <c r="E26" s="25">
        <v>19492.3</v>
      </c>
      <c r="F26" s="27">
        <v>12903.2258</v>
      </c>
      <c r="G26" s="28">
        <v>1288.4000000000001</v>
      </c>
      <c r="H26" s="27">
        <v>806.45160999999996</v>
      </c>
      <c r="I26" s="28">
        <v>1356.5</v>
      </c>
      <c r="J26" s="26">
        <v>1290.32258</v>
      </c>
      <c r="K26" s="25">
        <v>17013.3</v>
      </c>
      <c r="L26" s="28"/>
      <c r="M26" s="28">
        <f t="shared" si="16"/>
        <v>17013.3</v>
      </c>
      <c r="N26" s="27">
        <v>5161.2903219999998</v>
      </c>
      <c r="O26" s="25">
        <v>0</v>
      </c>
      <c r="P26" s="239">
        <v>0</v>
      </c>
      <c r="Q26" s="28">
        <f t="shared" si="17"/>
        <v>0</v>
      </c>
      <c r="R26" s="26">
        <v>1290.32258</v>
      </c>
      <c r="S26" s="25">
        <v>13324</v>
      </c>
      <c r="T26" s="26">
        <v>8448.3870967741932</v>
      </c>
      <c r="U26" s="183">
        <f t="shared" si="20"/>
        <v>55609</v>
      </c>
      <c r="V26" s="90">
        <f t="shared" si="5"/>
        <v>34738.709665774193</v>
      </c>
      <c r="W26" s="25">
        <v>10448.5</v>
      </c>
      <c r="X26" s="26">
        <v>2741.9354837999999</v>
      </c>
      <c r="Y26" s="92">
        <f t="shared" si="18"/>
        <v>66057.5</v>
      </c>
      <c r="Z26" s="94">
        <f t="shared" si="18"/>
        <v>37480.645149574193</v>
      </c>
      <c r="AA26" s="29" t="s">
        <v>58</v>
      </c>
      <c r="AB26" s="30">
        <v>32</v>
      </c>
      <c r="AC26" s="31" t="s">
        <v>7</v>
      </c>
      <c r="AD26" s="32"/>
      <c r="AF26" s="359"/>
      <c r="AG26" s="230"/>
      <c r="AH26" s="230"/>
      <c r="AI26" s="230"/>
    </row>
    <row r="27" spans="1:35" ht="18.600000000000001" customHeight="1" x14ac:dyDescent="0.25">
      <c r="A27" s="23">
        <f t="shared" si="19"/>
        <v>21</v>
      </c>
      <c r="B27" s="53" t="s">
        <v>9</v>
      </c>
      <c r="C27" s="25">
        <v>5109.2</v>
      </c>
      <c r="D27" s="26">
        <v>4838.7096769999998</v>
      </c>
      <c r="E27" s="25">
        <v>13723.2</v>
      </c>
      <c r="F27" s="27">
        <v>12903.2258</v>
      </c>
      <c r="G27" s="28">
        <v>670.2</v>
      </c>
      <c r="H27" s="27">
        <v>806.45160999999996</v>
      </c>
      <c r="I27" s="28">
        <v>2352</v>
      </c>
      <c r="J27" s="26">
        <v>1290.32258</v>
      </c>
      <c r="K27" s="25">
        <v>2229.6</v>
      </c>
      <c r="L27" s="28"/>
      <c r="M27" s="28">
        <f t="shared" si="16"/>
        <v>2229.6</v>
      </c>
      <c r="N27" s="27">
        <v>5161.2903219999998</v>
      </c>
      <c r="O27" s="25">
        <v>159.5</v>
      </c>
      <c r="P27" s="239">
        <v>0</v>
      </c>
      <c r="Q27" s="28">
        <f t="shared" si="17"/>
        <v>159.5</v>
      </c>
      <c r="R27" s="26">
        <v>1290.32258</v>
      </c>
      <c r="S27" s="25">
        <v>5981.7</v>
      </c>
      <c r="T27" s="26">
        <v>8448.3870967741932</v>
      </c>
      <c r="U27" s="183">
        <f t="shared" si="20"/>
        <v>30225.4</v>
      </c>
      <c r="V27" s="90">
        <f t="shared" si="5"/>
        <v>34738.709665774193</v>
      </c>
      <c r="W27" s="25">
        <v>1410.5</v>
      </c>
      <c r="X27" s="26">
        <v>2741.9354837999999</v>
      </c>
      <c r="Y27" s="92">
        <f t="shared" si="18"/>
        <v>31635.9</v>
      </c>
      <c r="Z27" s="94">
        <f t="shared" si="18"/>
        <v>37480.645149574193</v>
      </c>
      <c r="AA27" s="29" t="s">
        <v>138</v>
      </c>
      <c r="AB27" s="30">
        <v>30</v>
      </c>
      <c r="AC27" s="31" t="s">
        <v>7</v>
      </c>
      <c r="AD27" s="32"/>
      <c r="AF27" s="359"/>
      <c r="AG27" s="230"/>
      <c r="AH27" s="230"/>
      <c r="AI27" s="230"/>
    </row>
    <row r="28" spans="1:35" ht="18.600000000000001" customHeight="1" x14ac:dyDescent="0.25">
      <c r="A28" s="33" t="s">
        <v>10</v>
      </c>
      <c r="B28" s="34">
        <f>SUM(B20+1)</f>
        <v>29</v>
      </c>
      <c r="C28" s="35">
        <f t="shared" ref="C28:Z28" si="21">SUM(C21:C27)</f>
        <v>27976.7</v>
      </c>
      <c r="D28" s="36">
        <f t="shared" si="21"/>
        <v>33870.967739</v>
      </c>
      <c r="E28" s="35">
        <f t="shared" si="21"/>
        <v>118572.15</v>
      </c>
      <c r="F28" s="37">
        <f t="shared" si="21"/>
        <v>90322.580600000001</v>
      </c>
      <c r="G28" s="38">
        <f t="shared" si="21"/>
        <v>6629.7</v>
      </c>
      <c r="H28" s="37">
        <f t="shared" si="21"/>
        <v>5645.1612699999996</v>
      </c>
      <c r="I28" s="38">
        <f>SUM(I21:I27)</f>
        <v>3708.5</v>
      </c>
      <c r="J28" s="37">
        <f>SUM(J21:J27)</f>
        <v>9032.2580600000001</v>
      </c>
      <c r="K28" s="35">
        <f t="shared" si="21"/>
        <v>22675.999999999996</v>
      </c>
      <c r="L28" s="38">
        <f t="shared" si="21"/>
        <v>0</v>
      </c>
      <c r="M28" s="82">
        <f t="shared" si="21"/>
        <v>22675.999999999996</v>
      </c>
      <c r="N28" s="37">
        <f t="shared" si="21"/>
        <v>36129.032253999998</v>
      </c>
      <c r="O28" s="35">
        <f>SUM(O21:O27)</f>
        <v>1347.9</v>
      </c>
      <c r="P28" s="38">
        <f>SUM(P21:P27)</f>
        <v>4869.5</v>
      </c>
      <c r="Q28" s="82">
        <f>SUM(Q21:Q27)</f>
        <v>6217.4</v>
      </c>
      <c r="R28" s="36">
        <f t="shared" ref="R28" si="22">SUM(R21:R27)</f>
        <v>9032.2580600000001</v>
      </c>
      <c r="S28" s="35">
        <f t="shared" si="21"/>
        <v>59045.14</v>
      </c>
      <c r="T28" s="36">
        <f t="shared" si="21"/>
        <v>59138.709677419363</v>
      </c>
      <c r="U28" s="35">
        <f t="shared" si="21"/>
        <v>244825.59</v>
      </c>
      <c r="V28" s="36">
        <f t="shared" si="21"/>
        <v>243170.96766041935</v>
      </c>
      <c r="W28" s="35">
        <f t="shared" si="21"/>
        <v>32070</v>
      </c>
      <c r="X28" s="36">
        <f t="shared" si="21"/>
        <v>19193.5483866</v>
      </c>
      <c r="Y28" s="35">
        <f t="shared" si="21"/>
        <v>276895.59000000003</v>
      </c>
      <c r="Z28" s="36">
        <f t="shared" si="21"/>
        <v>262364.5160470194</v>
      </c>
      <c r="AA28" s="39" t="s">
        <v>11</v>
      </c>
      <c r="AB28" s="40">
        <f>SUM(AB21:AB27)/7</f>
        <v>27.857142857142858</v>
      </c>
      <c r="AC28" s="41" t="s">
        <v>7</v>
      </c>
      <c r="AD28" s="42"/>
      <c r="AF28" s="359"/>
      <c r="AG28" s="230"/>
      <c r="AH28" s="230"/>
      <c r="AI28" s="230"/>
    </row>
    <row r="29" spans="1:35" ht="18.600000000000001" customHeight="1" x14ac:dyDescent="0.25">
      <c r="A29" s="44">
        <f>SUM(A27+1)</f>
        <v>22</v>
      </c>
      <c r="B29" s="15" t="s">
        <v>12</v>
      </c>
      <c r="C29" s="16">
        <v>4026.7</v>
      </c>
      <c r="D29" s="17">
        <v>4838.7096769999998</v>
      </c>
      <c r="E29" s="16">
        <v>8653.5</v>
      </c>
      <c r="F29" s="18">
        <v>12903.2258</v>
      </c>
      <c r="G29" s="19">
        <v>539.4</v>
      </c>
      <c r="H29" s="18">
        <v>806.45160999999996</v>
      </c>
      <c r="I29" s="19">
        <v>0</v>
      </c>
      <c r="J29" s="17">
        <v>1290.32258</v>
      </c>
      <c r="K29" s="16">
        <v>0</v>
      </c>
      <c r="L29" s="19"/>
      <c r="M29" s="19">
        <f t="shared" ref="M29:M35" si="23">K29+L29</f>
        <v>0</v>
      </c>
      <c r="N29" s="18">
        <v>5161.2903219999998</v>
      </c>
      <c r="O29" s="16">
        <v>0</v>
      </c>
      <c r="P29" s="238">
        <v>0</v>
      </c>
      <c r="Q29" s="19">
        <f t="shared" ref="Q29:Q35" si="24">O29+P29</f>
        <v>0</v>
      </c>
      <c r="R29" s="17">
        <v>1290.32258</v>
      </c>
      <c r="S29" s="16">
        <v>6456.2</v>
      </c>
      <c r="T29" s="17">
        <v>8448.3870967741932</v>
      </c>
      <c r="U29" s="91">
        <f>SUM(C29+E29+G29+I29+K29+Q29+S29)</f>
        <v>19675.8</v>
      </c>
      <c r="V29" s="89">
        <f t="shared" si="5"/>
        <v>34738.709665774193</v>
      </c>
      <c r="W29" s="16">
        <v>345.1</v>
      </c>
      <c r="X29" s="17">
        <v>2741.9354837999999</v>
      </c>
      <c r="Y29" s="109">
        <f>SUM(U29+W29)</f>
        <v>20020.899999999998</v>
      </c>
      <c r="Z29" s="110">
        <f>SUM(V29+X29)</f>
        <v>37480.645149574193</v>
      </c>
      <c r="AA29" s="50" t="s">
        <v>181</v>
      </c>
      <c r="AB29" s="51">
        <v>21</v>
      </c>
      <c r="AC29" s="21" t="s">
        <v>7</v>
      </c>
      <c r="AD29" s="22"/>
      <c r="AF29" s="359"/>
      <c r="AG29" s="230"/>
      <c r="AH29" s="230"/>
      <c r="AI29" s="230"/>
    </row>
    <row r="30" spans="1:35" ht="18.600000000000001" customHeight="1" x14ac:dyDescent="0.25">
      <c r="A30" s="47">
        <f>SUM(A29+1)</f>
        <v>23</v>
      </c>
      <c r="B30" s="15" t="s">
        <v>13</v>
      </c>
      <c r="C30" s="16">
        <v>2030.7</v>
      </c>
      <c r="D30" s="17">
        <v>4838.7096769999998</v>
      </c>
      <c r="E30" s="16">
        <v>17505.099999999999</v>
      </c>
      <c r="F30" s="18">
        <v>12903.2258</v>
      </c>
      <c r="G30" s="19">
        <v>929.7</v>
      </c>
      <c r="H30" s="18">
        <v>806.45160999999996</v>
      </c>
      <c r="I30" s="19">
        <v>0</v>
      </c>
      <c r="J30" s="17">
        <v>1290.32258</v>
      </c>
      <c r="K30" s="16">
        <v>0</v>
      </c>
      <c r="L30" s="19"/>
      <c r="M30" s="19">
        <f t="shared" si="23"/>
        <v>0</v>
      </c>
      <c r="N30" s="18">
        <v>5161.2903219999998</v>
      </c>
      <c r="O30" s="16">
        <v>0</v>
      </c>
      <c r="P30" s="238">
        <v>0</v>
      </c>
      <c r="Q30" s="19">
        <f t="shared" si="24"/>
        <v>0</v>
      </c>
      <c r="R30" s="17">
        <v>1290.32258</v>
      </c>
      <c r="S30" s="16">
        <v>7798.2</v>
      </c>
      <c r="T30" s="17">
        <v>8448.3870967741932</v>
      </c>
      <c r="U30" s="91">
        <f t="shared" ref="U30:U35" si="25">SUM(C30+E30+G30+I30+K30+Q30+S30)</f>
        <v>28263.7</v>
      </c>
      <c r="V30" s="89">
        <f t="shared" si="5"/>
        <v>34738.709665774193</v>
      </c>
      <c r="W30" s="16">
        <v>2254.6</v>
      </c>
      <c r="X30" s="17">
        <v>2741.9354837999999</v>
      </c>
      <c r="Y30" s="109">
        <f>SUM(U30+W30)</f>
        <v>30518.3</v>
      </c>
      <c r="Z30" s="110">
        <f>SUM(V30+X30)</f>
        <v>37480.645149574193</v>
      </c>
      <c r="AA30" s="45" t="s">
        <v>182</v>
      </c>
      <c r="AB30" s="46">
        <v>21</v>
      </c>
      <c r="AC30" s="21" t="s">
        <v>7</v>
      </c>
      <c r="AD30" s="22"/>
      <c r="AF30" s="359"/>
      <c r="AG30" s="391"/>
      <c r="AH30" s="230"/>
      <c r="AI30" s="230"/>
    </row>
    <row r="31" spans="1:35" ht="18.600000000000001" customHeight="1" x14ac:dyDescent="0.25">
      <c r="A31" s="47">
        <f>SUM(A30+1)</f>
        <v>24</v>
      </c>
      <c r="B31" s="15" t="s">
        <v>14</v>
      </c>
      <c r="C31" s="16">
        <v>1531.2</v>
      </c>
      <c r="D31" s="17">
        <v>4838.7096769999998</v>
      </c>
      <c r="E31" s="16">
        <v>18435.099999999999</v>
      </c>
      <c r="F31" s="18">
        <v>12903.2258</v>
      </c>
      <c r="G31" s="19">
        <v>711.6</v>
      </c>
      <c r="H31" s="18">
        <v>806.45160999999996</v>
      </c>
      <c r="I31" s="19">
        <v>0</v>
      </c>
      <c r="J31" s="17">
        <v>1290.32258</v>
      </c>
      <c r="K31" s="16">
        <v>0</v>
      </c>
      <c r="L31" s="19"/>
      <c r="M31" s="19">
        <f t="shared" si="23"/>
        <v>0</v>
      </c>
      <c r="N31" s="18">
        <v>5161.2903219999998</v>
      </c>
      <c r="O31" s="16">
        <v>0</v>
      </c>
      <c r="P31" s="238">
        <v>0</v>
      </c>
      <c r="Q31" s="19">
        <f t="shared" si="24"/>
        <v>0</v>
      </c>
      <c r="R31" s="17">
        <v>1290.32258</v>
      </c>
      <c r="S31" s="16">
        <v>9073.2999999999993</v>
      </c>
      <c r="T31" s="17">
        <v>8448.3870967741932</v>
      </c>
      <c r="U31" s="91">
        <f t="shared" si="25"/>
        <v>29751.199999999997</v>
      </c>
      <c r="V31" s="89">
        <f t="shared" si="5"/>
        <v>34738.709665774193</v>
      </c>
      <c r="W31" s="16">
        <v>1287.3</v>
      </c>
      <c r="X31" s="17">
        <v>2741.9354837999999</v>
      </c>
      <c r="Y31" s="109">
        <f t="shared" ref="Y31:Z35" si="26">SUM(U31+W31)</f>
        <v>31038.499999999996</v>
      </c>
      <c r="Z31" s="110">
        <f t="shared" si="26"/>
        <v>37480.645149574193</v>
      </c>
      <c r="AA31" s="45" t="s">
        <v>166</v>
      </c>
      <c r="AB31" s="46">
        <v>22</v>
      </c>
      <c r="AC31" s="21" t="s">
        <v>7</v>
      </c>
      <c r="AD31" s="22"/>
      <c r="AF31" s="359"/>
      <c r="AG31" s="230"/>
      <c r="AH31" s="230"/>
      <c r="AI31" s="230"/>
    </row>
    <row r="32" spans="1:35" ht="18.600000000000001" customHeight="1" x14ac:dyDescent="0.25">
      <c r="A32" s="47">
        <f>SUM(A31+1)</f>
        <v>25</v>
      </c>
      <c r="B32" s="15" t="s">
        <v>15</v>
      </c>
      <c r="C32" s="16">
        <v>3191.1</v>
      </c>
      <c r="D32" s="17">
        <v>4838.7096769999998</v>
      </c>
      <c r="E32" s="16">
        <v>19331.240000000002</v>
      </c>
      <c r="F32" s="18">
        <v>12903.2258</v>
      </c>
      <c r="G32" s="19">
        <v>786.2</v>
      </c>
      <c r="H32" s="18">
        <v>806.45160999999996</v>
      </c>
      <c r="I32" s="19">
        <v>3102</v>
      </c>
      <c r="J32" s="17">
        <v>1290.32258</v>
      </c>
      <c r="K32" s="16">
        <v>4499.7</v>
      </c>
      <c r="L32" s="19"/>
      <c r="M32" s="19">
        <f t="shared" si="23"/>
        <v>4499.7</v>
      </c>
      <c r="N32" s="18">
        <v>5161.2903219999998</v>
      </c>
      <c r="O32" s="16">
        <v>735.5</v>
      </c>
      <c r="P32" s="238">
        <v>200</v>
      </c>
      <c r="Q32" s="19">
        <f t="shared" si="24"/>
        <v>935.5</v>
      </c>
      <c r="R32" s="17">
        <v>1290.32258</v>
      </c>
      <c r="S32" s="16">
        <v>10993.5</v>
      </c>
      <c r="T32" s="17">
        <v>8448.3870967741932</v>
      </c>
      <c r="U32" s="91">
        <f t="shared" si="25"/>
        <v>42839.240000000005</v>
      </c>
      <c r="V32" s="89">
        <f t="shared" si="5"/>
        <v>34738.709665774193</v>
      </c>
      <c r="W32" s="16">
        <v>5120</v>
      </c>
      <c r="X32" s="17">
        <v>2741.9354837999999</v>
      </c>
      <c r="Y32" s="109">
        <f t="shared" si="26"/>
        <v>47959.240000000005</v>
      </c>
      <c r="Z32" s="110">
        <f t="shared" si="26"/>
        <v>37480.645149574193</v>
      </c>
      <c r="AA32" s="45" t="s">
        <v>166</v>
      </c>
      <c r="AB32" s="46">
        <v>26</v>
      </c>
      <c r="AC32" s="21" t="s">
        <v>7</v>
      </c>
      <c r="AD32" s="22"/>
      <c r="AF32" s="359"/>
      <c r="AG32" s="230"/>
      <c r="AH32" s="230"/>
      <c r="AI32" s="230"/>
    </row>
    <row r="33" spans="1:35" ht="18.600000000000001" customHeight="1" x14ac:dyDescent="0.25">
      <c r="A33" s="47">
        <f>SUM(A32+1)</f>
        <v>26</v>
      </c>
      <c r="B33" s="52" t="s">
        <v>6</v>
      </c>
      <c r="C33" s="16">
        <v>3633</v>
      </c>
      <c r="D33" s="17">
        <v>4838.7096769999998</v>
      </c>
      <c r="E33" s="16">
        <v>19618.599999999999</v>
      </c>
      <c r="F33" s="18">
        <v>12903.2258</v>
      </c>
      <c r="G33" s="19">
        <v>1161.5</v>
      </c>
      <c r="H33" s="18">
        <v>806.45160999999996</v>
      </c>
      <c r="I33" s="19">
        <v>4332</v>
      </c>
      <c r="J33" s="17">
        <v>1290.32258</v>
      </c>
      <c r="K33" s="16">
        <v>6887.5</v>
      </c>
      <c r="L33" s="19"/>
      <c r="M33" s="19">
        <f t="shared" si="23"/>
        <v>6887.5</v>
      </c>
      <c r="N33" s="18">
        <v>5161.2903219999998</v>
      </c>
      <c r="O33" s="16">
        <v>0</v>
      </c>
      <c r="P33" s="238">
        <v>0</v>
      </c>
      <c r="Q33" s="19">
        <f t="shared" si="24"/>
        <v>0</v>
      </c>
      <c r="R33" s="17">
        <v>1290.32258</v>
      </c>
      <c r="S33" s="16">
        <v>11028.9</v>
      </c>
      <c r="T33" s="17">
        <v>8448.3870967741932</v>
      </c>
      <c r="U33" s="91">
        <f t="shared" si="25"/>
        <v>46661.5</v>
      </c>
      <c r="V33" s="89">
        <f t="shared" si="5"/>
        <v>34738.709665774193</v>
      </c>
      <c r="W33" s="16">
        <v>6393.7</v>
      </c>
      <c r="X33" s="17">
        <v>2741.9354837999999</v>
      </c>
      <c r="Y33" s="109">
        <f>SUM(U33+W33)</f>
        <v>53055.199999999997</v>
      </c>
      <c r="Z33" s="110">
        <f t="shared" si="26"/>
        <v>37480.645149574193</v>
      </c>
      <c r="AA33" s="45" t="s">
        <v>58</v>
      </c>
      <c r="AB33" s="46">
        <v>27</v>
      </c>
      <c r="AC33" s="21" t="s">
        <v>7</v>
      </c>
      <c r="AD33" s="22"/>
      <c r="AF33" s="359"/>
      <c r="AG33" s="230"/>
      <c r="AH33" s="230"/>
      <c r="AI33" s="230"/>
    </row>
    <row r="34" spans="1:35" ht="18.600000000000001" customHeight="1" x14ac:dyDescent="0.25">
      <c r="A34" s="23">
        <f t="shared" ref="A34:A35" si="27">SUM(A33+1)</f>
        <v>27</v>
      </c>
      <c r="B34" s="24" t="s">
        <v>8</v>
      </c>
      <c r="C34" s="25">
        <v>3102.6</v>
      </c>
      <c r="D34" s="26">
        <v>4838.7096769999998</v>
      </c>
      <c r="E34" s="25">
        <v>18794</v>
      </c>
      <c r="F34" s="27">
        <v>12903.2258</v>
      </c>
      <c r="G34" s="28">
        <v>967.7</v>
      </c>
      <c r="H34" s="27">
        <v>806.45160999999996</v>
      </c>
      <c r="I34" s="28">
        <v>5403</v>
      </c>
      <c r="J34" s="26">
        <v>1290.32258</v>
      </c>
      <c r="K34" s="25">
        <v>17639.8</v>
      </c>
      <c r="L34" s="28"/>
      <c r="M34" s="28">
        <f t="shared" si="23"/>
        <v>17639.8</v>
      </c>
      <c r="N34" s="27">
        <v>5161.2903219999998</v>
      </c>
      <c r="O34" s="25">
        <v>0</v>
      </c>
      <c r="P34" s="239">
        <v>0</v>
      </c>
      <c r="Q34" s="28">
        <f t="shared" si="24"/>
        <v>0</v>
      </c>
      <c r="R34" s="26">
        <v>1290.32258</v>
      </c>
      <c r="S34" s="25">
        <v>12264.9</v>
      </c>
      <c r="T34" s="26">
        <v>8448.3870967741932</v>
      </c>
      <c r="U34" s="183">
        <f t="shared" si="25"/>
        <v>58172</v>
      </c>
      <c r="V34" s="90">
        <f t="shared" si="5"/>
        <v>34738.709665774193</v>
      </c>
      <c r="W34" s="25">
        <v>8273.6</v>
      </c>
      <c r="X34" s="26">
        <v>2741.9354837999999</v>
      </c>
      <c r="Y34" s="92">
        <f t="shared" si="26"/>
        <v>66445.600000000006</v>
      </c>
      <c r="Z34" s="234">
        <f t="shared" si="26"/>
        <v>37480.645149574193</v>
      </c>
      <c r="AA34" s="29" t="s">
        <v>58</v>
      </c>
      <c r="AB34" s="30">
        <v>31</v>
      </c>
      <c r="AC34" s="31" t="s">
        <v>7</v>
      </c>
      <c r="AD34" s="32"/>
      <c r="AF34" s="359"/>
      <c r="AG34" s="230"/>
      <c r="AH34" s="230"/>
      <c r="AI34" s="230"/>
    </row>
    <row r="35" spans="1:35" ht="18.600000000000001" customHeight="1" x14ac:dyDescent="0.25">
      <c r="A35" s="23">
        <f t="shared" si="27"/>
        <v>28</v>
      </c>
      <c r="B35" s="24" t="s">
        <v>9</v>
      </c>
      <c r="C35" s="25">
        <v>8696.5</v>
      </c>
      <c r="D35" s="26">
        <v>4838.7096769999998</v>
      </c>
      <c r="E35" s="25">
        <v>12101.3</v>
      </c>
      <c r="F35" s="27">
        <v>12903.2258</v>
      </c>
      <c r="G35" s="28">
        <v>760.7</v>
      </c>
      <c r="H35" s="27">
        <v>806.45160999999996</v>
      </c>
      <c r="I35" s="28">
        <v>0</v>
      </c>
      <c r="J35" s="26">
        <v>1290.32258</v>
      </c>
      <c r="K35" s="25">
        <v>4340.3999999999996</v>
      </c>
      <c r="L35" s="28"/>
      <c r="M35" s="28">
        <f t="shared" si="23"/>
        <v>4340.3999999999996</v>
      </c>
      <c r="N35" s="27">
        <v>5161.2903219999998</v>
      </c>
      <c r="O35" s="25">
        <v>0</v>
      </c>
      <c r="P35" s="239">
        <v>0</v>
      </c>
      <c r="Q35" s="28">
        <f t="shared" si="24"/>
        <v>0</v>
      </c>
      <c r="R35" s="26">
        <v>1290.32258</v>
      </c>
      <c r="S35" s="25">
        <v>8907.35</v>
      </c>
      <c r="T35" s="26">
        <v>8448.3870967741932</v>
      </c>
      <c r="U35" s="183">
        <f t="shared" si="25"/>
        <v>34806.25</v>
      </c>
      <c r="V35" s="90">
        <f t="shared" si="5"/>
        <v>34738.709665774193</v>
      </c>
      <c r="W35" s="25">
        <v>1146.9000000000001</v>
      </c>
      <c r="X35" s="26">
        <v>2741.9354837999999</v>
      </c>
      <c r="Y35" s="92">
        <f t="shared" si="26"/>
        <v>35953.15</v>
      </c>
      <c r="Z35" s="94">
        <f t="shared" si="26"/>
        <v>37480.645149574193</v>
      </c>
      <c r="AA35" s="29" t="s">
        <v>183</v>
      </c>
      <c r="AB35" s="30">
        <v>20</v>
      </c>
      <c r="AC35" s="31" t="s">
        <v>7</v>
      </c>
      <c r="AD35" s="32"/>
      <c r="AF35" s="359"/>
      <c r="AG35" s="230"/>
      <c r="AH35" s="230"/>
      <c r="AI35" s="230"/>
    </row>
    <row r="36" spans="1:35" ht="19.149999999999999" customHeight="1" x14ac:dyDescent="0.25">
      <c r="A36" s="33" t="s">
        <v>10</v>
      </c>
      <c r="B36" s="34">
        <f>SUM(B28+1)</f>
        <v>30</v>
      </c>
      <c r="C36" s="35">
        <f>SUM(C29:C35)</f>
        <v>26211.8</v>
      </c>
      <c r="D36" s="36">
        <f t="shared" ref="D36:T36" si="28">SUM(D29:D35)</f>
        <v>33870.967739</v>
      </c>
      <c r="E36" s="35">
        <f t="shared" si="28"/>
        <v>114438.84000000001</v>
      </c>
      <c r="F36" s="36">
        <f t="shared" si="28"/>
        <v>90322.580600000001</v>
      </c>
      <c r="G36" s="35">
        <f t="shared" si="28"/>
        <v>5856.7999999999993</v>
      </c>
      <c r="H36" s="36">
        <f t="shared" si="28"/>
        <v>5645.1612699999996</v>
      </c>
      <c r="I36" s="35">
        <f t="shared" si="28"/>
        <v>12837</v>
      </c>
      <c r="J36" s="36">
        <f t="shared" si="28"/>
        <v>9032.2580600000001</v>
      </c>
      <c r="K36" s="35">
        <f t="shared" si="28"/>
        <v>33367.4</v>
      </c>
      <c r="L36" s="38">
        <f t="shared" si="28"/>
        <v>0</v>
      </c>
      <c r="M36" s="82">
        <f t="shared" si="28"/>
        <v>33367.4</v>
      </c>
      <c r="N36" s="37">
        <f t="shared" si="28"/>
        <v>36129.032253999998</v>
      </c>
      <c r="O36" s="266">
        <f>SUM(O29:O35)</f>
        <v>735.5</v>
      </c>
      <c r="P36" s="38">
        <f>SUM(P29:P35)</f>
        <v>200</v>
      </c>
      <c r="Q36" s="38">
        <f>SUM(Q29:Q35)</f>
        <v>935.5</v>
      </c>
      <c r="R36" s="82">
        <f t="shared" ref="R36" si="29">SUM(R29:R35)</f>
        <v>9032.2580600000001</v>
      </c>
      <c r="S36" s="35">
        <f t="shared" si="28"/>
        <v>66522.350000000006</v>
      </c>
      <c r="T36" s="36">
        <f t="shared" si="28"/>
        <v>59138.709677419363</v>
      </c>
      <c r="U36" s="35">
        <f t="shared" ref="U36:Y36" si="30">SUM(U29:U35)</f>
        <v>260169.69</v>
      </c>
      <c r="V36" s="36">
        <f>SUM(V29:V35)</f>
        <v>243170.96766041935</v>
      </c>
      <c r="W36" s="35">
        <f>SUM(W29:W35)</f>
        <v>24821.200000000004</v>
      </c>
      <c r="X36" s="36">
        <f>SUM(X29:X35)</f>
        <v>19193.5483866</v>
      </c>
      <c r="Y36" s="35">
        <f t="shared" si="30"/>
        <v>284990.89</v>
      </c>
      <c r="Z36" s="36">
        <f>SUM(Z29:Z35)</f>
        <v>262364.5160470194</v>
      </c>
      <c r="AA36" s="39" t="s">
        <v>11</v>
      </c>
      <c r="AB36" s="40">
        <f>SUM(AB29:AB35)/6</f>
        <v>28</v>
      </c>
      <c r="AC36" s="41" t="s">
        <v>7</v>
      </c>
      <c r="AD36" s="42"/>
      <c r="AF36" s="359"/>
      <c r="AG36" s="230"/>
      <c r="AH36" s="230"/>
      <c r="AI36" s="230"/>
    </row>
    <row r="37" spans="1:35" ht="19.149999999999999" customHeight="1" x14ac:dyDescent="0.25">
      <c r="A37" s="47">
        <f>SUM(A35+1)</f>
        <v>29</v>
      </c>
      <c r="B37" s="15" t="s">
        <v>12</v>
      </c>
      <c r="C37" s="20">
        <v>1402</v>
      </c>
      <c r="D37" s="217">
        <v>4838.7096769999998</v>
      </c>
      <c r="E37" s="20">
        <v>17117.7</v>
      </c>
      <c r="F37" s="218">
        <v>12903.2258</v>
      </c>
      <c r="G37" s="122">
        <v>1064.9000000000001</v>
      </c>
      <c r="H37" s="218">
        <v>806.45160999999996</v>
      </c>
      <c r="I37" s="122">
        <v>0</v>
      </c>
      <c r="J37" s="217">
        <v>1290.32258</v>
      </c>
      <c r="K37" s="20">
        <v>0</v>
      </c>
      <c r="L37" s="226"/>
      <c r="M37" s="226">
        <f t="shared" ref="M37:M39" si="31">K37+L37</f>
        <v>0</v>
      </c>
      <c r="N37" s="218">
        <v>5161.2903219999998</v>
      </c>
      <c r="O37" s="494">
        <v>0</v>
      </c>
      <c r="P37" s="250">
        <v>400</v>
      </c>
      <c r="Q37" s="226">
        <f t="shared" ref="Q37:Q38" si="32">O37+P37</f>
        <v>400</v>
      </c>
      <c r="R37" s="250">
        <v>1290.32258</v>
      </c>
      <c r="S37" s="20">
        <v>10158.9</v>
      </c>
      <c r="T37" s="217">
        <v>8448.3870967741932</v>
      </c>
      <c r="U37" s="219">
        <f t="shared" ref="U37:U38" si="33">SUM(C37+E37+G37+I37+K37+Q37+S37)</f>
        <v>30143.5</v>
      </c>
      <c r="V37" s="220">
        <f>SUM(D37+F37+H37+J37+N37+R37+T37)</f>
        <v>34738.709665774193</v>
      </c>
      <c r="W37" s="20">
        <v>5519.2</v>
      </c>
      <c r="X37" s="217">
        <v>2741.9354837999999</v>
      </c>
      <c r="Y37" s="109">
        <f t="shared" ref="Y37:Y38" si="34">SUM(U37+W37)</f>
        <v>35662.699999999997</v>
      </c>
      <c r="Z37" s="365">
        <f t="shared" ref="Z37:Z38" si="35">SUM(V37+X37)</f>
        <v>37480.645149574193</v>
      </c>
      <c r="AA37" s="495" t="s">
        <v>58</v>
      </c>
      <c r="AB37" s="394">
        <v>29</v>
      </c>
      <c r="AC37" s="228" t="s">
        <v>7</v>
      </c>
      <c r="AD37" s="229"/>
      <c r="AF37" s="359"/>
      <c r="AG37" s="230"/>
      <c r="AH37" s="230"/>
      <c r="AI37" s="230"/>
    </row>
    <row r="38" spans="1:35" ht="19.149999999999999" customHeight="1" x14ac:dyDescent="0.25">
      <c r="A38" s="47">
        <f>SUM(A37+1)</f>
        <v>30</v>
      </c>
      <c r="B38" s="15" t="s">
        <v>98</v>
      </c>
      <c r="C38" s="20">
        <v>1565.3</v>
      </c>
      <c r="D38" s="217">
        <v>4838.7096769999998</v>
      </c>
      <c r="E38" s="20">
        <v>17677</v>
      </c>
      <c r="F38" s="218">
        <v>12903.2258</v>
      </c>
      <c r="G38" s="122">
        <v>986.1</v>
      </c>
      <c r="H38" s="218">
        <v>806.45160999999996</v>
      </c>
      <c r="I38" s="122">
        <v>0</v>
      </c>
      <c r="J38" s="217">
        <v>1290.32258</v>
      </c>
      <c r="K38" s="20">
        <v>0</v>
      </c>
      <c r="L38" s="226"/>
      <c r="M38" s="226">
        <f t="shared" si="31"/>
        <v>0</v>
      </c>
      <c r="N38" s="218">
        <v>5161.2903219999998</v>
      </c>
      <c r="O38" s="20">
        <v>50</v>
      </c>
      <c r="P38" s="250">
        <v>200</v>
      </c>
      <c r="Q38" s="226">
        <f t="shared" si="32"/>
        <v>250</v>
      </c>
      <c r="R38" s="250">
        <v>1290.32258</v>
      </c>
      <c r="S38" s="20">
        <v>10825.8</v>
      </c>
      <c r="T38" s="217">
        <v>8448.3870967741932</v>
      </c>
      <c r="U38" s="219">
        <f t="shared" si="33"/>
        <v>31304.199999999997</v>
      </c>
      <c r="V38" s="220">
        <f t="shared" ref="V38" si="36">SUM(D38+F38+H38+J38+N38+R38+T38)</f>
        <v>34738.709665774193</v>
      </c>
      <c r="W38" s="20">
        <v>10026.700000000001</v>
      </c>
      <c r="X38" s="217">
        <v>2741.9354837999999</v>
      </c>
      <c r="Y38" s="109">
        <f t="shared" si="34"/>
        <v>41330.899999999994</v>
      </c>
      <c r="Z38" s="365">
        <f t="shared" si="35"/>
        <v>37480.645149574193</v>
      </c>
      <c r="AA38" s="495" t="s">
        <v>58</v>
      </c>
      <c r="AB38" s="394">
        <v>32</v>
      </c>
      <c r="AC38" s="228" t="s">
        <v>7</v>
      </c>
      <c r="AD38" s="229"/>
      <c r="AF38" s="359"/>
      <c r="AG38" s="230"/>
      <c r="AH38" s="230"/>
      <c r="AI38" s="230"/>
    </row>
    <row r="39" spans="1:35" ht="18.600000000000001" customHeight="1" x14ac:dyDescent="0.25">
      <c r="A39" s="47">
        <f>SUM(A38+1)</f>
        <v>31</v>
      </c>
      <c r="B39" s="15" t="s">
        <v>99</v>
      </c>
      <c r="C39" s="20">
        <v>9503.7999999999993</v>
      </c>
      <c r="D39" s="217">
        <v>4838.7096769999998</v>
      </c>
      <c r="E39" s="20">
        <v>9597.7999999999993</v>
      </c>
      <c r="F39" s="218">
        <v>12903.2258</v>
      </c>
      <c r="G39" s="226">
        <v>759.7</v>
      </c>
      <c r="H39" s="218">
        <v>806.45160999999996</v>
      </c>
      <c r="I39" s="226">
        <v>0</v>
      </c>
      <c r="J39" s="217">
        <v>1290.32258</v>
      </c>
      <c r="K39" s="20">
        <v>0</v>
      </c>
      <c r="L39" s="226"/>
      <c r="M39" s="226">
        <f t="shared" si="31"/>
        <v>0</v>
      </c>
      <c r="N39" s="218">
        <v>5161.2903219999998</v>
      </c>
      <c r="O39" s="20">
        <v>0</v>
      </c>
      <c r="P39" s="250">
        <v>0</v>
      </c>
      <c r="Q39" s="226">
        <f>O39+P39</f>
        <v>0</v>
      </c>
      <c r="R39" s="217">
        <v>1290.32258</v>
      </c>
      <c r="S39" s="20">
        <v>9209.7999999999993</v>
      </c>
      <c r="T39" s="217">
        <v>8448.3870967741932</v>
      </c>
      <c r="U39" s="219">
        <f t="shared" ref="U39" si="37">SUM(C39+E39+G39+I39+K39+Q39+S39)</f>
        <v>29071.1</v>
      </c>
      <c r="V39" s="220">
        <f t="shared" ref="V39" si="38">SUM(D39+F39+H39+J39+N39+R39+T39)</f>
        <v>34738.709665774193</v>
      </c>
      <c r="W39" s="20">
        <v>3250.1</v>
      </c>
      <c r="X39" s="217">
        <v>2741.9354837999999</v>
      </c>
      <c r="Y39" s="109">
        <f>SUM(U39+W39)</f>
        <v>32321.199999999997</v>
      </c>
      <c r="Z39" s="365">
        <f t="shared" ref="Z39" si="39">SUM(V39+X39)</f>
        <v>37480.645149574193</v>
      </c>
      <c r="AA39" s="50" t="s">
        <v>184</v>
      </c>
      <c r="AB39" s="51">
        <v>30</v>
      </c>
      <c r="AC39" s="228" t="s">
        <v>7</v>
      </c>
      <c r="AD39" s="229"/>
      <c r="AF39" s="359"/>
      <c r="AG39" s="230"/>
      <c r="AH39" s="230"/>
      <c r="AI39" s="230"/>
    </row>
    <row r="40" spans="1:35" ht="19.149999999999999" customHeight="1" thickBot="1" x14ac:dyDescent="0.3">
      <c r="A40" s="33" t="s">
        <v>10</v>
      </c>
      <c r="B40" s="34">
        <f>SUM(B36+1)</f>
        <v>31</v>
      </c>
      <c r="C40" s="68">
        <f t="shared" ref="C40:L40" si="40">SUM(C37:C39)</f>
        <v>12471.099999999999</v>
      </c>
      <c r="D40" s="70">
        <f t="shared" si="40"/>
        <v>14516.129031</v>
      </c>
      <c r="E40" s="303">
        <f t="shared" si="40"/>
        <v>44392.5</v>
      </c>
      <c r="F40" s="118">
        <f t="shared" si="40"/>
        <v>38709.6774</v>
      </c>
      <c r="G40" s="303">
        <f t="shared" si="40"/>
        <v>2810.7</v>
      </c>
      <c r="H40" s="118">
        <f t="shared" si="40"/>
        <v>2419.3548299999998</v>
      </c>
      <c r="I40" s="68">
        <f t="shared" si="40"/>
        <v>0</v>
      </c>
      <c r="J40" s="70">
        <f t="shared" si="40"/>
        <v>3870.96774</v>
      </c>
      <c r="K40" s="68">
        <f t="shared" si="40"/>
        <v>0</v>
      </c>
      <c r="L40" s="306">
        <f t="shared" si="40"/>
        <v>0</v>
      </c>
      <c r="M40" s="306">
        <f>SUM(M37:M39)</f>
        <v>0</v>
      </c>
      <c r="N40" s="70">
        <f>SUM(N37:N39)</f>
        <v>15483.870965999999</v>
      </c>
      <c r="O40" s="68">
        <f>SUM(O37:O39)</f>
        <v>50</v>
      </c>
      <c r="P40" s="306">
        <f t="shared" ref="P40:Z40" si="41">SUM(P37:P39)</f>
        <v>600</v>
      </c>
      <c r="Q40" s="337">
        <f t="shared" si="41"/>
        <v>650</v>
      </c>
      <c r="R40" s="118">
        <f t="shared" si="41"/>
        <v>3870.96774</v>
      </c>
      <c r="S40" s="68">
        <f t="shared" si="41"/>
        <v>30194.499999999996</v>
      </c>
      <c r="T40" s="70">
        <f t="shared" si="41"/>
        <v>25345.16129032258</v>
      </c>
      <c r="U40" s="35">
        <f t="shared" si="41"/>
        <v>90518.799999999988</v>
      </c>
      <c r="V40" s="36">
        <f t="shared" si="41"/>
        <v>104216.12899732258</v>
      </c>
      <c r="W40" s="35">
        <f t="shared" si="41"/>
        <v>18796</v>
      </c>
      <c r="X40" s="36">
        <f t="shared" si="41"/>
        <v>8225.8064513999998</v>
      </c>
      <c r="Y40" s="35">
        <f t="shared" si="41"/>
        <v>109314.79999999999</v>
      </c>
      <c r="Z40" s="36">
        <f t="shared" si="41"/>
        <v>112441.93544872258</v>
      </c>
      <c r="AA40" s="39" t="s">
        <v>11</v>
      </c>
      <c r="AB40" s="40">
        <f>SUM(AB39)/1</f>
        <v>30</v>
      </c>
      <c r="AC40" s="41" t="s">
        <v>7</v>
      </c>
      <c r="AD40" s="42"/>
      <c r="AF40" s="359"/>
      <c r="AG40" s="230"/>
      <c r="AH40" s="230"/>
      <c r="AI40" s="230"/>
    </row>
    <row r="41" spans="1:35" ht="19.149999999999999" customHeight="1" x14ac:dyDescent="0.25">
      <c r="A41" s="175" t="s">
        <v>16</v>
      </c>
      <c r="B41" s="127"/>
      <c r="C41" s="336">
        <f>SUM(C12+C20+C28+C36+C40)</f>
        <v>185832.1</v>
      </c>
      <c r="D41" s="128">
        <f t="shared" ref="D41:Z41" si="42">SUM(D12+D20+D28+D36+D40)</f>
        <v>149999.99998699999</v>
      </c>
      <c r="E41" s="336">
        <f t="shared" si="42"/>
        <v>403154.94</v>
      </c>
      <c r="F41" s="128">
        <f t="shared" si="42"/>
        <v>399999.99979999999</v>
      </c>
      <c r="G41" s="115">
        <f t="shared" si="42"/>
        <v>25301.7</v>
      </c>
      <c r="H41" s="116">
        <f t="shared" si="42"/>
        <v>24999.999909999999</v>
      </c>
      <c r="I41" s="336">
        <f t="shared" si="42"/>
        <v>24716</v>
      </c>
      <c r="J41" s="128">
        <f t="shared" si="42"/>
        <v>39999.999980000001</v>
      </c>
      <c r="K41" s="115">
        <f t="shared" si="42"/>
        <v>150934.5</v>
      </c>
      <c r="L41" s="244">
        <f t="shared" ref="L41" si="43">SUM(L12+L20+L28+L36+L40)</f>
        <v>0</v>
      </c>
      <c r="M41" s="244">
        <f t="shared" ref="M41" si="44">SUM(M12+M20+M28+M36+M40)</f>
        <v>150934.5</v>
      </c>
      <c r="N41" s="116">
        <f t="shared" si="42"/>
        <v>159999.99998199998</v>
      </c>
      <c r="O41" s="336">
        <f t="shared" si="42"/>
        <v>8714.9</v>
      </c>
      <c r="P41" s="244">
        <f t="shared" si="42"/>
        <v>26477.5</v>
      </c>
      <c r="Q41" s="304">
        <f t="shared" si="42"/>
        <v>35192.400000000001</v>
      </c>
      <c r="R41" s="128">
        <f t="shared" si="42"/>
        <v>39999.999980000001</v>
      </c>
      <c r="S41" s="115">
        <f t="shared" si="42"/>
        <v>279546.34999999998</v>
      </c>
      <c r="T41" s="116">
        <f>SUM(T12+T20+T28+T36+T40)</f>
        <v>261900.00000000003</v>
      </c>
      <c r="U41" s="115">
        <f t="shared" si="42"/>
        <v>1104677.99</v>
      </c>
      <c r="V41" s="116">
        <f t="shared" si="42"/>
        <v>1076899.999639</v>
      </c>
      <c r="W41" s="115">
        <f t="shared" si="42"/>
        <v>97584.8</v>
      </c>
      <c r="X41" s="116">
        <f t="shared" si="42"/>
        <v>84999.999997799998</v>
      </c>
      <c r="Y41" s="115">
        <f t="shared" si="42"/>
        <v>1202262.7900000003</v>
      </c>
      <c r="Z41" s="116">
        <f t="shared" si="42"/>
        <v>1161899.9996368003</v>
      </c>
      <c r="AA41" s="126" t="s">
        <v>16</v>
      </c>
      <c r="AB41" s="101"/>
      <c r="AC41" s="102"/>
      <c r="AD41" s="103"/>
      <c r="AF41" s="230"/>
      <c r="AG41" s="230"/>
      <c r="AH41" s="230"/>
      <c r="AI41" s="230"/>
    </row>
    <row r="42" spans="1:35" ht="19.5" customHeight="1" thickBot="1" x14ac:dyDescent="0.3">
      <c r="A42" s="177" t="s">
        <v>28</v>
      </c>
      <c r="B42" s="178"/>
      <c r="C42" s="65">
        <f t="shared" ref="C42:Z42" si="45">C41/31</f>
        <v>5994.5838709677419</v>
      </c>
      <c r="D42" s="66">
        <f t="shared" si="45"/>
        <v>4838.7096769999998</v>
      </c>
      <c r="E42" s="65">
        <f t="shared" si="45"/>
        <v>13004.998064516129</v>
      </c>
      <c r="F42" s="66">
        <f t="shared" si="45"/>
        <v>12903.2258</v>
      </c>
      <c r="G42" s="65">
        <f t="shared" si="45"/>
        <v>816.183870967742</v>
      </c>
      <c r="H42" s="66">
        <f t="shared" si="45"/>
        <v>806.45160999999996</v>
      </c>
      <c r="I42" s="65">
        <f>I41/31</f>
        <v>797.29032258064512</v>
      </c>
      <c r="J42" s="66">
        <f>J41/31</f>
        <v>1290.32258</v>
      </c>
      <c r="K42" s="65">
        <f t="shared" si="45"/>
        <v>4868.8548387096771</v>
      </c>
      <c r="L42" s="245"/>
      <c r="M42" s="245"/>
      <c r="N42" s="67">
        <f t="shared" si="45"/>
        <v>5161.2903219999989</v>
      </c>
      <c r="O42" s="65">
        <f t="shared" ref="O42:R42" si="46">O41/30</f>
        <v>290.49666666666667</v>
      </c>
      <c r="P42" s="240"/>
      <c r="Q42" s="245"/>
      <c r="R42" s="66">
        <f t="shared" si="46"/>
        <v>1333.3333326666666</v>
      </c>
      <c r="S42" s="65">
        <f t="shared" si="45"/>
        <v>9017.6241935483868</v>
      </c>
      <c r="T42" s="66">
        <f t="shared" si="45"/>
        <v>8448.387096774195</v>
      </c>
      <c r="U42" s="65">
        <f t="shared" si="45"/>
        <v>35634.773870967743</v>
      </c>
      <c r="V42" s="66">
        <f t="shared" si="45"/>
        <v>34738.709665774193</v>
      </c>
      <c r="W42" s="65">
        <f t="shared" si="45"/>
        <v>3147.8967741935485</v>
      </c>
      <c r="X42" s="66">
        <f t="shared" si="45"/>
        <v>2741.9354837999999</v>
      </c>
      <c r="Y42" s="65">
        <f t="shared" si="45"/>
        <v>38782.670645161299</v>
      </c>
      <c r="Z42" s="66">
        <f t="shared" si="45"/>
        <v>37480.6451495742</v>
      </c>
      <c r="AA42" s="69" t="s">
        <v>17</v>
      </c>
      <c r="AB42" s="98"/>
      <c r="AC42" s="99"/>
      <c r="AD42" s="100"/>
    </row>
    <row r="43" spans="1:35" ht="20.100000000000001" customHeight="1" x14ac:dyDescent="0.25">
      <c r="A43" s="72" t="s">
        <v>18</v>
      </c>
      <c r="B43" s="73"/>
      <c r="C43" s="74">
        <f>SUM(C41-D41)</f>
        <v>35832.100013000017</v>
      </c>
      <c r="D43" s="75"/>
      <c r="E43" s="74">
        <f>SUM(E41-F41)</f>
        <v>3154.9402000000118</v>
      </c>
      <c r="F43" s="75"/>
      <c r="G43" s="74">
        <f>SUM(G41-H41)</f>
        <v>301.70009000000209</v>
      </c>
      <c r="H43" s="75"/>
      <c r="I43" s="74">
        <f>SUM(I41-J41)</f>
        <v>-15283.999980000001</v>
      </c>
      <c r="J43" s="75"/>
      <c r="K43" s="74"/>
      <c r="L43" s="246"/>
      <c r="M43" s="246">
        <f>SUM(M41-N41)</f>
        <v>-9065.4999819999794</v>
      </c>
      <c r="N43" s="446"/>
      <c r="O43" s="279"/>
      <c r="P43" s="280"/>
      <c r="Q43" s="281">
        <f>SUM(100/R41*Q41)</f>
        <v>87.981000043990505</v>
      </c>
      <c r="R43" s="282">
        <f>SUM(Q41-R41)</f>
        <v>-4807.5999799999991</v>
      </c>
      <c r="S43" s="74">
        <f>SUM(S41-T41)</f>
        <v>17646.349999999948</v>
      </c>
      <c r="T43" s="75"/>
      <c r="U43" s="96">
        <f>SUM(U41-V41)</f>
        <v>27777.990360999946</v>
      </c>
      <c r="V43" s="75"/>
      <c r="W43" s="74">
        <f>SUM(W41-X41)</f>
        <v>12584.800002200005</v>
      </c>
      <c r="X43" s="75"/>
      <c r="Y43" s="111">
        <f>SUM(Y41-Z41)</f>
        <v>40362.790363200009</v>
      </c>
      <c r="Z43" s="112"/>
      <c r="AC43" s="2"/>
      <c r="AD43" s="2"/>
    </row>
    <row r="44" spans="1:35" ht="20.100000000000001" customHeight="1" thickBot="1" x14ac:dyDescent="0.3">
      <c r="A44" s="76" t="s">
        <v>19</v>
      </c>
      <c r="B44" s="77"/>
      <c r="C44" s="95">
        <f>SUM(100/D41*C41)</f>
        <v>123.88806667740366</v>
      </c>
      <c r="D44" s="78"/>
      <c r="E44" s="95">
        <f>SUM(100/F41*E41)</f>
        <v>100.78873505039437</v>
      </c>
      <c r="F44" s="78"/>
      <c r="G44" s="95">
        <f>SUM(100/H41*G41)</f>
        <v>101.20680036434449</v>
      </c>
      <c r="H44" s="78"/>
      <c r="I44" s="95">
        <f>SUM(100/J41*I41)</f>
        <v>61.790000030895001</v>
      </c>
      <c r="J44" s="78"/>
      <c r="K44" s="95"/>
      <c r="L44" s="247"/>
      <c r="M44" s="247">
        <f>SUM(100/N41*M41)</f>
        <v>94.334062510612597</v>
      </c>
      <c r="N44" s="447"/>
      <c r="O44" s="275"/>
      <c r="P44" s="276"/>
      <c r="Q44" s="277">
        <f>SUM(100/T41*S41)</f>
        <v>106.73781977854141</v>
      </c>
      <c r="R44" s="278"/>
      <c r="S44" s="95">
        <f>SUM(100/T41*S41)</f>
        <v>106.73781977854141</v>
      </c>
      <c r="T44" s="78"/>
      <c r="U44" s="97">
        <f>SUM(100/V41*U41)</f>
        <v>102.57944009381667</v>
      </c>
      <c r="V44" s="78"/>
      <c r="W44" s="95">
        <f>SUM(100/X41*W41)</f>
        <v>114.80564706179499</v>
      </c>
      <c r="X44" s="78"/>
      <c r="Y44" s="113">
        <f>SUM(100/Z41*Y41)</f>
        <v>103.47386094980781</v>
      </c>
      <c r="Z44" s="114"/>
      <c r="AC44" s="2"/>
      <c r="AD44" s="2"/>
    </row>
    <row r="46" spans="1:35" x14ac:dyDescent="0.25">
      <c r="G46" s="360"/>
      <c r="H46" s="360"/>
      <c r="I46" s="360"/>
      <c r="J46" s="360"/>
      <c r="K46" s="360"/>
      <c r="L46" s="360"/>
      <c r="M46" s="360"/>
      <c r="N46" s="230"/>
      <c r="O46" s="360"/>
      <c r="P46" s="230"/>
      <c r="Q46" s="230"/>
      <c r="R46" s="230"/>
      <c r="S46" s="360"/>
      <c r="T46" s="230"/>
      <c r="U46" s="230"/>
      <c r="V46" s="230"/>
      <c r="W46" s="360"/>
    </row>
    <row r="47" spans="1:35" x14ac:dyDescent="0.25">
      <c r="A47" s="393"/>
      <c r="B47" s="230"/>
      <c r="C47" s="230"/>
      <c r="D47" s="230"/>
      <c r="E47" s="230"/>
      <c r="F47" s="230"/>
      <c r="G47" s="230"/>
      <c r="H47" s="360"/>
      <c r="I47" s="230"/>
      <c r="J47" s="36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</row>
    <row r="49" spans="9:17" x14ac:dyDescent="0.25">
      <c r="I49" s="361"/>
    </row>
    <row r="50" spans="9:17" x14ac:dyDescent="0.25">
      <c r="Q50" s="497"/>
    </row>
  </sheetData>
  <customSheetViews>
    <customSheetView guid="{512075D7-6EE7-4EEF-842F-09AF15E6D8B5}" scale="70" showPageBreaks="1" fitToPage="1" printArea="1" topLeftCell="I1">
      <pane ySplit="4" topLeftCell="A11" activePane="bottomLeft" state="frozen"/>
      <selection pane="bottomLeft" activeCell="AF43" sqref="AF43"/>
      <pageMargins left="0.59055118110236227" right="0.59055118110236227" top="1.1811023622047245" bottom="0.59055118110236227" header="0.11811023622047245" footer="0.31496062992125984"/>
      <pageSetup paperSize="9" scale="36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 topLeftCell="I1">
      <pane ySplit="4" topLeftCell="A11" activePane="bottomLeft" state="frozen"/>
      <selection pane="bottomLeft" activeCell="AF43" sqref="AF43"/>
      <pageMargins left="0.59055118110236227" right="0.59055118110236227" top="1.1811023622047245" bottom="0.59055118110236227" header="0.11811023622047245" footer="0.31496062992125984"/>
      <pageSetup paperSize="9" scale="3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90" showPageBreaks="1" fitToPage="1" printArea="1">
      <pane ySplit="4" topLeftCell="A29" activePane="bottomLeft" state="frozen"/>
      <selection pane="bottomLeft" activeCell="S41" sqref="S41"/>
      <pageMargins left="0.59055118110236227" right="0.59055118110236227" top="1.1811023622047245" bottom="0.59055118110236227" header="0.11811023622047245" footer="0.31496062992125984"/>
      <pageSetup paperSize="9" scale="3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70" showPageBreaks="1" fitToPage="1" printArea="1">
      <pane ySplit="4" topLeftCell="A11" activePane="bottomLeft" state="frozen"/>
      <selection pane="bottomLeft" activeCell="AA38" sqref="AA38"/>
      <pageMargins left="0.59055118110236227" right="0.59055118110236227" top="1.1811023622047245" bottom="0.59055118110236227" header="0.11811023622047245" footer="0.31496062992125984"/>
      <pageSetup paperSize="9" scale="3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showPageBreaks="1" fitToPage="1" printArea="1">
      <pane ySplit="4" topLeftCell="A23" activePane="bottomLeft" state="frozen"/>
      <selection pane="bottomLeft" activeCell="P40" sqref="P40"/>
      <pageMargins left="0.59055118110236227" right="0.59055118110236227" top="1.1811023622047245" bottom="0.59055118110236227" header="0.11811023622047245" footer="0.31496062992125984"/>
      <pageSetup paperSize="9" scale="3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11" activePane="bottomLeft" state="frozen"/>
      <selection pane="bottomLeft" activeCell="P41" sqref="P41"/>
      <pageMargins left="0.59055118110236227" right="0.59055118110236227" top="1.1811023622047245" bottom="0.59055118110236227" header="0.11811023622047245" footer="0.31496062992125984"/>
      <pageSetup paperSize="9" scale="37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1" showPageBreaks="1" fitToPage="1" printArea="1">
      <pane ySplit="4" topLeftCell="A5" activePane="bottomLeft" state="frozen"/>
      <selection pane="bottomLeft" activeCell="A16" sqref="A16:H17"/>
      <pageMargins left="0.59055118110236227" right="0.59055118110236227" top="1.1811023622047245" bottom="0.59055118110236227" header="0.11811023622047245" footer="0.31496062992125984"/>
      <pageSetup paperSize="9" scale="4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17" activePane="bottomLeft" state="frozen"/>
      <selection pane="bottomLeft" activeCell="M3" sqref="M3:P44"/>
      <pageMargins left="0.59055118110236227" right="0.59055118110236227" top="1.1811023622047245" bottom="0.59055118110236227" header="0.11811023622047245" footer="0.31496062992125984"/>
      <pageSetup paperSize="9" scale="45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90" showPageBreaks="1" fitToPage="1" printArea="1">
      <pane ySplit="4" topLeftCell="A5" activePane="bottomLeft" state="frozen"/>
      <selection pane="bottomLeft" activeCell="N21" sqref="N21"/>
      <pageMargins left="0.59055118110236227" right="0.59055118110236227" top="1.1811023622047245" bottom="0.59055118110236227" header="0.11811023622047245" footer="0.31496062992125984"/>
      <pageSetup paperSize="9" scale="37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70" showPageBreaks="1" fitToPage="1" printArea="1">
      <pane ySplit="4" topLeftCell="A11" activePane="bottomLeft" state="frozen"/>
      <selection pane="bottomLeft" activeCell="U48" sqref="U48"/>
      <pageMargins left="0.59055118110236227" right="0.59055118110236227" top="1.1811023622047245" bottom="0.59055118110236227" header="0.11811023622047245" footer="0.31496062992125984"/>
      <pageSetup paperSize="9" scale="37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14" activePane="bottomLeft" state="frozen"/>
      <selection pane="bottomLeft" activeCell="U51" sqref="U51"/>
      <pageMargins left="0.59055118110236227" right="0.59055118110236227" top="1.1811023622047245" bottom="0.59055118110236227" header="0.11811023622047245" footer="0.31496062992125984"/>
      <pageSetup paperSize="9" scale="37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I3:J3"/>
    <mergeCell ref="O3:R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6" orientation="landscape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F140"/>
  <sheetViews>
    <sheetView zoomScale="70" zoomScaleNormal="86" workbookViewId="0">
      <pane ySplit="4" topLeftCell="A14" activePane="bottomLeft" state="frozen"/>
      <selection pane="bottomLeft" activeCell="T53" sqref="T53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3.85546875" style="2" bestFit="1" customWidth="1"/>
    <col min="4" max="5" width="14.28515625" style="2" bestFit="1" customWidth="1"/>
    <col min="6" max="6" width="14.140625" style="2" bestFit="1" customWidth="1"/>
    <col min="7" max="7" width="12.85546875" style="6" bestFit="1" customWidth="1"/>
    <col min="8" max="8" width="13.140625" style="6" bestFit="1" customWidth="1"/>
    <col min="9" max="9" width="12.85546875" style="6" bestFit="1" customWidth="1"/>
    <col min="10" max="10" width="13.140625" style="6" bestFit="1" customWidth="1"/>
    <col min="11" max="11" width="13.85546875" style="2" bestFit="1" customWidth="1"/>
    <col min="12" max="13" width="13.85546875" style="2" customWidth="1"/>
    <col min="14" max="14" width="14.28515625" style="2" bestFit="1" customWidth="1"/>
    <col min="15" max="15" width="12.85546875" style="2" bestFit="1" customWidth="1"/>
    <col min="16" max="16" width="13.140625" style="252" bestFit="1" customWidth="1"/>
    <col min="17" max="17" width="15" style="2" bestFit="1" customWidth="1"/>
    <col min="18" max="18" width="13.140625" style="2" bestFit="1" customWidth="1"/>
    <col min="19" max="20" width="14.28515625" style="2" bestFit="1" customWidth="1"/>
    <col min="21" max="21" width="16.28515625" style="2" bestFit="1" customWidth="1"/>
    <col min="22" max="22" width="15.85546875" style="2" bestFit="1" customWidth="1"/>
    <col min="23" max="23" width="14.28515625" style="2" bestFit="1" customWidth="1"/>
    <col min="24" max="24" width="13.140625" style="2" bestFit="1" customWidth="1"/>
    <col min="25" max="25" width="15.85546875" style="2" bestFit="1" customWidth="1"/>
    <col min="26" max="26" width="16.28515625" style="2" bestFit="1" customWidth="1"/>
    <col min="27" max="27" width="36.140625" style="2" customWidth="1"/>
    <col min="28" max="28" width="7.7109375" style="2" bestFit="1" customWidth="1"/>
    <col min="29" max="29" width="5.140625" style="4" customWidth="1"/>
    <col min="30" max="30" width="23.42578125" style="4" bestFit="1" customWidth="1"/>
    <col min="31" max="31" width="11.42578125" style="2"/>
    <col min="32" max="32" width="34.85546875" style="2" bestFit="1" customWidth="1"/>
    <col min="33" max="16384" width="11.42578125" style="2"/>
  </cols>
  <sheetData>
    <row r="1" spans="1:32" ht="34.15" customHeight="1" x14ac:dyDescent="0.25">
      <c r="A1" s="104" t="s">
        <v>55</v>
      </c>
      <c r="G1" s="2"/>
      <c r="H1" s="521">
        <v>45505</v>
      </c>
      <c r="I1" s="521"/>
      <c r="J1" s="521"/>
      <c r="K1" s="521"/>
      <c r="L1" s="435"/>
      <c r="M1" s="435"/>
      <c r="P1" s="230"/>
    </row>
    <row r="2" spans="1:32" ht="21" thickBot="1" x14ac:dyDescent="0.3">
      <c r="A2" s="105"/>
      <c r="P2" s="230"/>
    </row>
    <row r="3" spans="1:32" s="8" customFormat="1" ht="45.75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3" t="s">
        <v>53</v>
      </c>
      <c r="J3" s="514"/>
      <c r="K3" s="513" t="s">
        <v>25</v>
      </c>
      <c r="L3" s="515"/>
      <c r="M3" s="515"/>
      <c r="N3" s="514"/>
      <c r="O3" s="513" t="s">
        <v>30</v>
      </c>
      <c r="P3" s="526"/>
      <c r="Q3" s="526"/>
      <c r="R3" s="527"/>
      <c r="S3" s="515" t="s">
        <v>2</v>
      </c>
      <c r="T3" s="515"/>
      <c r="U3" s="522" t="s">
        <v>29</v>
      </c>
      <c r="V3" s="523"/>
      <c r="W3" s="513" t="s">
        <v>26</v>
      </c>
      <c r="X3" s="514"/>
      <c r="Y3" s="524" t="s">
        <v>27</v>
      </c>
      <c r="Z3" s="525"/>
      <c r="AA3" s="513" t="s">
        <v>0</v>
      </c>
      <c r="AB3" s="515"/>
      <c r="AC3" s="515"/>
      <c r="AD3" s="514"/>
      <c r="AF3" s="356" t="s">
        <v>80</v>
      </c>
    </row>
    <row r="4" spans="1:32" s="4" customFormat="1" ht="18.600000000000001" customHeight="1" x14ac:dyDescent="0.25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449" t="s">
        <v>69</v>
      </c>
      <c r="M4" s="237" t="s">
        <v>70</v>
      </c>
      <c r="N4" s="12" t="s">
        <v>21</v>
      </c>
      <c r="O4" s="11" t="s">
        <v>68</v>
      </c>
      <c r="P4" s="237" t="s">
        <v>69</v>
      </c>
      <c r="Q4" s="243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19" t="s">
        <v>4</v>
      </c>
      <c r="AC4" s="520"/>
      <c r="AD4" s="14" t="s">
        <v>5</v>
      </c>
    </row>
    <row r="5" spans="1:32" s="230" customFormat="1" ht="18.600000000000001" customHeight="1" x14ac:dyDescent="0.25">
      <c r="A5" s="23">
        <v>1</v>
      </c>
      <c r="B5" s="24" t="s">
        <v>15</v>
      </c>
      <c r="C5" s="25">
        <v>4276.5</v>
      </c>
      <c r="D5" s="26">
        <v>4193.5483869999998</v>
      </c>
      <c r="E5" s="25">
        <v>18084.8</v>
      </c>
      <c r="F5" s="27">
        <v>12903.2258</v>
      </c>
      <c r="G5" s="28">
        <v>1109.8</v>
      </c>
      <c r="H5" s="27">
        <v>806.45159999999998</v>
      </c>
      <c r="I5" s="28">
        <v>0</v>
      </c>
      <c r="J5" s="27">
        <v>0</v>
      </c>
      <c r="K5" s="25">
        <v>0</v>
      </c>
      <c r="L5" s="81"/>
      <c r="M5" s="239">
        <f>K5+L5</f>
        <v>0</v>
      </c>
      <c r="N5" s="26">
        <v>5161.2903200000001</v>
      </c>
      <c r="O5" s="481">
        <v>0</v>
      </c>
      <c r="P5" s="168">
        <v>0</v>
      </c>
      <c r="Q5" s="28">
        <f t="shared" ref="Q5:Q8" si="0">O5+P5</f>
        <v>0</v>
      </c>
      <c r="R5" s="26">
        <v>1935.48387</v>
      </c>
      <c r="S5" s="25">
        <v>12779.7</v>
      </c>
      <c r="T5" s="26">
        <v>7564.5161289999996</v>
      </c>
      <c r="U5" s="183">
        <f>SUM(C5+E5+G5+I5+M5+Q5+S5)</f>
        <v>36250.800000000003</v>
      </c>
      <c r="V5" s="90">
        <f>SUM(D5+F5+H5+J5+N5+R5+T5)</f>
        <v>32564.516105999999</v>
      </c>
      <c r="W5" s="25">
        <v>450.2</v>
      </c>
      <c r="X5" s="26">
        <v>2741.9354800000001</v>
      </c>
      <c r="Y5" s="92">
        <f>SUM(U5+W5)</f>
        <v>36701</v>
      </c>
      <c r="Z5" s="234">
        <f t="shared" ref="Y5:Z8" si="1">SUM(V5+X5)</f>
        <v>35306.451585999996</v>
      </c>
      <c r="AA5" s="29" t="s">
        <v>138</v>
      </c>
      <c r="AB5" s="30">
        <v>26</v>
      </c>
      <c r="AC5" s="31" t="s">
        <v>7</v>
      </c>
      <c r="AD5" s="32" t="s">
        <v>131</v>
      </c>
      <c r="AF5" s="389">
        <f t="shared" ref="AF5:AF39" si="2">C5+E5+G5+I5+K5+O5+W5</f>
        <v>23921.3</v>
      </c>
    </row>
    <row r="6" spans="1:32" s="230" customFormat="1" ht="18.600000000000001" customHeight="1" x14ac:dyDescent="0.25">
      <c r="A6" s="47">
        <f t="shared" ref="A6:A8" si="3">SUM(A5+1)</f>
        <v>2</v>
      </c>
      <c r="B6" s="225" t="s">
        <v>6</v>
      </c>
      <c r="C6" s="20">
        <v>5385.7</v>
      </c>
      <c r="D6" s="217">
        <v>4193.5483869999998</v>
      </c>
      <c r="E6" s="20">
        <v>9064</v>
      </c>
      <c r="F6" s="218">
        <v>12903.2258</v>
      </c>
      <c r="G6" s="226">
        <v>772.8</v>
      </c>
      <c r="H6" s="218">
        <v>806.45159999999998</v>
      </c>
      <c r="I6" s="226">
        <v>2589</v>
      </c>
      <c r="J6" s="218">
        <v>3000</v>
      </c>
      <c r="K6" s="20">
        <v>9715.7000000000007</v>
      </c>
      <c r="L6" s="122"/>
      <c r="M6" s="250">
        <f t="shared" ref="M6:M8" si="4">K6+L6</f>
        <v>9715.7000000000007</v>
      </c>
      <c r="N6" s="217">
        <v>5161.2903200000001</v>
      </c>
      <c r="O6" s="20">
        <v>0</v>
      </c>
      <c r="P6" s="250">
        <v>0</v>
      </c>
      <c r="Q6" s="226">
        <f t="shared" si="0"/>
        <v>0</v>
      </c>
      <c r="R6" s="217">
        <v>1935.48387</v>
      </c>
      <c r="S6" s="20">
        <v>10804.7</v>
      </c>
      <c r="T6" s="217">
        <v>7564.5161289999996</v>
      </c>
      <c r="U6" s="219">
        <f t="shared" ref="U6:U8" si="5">SUM(C6+E6+G6+I6+M6+Q6+S6)</f>
        <v>38331.9</v>
      </c>
      <c r="V6" s="220">
        <f>SUM(D6+F6+H6+J6+N6+R6+T6)</f>
        <v>35564.516105999995</v>
      </c>
      <c r="W6" s="20">
        <v>2330.1999999999998</v>
      </c>
      <c r="X6" s="217">
        <v>2741.9354800000001</v>
      </c>
      <c r="Y6" s="109">
        <f>SUM(U6+W6)</f>
        <v>40662.1</v>
      </c>
      <c r="Z6" s="110">
        <f t="shared" si="1"/>
        <v>38306.451585999996</v>
      </c>
      <c r="AA6" s="50" t="s">
        <v>138</v>
      </c>
      <c r="AB6" s="51">
        <v>28</v>
      </c>
      <c r="AC6" s="228" t="s">
        <v>7</v>
      </c>
      <c r="AD6" s="229"/>
      <c r="AF6" s="389">
        <f t="shared" si="2"/>
        <v>29857.4</v>
      </c>
    </row>
    <row r="7" spans="1:32" ht="18.600000000000001" customHeight="1" x14ac:dyDescent="0.25">
      <c r="A7" s="23">
        <f t="shared" si="3"/>
        <v>3</v>
      </c>
      <c r="B7" s="24" t="s">
        <v>8</v>
      </c>
      <c r="C7" s="25">
        <v>2333</v>
      </c>
      <c r="D7" s="26">
        <v>4193.5483869999998</v>
      </c>
      <c r="E7" s="25">
        <v>19821.2</v>
      </c>
      <c r="F7" s="27">
        <v>12903.2258</v>
      </c>
      <c r="G7" s="28">
        <v>1749</v>
      </c>
      <c r="H7" s="27">
        <v>806.45159999999998</v>
      </c>
      <c r="I7" s="28">
        <v>3840</v>
      </c>
      <c r="J7" s="27">
        <v>3000</v>
      </c>
      <c r="K7" s="25">
        <v>17677.400000000001</v>
      </c>
      <c r="L7" s="81"/>
      <c r="M7" s="239">
        <f t="shared" si="4"/>
        <v>17677.400000000001</v>
      </c>
      <c r="N7" s="26">
        <v>5161.2903200000001</v>
      </c>
      <c r="O7" s="25">
        <v>0</v>
      </c>
      <c r="P7" s="28">
        <v>0</v>
      </c>
      <c r="Q7" s="28">
        <f t="shared" si="0"/>
        <v>0</v>
      </c>
      <c r="R7" s="26">
        <v>1935.48387</v>
      </c>
      <c r="S7" s="25">
        <v>12067.8</v>
      </c>
      <c r="T7" s="26">
        <v>7564.5161289999996</v>
      </c>
      <c r="U7" s="183">
        <f t="shared" si="5"/>
        <v>57488.400000000009</v>
      </c>
      <c r="V7" s="90">
        <f>SUM(D7+F7+H7+J7+N7+R7+T7)</f>
        <v>35564.516105999995</v>
      </c>
      <c r="W7" s="25">
        <v>4183</v>
      </c>
      <c r="X7" s="26">
        <v>2741.9354800000001</v>
      </c>
      <c r="Y7" s="92">
        <f t="shared" si="1"/>
        <v>61671.400000000009</v>
      </c>
      <c r="Z7" s="94">
        <f t="shared" si="1"/>
        <v>38306.451585999996</v>
      </c>
      <c r="AA7" s="29" t="s">
        <v>58</v>
      </c>
      <c r="AB7" s="30">
        <v>25</v>
      </c>
      <c r="AC7" s="31" t="s">
        <v>7</v>
      </c>
      <c r="AD7" s="32"/>
      <c r="AF7" s="389">
        <f t="shared" si="2"/>
        <v>49603.600000000006</v>
      </c>
    </row>
    <row r="8" spans="1:32" ht="18.600000000000001" customHeight="1" x14ac:dyDescent="0.25">
      <c r="A8" s="23">
        <f t="shared" si="3"/>
        <v>4</v>
      </c>
      <c r="B8" s="24" t="s">
        <v>9</v>
      </c>
      <c r="C8" s="25">
        <v>928.5</v>
      </c>
      <c r="D8" s="26">
        <v>4193.5483869999998</v>
      </c>
      <c r="E8" s="25">
        <v>22467.9</v>
      </c>
      <c r="F8" s="27">
        <v>12903.2258</v>
      </c>
      <c r="G8" s="28">
        <v>1583</v>
      </c>
      <c r="H8" s="27">
        <v>806.45159999999998</v>
      </c>
      <c r="I8" s="28">
        <v>0</v>
      </c>
      <c r="J8" s="27">
        <v>0</v>
      </c>
      <c r="K8" s="25">
        <v>0</v>
      </c>
      <c r="L8" s="81"/>
      <c r="M8" s="239">
        <f t="shared" si="4"/>
        <v>0</v>
      </c>
      <c r="N8" s="26">
        <v>5161.2903200000001</v>
      </c>
      <c r="O8" s="25">
        <v>0</v>
      </c>
      <c r="P8" s="28">
        <v>0</v>
      </c>
      <c r="Q8" s="28">
        <f t="shared" si="0"/>
        <v>0</v>
      </c>
      <c r="R8" s="26">
        <v>1935.48387</v>
      </c>
      <c r="S8" s="25">
        <v>7281.8</v>
      </c>
      <c r="T8" s="26">
        <v>7564.5161289999996</v>
      </c>
      <c r="U8" s="183">
        <f t="shared" si="5"/>
        <v>32261.200000000001</v>
      </c>
      <c r="V8" s="90">
        <f>SUM(D8+F8+H8+J8+N8+R8+T8)</f>
        <v>32564.516105999999</v>
      </c>
      <c r="W8" s="25">
        <v>5113.3999999999996</v>
      </c>
      <c r="X8" s="26">
        <v>2741.9354800000001</v>
      </c>
      <c r="Y8" s="92">
        <f>SUM(U8+W8)</f>
        <v>37374.6</v>
      </c>
      <c r="Z8" s="94">
        <f t="shared" si="1"/>
        <v>35306.451585999996</v>
      </c>
      <c r="AA8" s="29" t="s">
        <v>60</v>
      </c>
      <c r="AB8" s="30">
        <v>25</v>
      </c>
      <c r="AC8" s="31" t="s">
        <v>7</v>
      </c>
      <c r="AD8" s="32"/>
      <c r="AF8" s="389">
        <f t="shared" si="2"/>
        <v>30092.800000000003</v>
      </c>
    </row>
    <row r="9" spans="1:32" ht="18.600000000000001" customHeight="1" x14ac:dyDescent="0.25">
      <c r="A9" s="33" t="s">
        <v>10</v>
      </c>
      <c r="B9" s="34">
        <f>SUM(30+1)</f>
        <v>31</v>
      </c>
      <c r="C9" s="35">
        <f t="shared" ref="C9:K9" si="6">SUM(C5:C8)</f>
        <v>12923.7</v>
      </c>
      <c r="D9" s="36">
        <f t="shared" si="6"/>
        <v>16774.193547999999</v>
      </c>
      <c r="E9" s="35">
        <f t="shared" si="6"/>
        <v>69437.899999999994</v>
      </c>
      <c r="F9" s="36">
        <f t="shared" si="6"/>
        <v>51612.903200000001</v>
      </c>
      <c r="G9" s="35">
        <f t="shared" si="6"/>
        <v>5214.6000000000004</v>
      </c>
      <c r="H9" s="36">
        <f t="shared" si="6"/>
        <v>3225.8063999999999</v>
      </c>
      <c r="I9" s="35">
        <f t="shared" si="6"/>
        <v>6429</v>
      </c>
      <c r="J9" s="36">
        <f t="shared" si="6"/>
        <v>6000</v>
      </c>
      <c r="K9" s="35">
        <f t="shared" si="6"/>
        <v>27393.100000000002</v>
      </c>
      <c r="L9" s="82">
        <f t="shared" ref="L9:M9" si="7">SUM(L5:L8)</f>
        <v>0</v>
      </c>
      <c r="M9" s="297">
        <f t="shared" si="7"/>
        <v>27393.100000000002</v>
      </c>
      <c r="N9" s="36">
        <f t="shared" ref="N9:Z9" si="8">SUM(N5:N8)</f>
        <v>20645.16128</v>
      </c>
      <c r="O9" s="35">
        <f t="shared" si="8"/>
        <v>0</v>
      </c>
      <c r="P9" s="290">
        <f t="shared" si="8"/>
        <v>0</v>
      </c>
      <c r="Q9" s="36">
        <f t="shared" si="8"/>
        <v>0</v>
      </c>
      <c r="R9" s="36">
        <f t="shared" si="8"/>
        <v>7741.9354800000001</v>
      </c>
      <c r="S9" s="35">
        <f t="shared" si="8"/>
        <v>42934</v>
      </c>
      <c r="T9" s="36">
        <f t="shared" si="8"/>
        <v>30258.064515999999</v>
      </c>
      <c r="U9" s="35">
        <f t="shared" si="8"/>
        <v>164332.30000000005</v>
      </c>
      <c r="V9" s="36">
        <f t="shared" si="8"/>
        <v>136258.06442399998</v>
      </c>
      <c r="W9" s="35">
        <f t="shared" si="8"/>
        <v>12076.8</v>
      </c>
      <c r="X9" s="36">
        <f t="shared" si="8"/>
        <v>10967.74192</v>
      </c>
      <c r="Y9" s="35">
        <f t="shared" si="8"/>
        <v>176409.1</v>
      </c>
      <c r="Z9" s="36">
        <f t="shared" si="8"/>
        <v>147225.80634399998</v>
      </c>
      <c r="AA9" s="39" t="s">
        <v>11</v>
      </c>
      <c r="AB9" s="40">
        <f>SUM(AB5:AB8)/6</f>
        <v>17.333333333333332</v>
      </c>
      <c r="AC9" s="41" t="s">
        <v>7</v>
      </c>
      <c r="AD9" s="42"/>
      <c r="AF9" s="223"/>
    </row>
    <row r="10" spans="1:32" ht="18.600000000000001" customHeight="1" x14ac:dyDescent="0.25">
      <c r="A10" s="44">
        <f>SUM(A8+1)</f>
        <v>5</v>
      </c>
      <c r="B10" s="15" t="s">
        <v>12</v>
      </c>
      <c r="C10" s="49">
        <v>2334.3000000000002</v>
      </c>
      <c r="D10" s="17">
        <v>4193.5483869999998</v>
      </c>
      <c r="E10" s="49">
        <v>15260.3</v>
      </c>
      <c r="F10" s="218">
        <v>12903.2258</v>
      </c>
      <c r="G10" s="19">
        <v>640.1</v>
      </c>
      <c r="H10" s="18">
        <v>806.45159999999998</v>
      </c>
      <c r="I10" s="19">
        <v>0</v>
      </c>
      <c r="J10" s="218">
        <v>0</v>
      </c>
      <c r="K10" s="16">
        <v>0</v>
      </c>
      <c r="L10" s="80"/>
      <c r="M10" s="238">
        <f t="shared" ref="M10:M16" si="9">K10+L10</f>
        <v>0</v>
      </c>
      <c r="N10" s="217">
        <v>5161.2903200000001</v>
      </c>
      <c r="O10" s="16">
        <v>350</v>
      </c>
      <c r="P10" s="250">
        <v>0</v>
      </c>
      <c r="Q10" s="19">
        <f t="shared" ref="Q10:Q16" si="10">O10+P10</f>
        <v>350</v>
      </c>
      <c r="R10" s="17">
        <v>1935.48387</v>
      </c>
      <c r="S10" s="16">
        <v>10840.5</v>
      </c>
      <c r="T10" s="217">
        <v>7564.5161289999996</v>
      </c>
      <c r="U10" s="91">
        <f t="shared" ref="U10:U16" si="11">SUM(C10+E10+G10+I10+M10+Q10+S10)</f>
        <v>29425.199999999997</v>
      </c>
      <c r="V10" s="89">
        <f t="shared" ref="V10:V16" si="12">SUM(D10+F10+H10+J10+N10+R10+T10)</f>
        <v>32564.516105999999</v>
      </c>
      <c r="W10" s="16">
        <v>5345.3</v>
      </c>
      <c r="X10" s="217">
        <v>2741.9354800000001</v>
      </c>
      <c r="Y10" s="109">
        <f>SUM(U10+W10)</f>
        <v>34770.5</v>
      </c>
      <c r="Z10" s="110">
        <f t="shared" ref="Y10:Z16" si="13">SUM(V10+X10)</f>
        <v>35306.451585999996</v>
      </c>
      <c r="AA10" s="45" t="s">
        <v>58</v>
      </c>
      <c r="AB10" s="46">
        <v>28</v>
      </c>
      <c r="AC10" s="21" t="s">
        <v>7</v>
      </c>
      <c r="AD10" s="22"/>
      <c r="AF10" s="223">
        <f t="shared" si="2"/>
        <v>23929.999999999996</v>
      </c>
    </row>
    <row r="11" spans="1:32" s="43" customFormat="1" ht="18.600000000000001" customHeight="1" x14ac:dyDescent="0.25">
      <c r="A11" s="47">
        <f t="shared" ref="A11:A16" si="14">SUM(A10+1)</f>
        <v>6</v>
      </c>
      <c r="B11" s="15" t="s">
        <v>13</v>
      </c>
      <c r="C11" s="16">
        <v>1932.9</v>
      </c>
      <c r="D11" s="17">
        <v>4193.5483869999998</v>
      </c>
      <c r="E11" s="16">
        <v>16923.099999999999</v>
      </c>
      <c r="F11" s="218">
        <v>12903.2258</v>
      </c>
      <c r="G11" s="19">
        <v>1362.4</v>
      </c>
      <c r="H11" s="18">
        <v>806.45159999999998</v>
      </c>
      <c r="I11" s="19">
        <v>0</v>
      </c>
      <c r="J11" s="218">
        <v>0</v>
      </c>
      <c r="K11" s="16">
        <v>0</v>
      </c>
      <c r="L11" s="80"/>
      <c r="M11" s="238">
        <f t="shared" si="9"/>
        <v>0</v>
      </c>
      <c r="N11" s="217">
        <v>5161.2903200000001</v>
      </c>
      <c r="O11" s="20">
        <v>231.7</v>
      </c>
      <c r="P11" s="250">
        <v>1693</v>
      </c>
      <c r="Q11" s="226">
        <f t="shared" si="10"/>
        <v>1924.7</v>
      </c>
      <c r="R11" s="17">
        <v>1935.48387</v>
      </c>
      <c r="S11" s="16">
        <v>11726.2</v>
      </c>
      <c r="T11" s="217">
        <v>7564.5161289999996</v>
      </c>
      <c r="U11" s="91">
        <f t="shared" si="11"/>
        <v>33869.300000000003</v>
      </c>
      <c r="V11" s="89">
        <f t="shared" si="12"/>
        <v>32564.516105999999</v>
      </c>
      <c r="W11" s="16">
        <v>8569.7999999999993</v>
      </c>
      <c r="X11" s="217">
        <v>2741.9354800000001</v>
      </c>
      <c r="Y11" s="109">
        <f>SUM(U11+W11)</f>
        <v>42439.100000000006</v>
      </c>
      <c r="Z11" s="110">
        <f t="shared" si="13"/>
        <v>35306.451585999996</v>
      </c>
      <c r="AA11" s="45" t="s">
        <v>58</v>
      </c>
      <c r="AB11" s="46">
        <v>29</v>
      </c>
      <c r="AC11" s="21" t="s">
        <v>7</v>
      </c>
      <c r="AD11" s="22"/>
      <c r="AF11" s="223">
        <f t="shared" si="2"/>
        <v>29019.9</v>
      </c>
    </row>
    <row r="12" spans="1:32" ht="18.600000000000001" customHeight="1" x14ac:dyDescent="0.25">
      <c r="A12" s="47">
        <f t="shared" si="14"/>
        <v>7</v>
      </c>
      <c r="B12" s="15" t="s">
        <v>14</v>
      </c>
      <c r="C12" s="16">
        <v>4101.2</v>
      </c>
      <c r="D12" s="17">
        <v>4193.5483869999998</v>
      </c>
      <c r="E12" s="16">
        <v>10825.3</v>
      </c>
      <c r="F12" s="218">
        <v>12903.2258</v>
      </c>
      <c r="G12" s="19">
        <v>943.2</v>
      </c>
      <c r="H12" s="18">
        <v>806.45159999999998</v>
      </c>
      <c r="I12" s="19">
        <v>0</v>
      </c>
      <c r="J12" s="218">
        <v>0</v>
      </c>
      <c r="K12" s="16">
        <v>0</v>
      </c>
      <c r="L12" s="80"/>
      <c r="M12" s="238">
        <f t="shared" si="9"/>
        <v>0</v>
      </c>
      <c r="N12" s="217">
        <v>5161.2903200000001</v>
      </c>
      <c r="O12" s="20">
        <v>8</v>
      </c>
      <c r="P12" s="250">
        <v>777</v>
      </c>
      <c r="Q12" s="226">
        <f t="shared" si="10"/>
        <v>785</v>
      </c>
      <c r="R12" s="17">
        <v>1935.48387</v>
      </c>
      <c r="S12" s="16">
        <v>8766.4</v>
      </c>
      <c r="T12" s="217">
        <v>7564.5161289999996</v>
      </c>
      <c r="U12" s="91">
        <f t="shared" si="11"/>
        <v>25421.1</v>
      </c>
      <c r="V12" s="89">
        <f t="shared" si="12"/>
        <v>32564.516105999999</v>
      </c>
      <c r="W12" s="16">
        <v>0</v>
      </c>
      <c r="X12" s="217">
        <v>2741.9354800000001</v>
      </c>
      <c r="Y12" s="109">
        <f>SUM(U12+W12)</f>
        <v>25421.1</v>
      </c>
      <c r="Z12" s="110">
        <f t="shared" si="13"/>
        <v>35306.451585999996</v>
      </c>
      <c r="AA12" s="45" t="s">
        <v>185</v>
      </c>
      <c r="AB12" s="46">
        <v>22</v>
      </c>
      <c r="AC12" s="21" t="s">
        <v>7</v>
      </c>
      <c r="AD12" s="22"/>
      <c r="AF12" s="223">
        <f t="shared" si="2"/>
        <v>15877.7</v>
      </c>
    </row>
    <row r="13" spans="1:32" ht="18.600000000000001" customHeight="1" x14ac:dyDescent="0.25">
      <c r="A13" s="47">
        <f t="shared" si="14"/>
        <v>8</v>
      </c>
      <c r="B13" s="15" t="s">
        <v>15</v>
      </c>
      <c r="C13" s="16">
        <v>2281.1999999999998</v>
      </c>
      <c r="D13" s="17">
        <v>4193.5483869999998</v>
      </c>
      <c r="E13" s="16">
        <v>17322.8</v>
      </c>
      <c r="F13" s="218">
        <v>12903.2258</v>
      </c>
      <c r="G13" s="19">
        <v>822.7</v>
      </c>
      <c r="H13" s="18">
        <v>806.45159999999998</v>
      </c>
      <c r="I13" s="19">
        <v>0</v>
      </c>
      <c r="J13" s="218">
        <v>0</v>
      </c>
      <c r="K13" s="16">
        <v>7031.5</v>
      </c>
      <c r="L13" s="80"/>
      <c r="M13" s="238">
        <f t="shared" si="9"/>
        <v>7031.5</v>
      </c>
      <c r="N13" s="217">
        <v>5161.2903200000001</v>
      </c>
      <c r="O13" s="20">
        <v>126.5</v>
      </c>
      <c r="P13" s="250">
        <v>1184</v>
      </c>
      <c r="Q13" s="226">
        <f t="shared" si="10"/>
        <v>1310.5</v>
      </c>
      <c r="R13" s="17">
        <v>1935.48387</v>
      </c>
      <c r="S13" s="16">
        <v>9700.9500000000007</v>
      </c>
      <c r="T13" s="217">
        <v>7564.5161289999996</v>
      </c>
      <c r="U13" s="91">
        <f t="shared" si="11"/>
        <v>38469.65</v>
      </c>
      <c r="V13" s="89">
        <f t="shared" si="12"/>
        <v>32564.516105999999</v>
      </c>
      <c r="W13" s="16">
        <v>1200.5999999999999</v>
      </c>
      <c r="X13" s="217">
        <v>2741.9354800000001</v>
      </c>
      <c r="Y13" s="109">
        <f>SUM(U13+W13)</f>
        <v>39670.25</v>
      </c>
      <c r="Z13" s="110">
        <f t="shared" si="13"/>
        <v>35306.451585999996</v>
      </c>
      <c r="AA13" s="45" t="s">
        <v>60</v>
      </c>
      <c r="AB13" s="46">
        <v>21</v>
      </c>
      <c r="AC13" s="21" t="s">
        <v>7</v>
      </c>
      <c r="AD13" s="22"/>
      <c r="AF13" s="223">
        <f t="shared" si="2"/>
        <v>28785.3</v>
      </c>
    </row>
    <row r="14" spans="1:32" ht="18.600000000000001" customHeight="1" x14ac:dyDescent="0.25">
      <c r="A14" s="47">
        <f t="shared" si="14"/>
        <v>9</v>
      </c>
      <c r="B14" s="52" t="s">
        <v>6</v>
      </c>
      <c r="C14" s="16">
        <v>2437.1</v>
      </c>
      <c r="D14" s="17">
        <v>4193.5483869999998</v>
      </c>
      <c r="E14" s="16">
        <v>21152.5</v>
      </c>
      <c r="F14" s="218">
        <v>12903.2258</v>
      </c>
      <c r="G14" s="19">
        <v>1206.5999999999999</v>
      </c>
      <c r="H14" s="18">
        <v>806.45159999999998</v>
      </c>
      <c r="I14" s="19">
        <v>4711</v>
      </c>
      <c r="J14" s="218">
        <v>3000</v>
      </c>
      <c r="K14" s="16">
        <v>13635.7</v>
      </c>
      <c r="L14" s="80"/>
      <c r="M14" s="238">
        <f t="shared" si="9"/>
        <v>13635.7</v>
      </c>
      <c r="N14" s="217">
        <v>5161.2903200000001</v>
      </c>
      <c r="O14" s="16">
        <v>0</v>
      </c>
      <c r="P14" s="250">
        <v>1288</v>
      </c>
      <c r="Q14" s="19">
        <f t="shared" si="10"/>
        <v>1288</v>
      </c>
      <c r="R14" s="17">
        <v>1935.48387</v>
      </c>
      <c r="S14" s="16">
        <v>11533</v>
      </c>
      <c r="T14" s="217">
        <v>7564.5161289999996</v>
      </c>
      <c r="U14" s="91">
        <f t="shared" si="11"/>
        <v>55963.899999999994</v>
      </c>
      <c r="V14" s="89">
        <f t="shared" si="12"/>
        <v>35564.516105999995</v>
      </c>
      <c r="W14" s="16">
        <v>7399.3</v>
      </c>
      <c r="X14" s="217">
        <v>2741.9354800000001</v>
      </c>
      <c r="Y14" s="109">
        <f>SUM(U14+W14)</f>
        <v>63363.199999999997</v>
      </c>
      <c r="Z14" s="110">
        <f t="shared" si="13"/>
        <v>38306.451585999996</v>
      </c>
      <c r="AA14" s="45" t="s">
        <v>58</v>
      </c>
      <c r="AB14" s="46">
        <v>29</v>
      </c>
      <c r="AC14" s="21" t="s">
        <v>7</v>
      </c>
      <c r="AD14" s="22"/>
      <c r="AF14" s="223">
        <f t="shared" si="2"/>
        <v>50542.2</v>
      </c>
    </row>
    <row r="15" spans="1:32" ht="18.600000000000001" customHeight="1" x14ac:dyDescent="0.25">
      <c r="A15" s="23">
        <f t="shared" si="14"/>
        <v>10</v>
      </c>
      <c r="B15" s="24" t="s">
        <v>8</v>
      </c>
      <c r="C15" s="25">
        <v>4009.5</v>
      </c>
      <c r="D15" s="26">
        <v>4193.5483869999998</v>
      </c>
      <c r="E15" s="25">
        <v>24650.22</v>
      </c>
      <c r="F15" s="27">
        <v>12903.2258</v>
      </c>
      <c r="G15" s="28">
        <v>1018.1</v>
      </c>
      <c r="H15" s="27">
        <v>806.45159999999998</v>
      </c>
      <c r="I15" s="28">
        <v>3068.5</v>
      </c>
      <c r="J15" s="27">
        <v>3000</v>
      </c>
      <c r="K15" s="25">
        <v>7305.5</v>
      </c>
      <c r="L15" s="81"/>
      <c r="M15" s="239">
        <f t="shared" si="9"/>
        <v>7305.5</v>
      </c>
      <c r="N15" s="26">
        <v>5161.2903200000001</v>
      </c>
      <c r="O15" s="25">
        <v>740.1</v>
      </c>
      <c r="P15" s="28">
        <v>635</v>
      </c>
      <c r="Q15" s="28">
        <f t="shared" si="10"/>
        <v>1375.1</v>
      </c>
      <c r="R15" s="26">
        <v>1935.48387</v>
      </c>
      <c r="S15" s="25">
        <v>13600.1</v>
      </c>
      <c r="T15" s="26">
        <v>7564.5161289999996</v>
      </c>
      <c r="U15" s="183">
        <f t="shared" si="11"/>
        <v>55027.02</v>
      </c>
      <c r="V15" s="90">
        <f t="shared" si="12"/>
        <v>35564.516105999995</v>
      </c>
      <c r="W15" s="25">
        <v>9608.7000000000007</v>
      </c>
      <c r="X15" s="26">
        <v>2741.9354800000001</v>
      </c>
      <c r="Y15" s="92">
        <f t="shared" si="13"/>
        <v>64635.72</v>
      </c>
      <c r="Z15" s="94">
        <f t="shared" si="13"/>
        <v>38306.451585999996</v>
      </c>
      <c r="AA15" s="29" t="s">
        <v>58</v>
      </c>
      <c r="AB15" s="30">
        <v>29</v>
      </c>
      <c r="AC15" s="31" t="s">
        <v>7</v>
      </c>
      <c r="AD15" s="32"/>
      <c r="AF15" s="223">
        <f t="shared" si="2"/>
        <v>50400.619999999995</v>
      </c>
    </row>
    <row r="16" spans="1:32" ht="18.600000000000001" customHeight="1" x14ac:dyDescent="0.25">
      <c r="A16" s="23">
        <f t="shared" si="14"/>
        <v>11</v>
      </c>
      <c r="B16" s="24" t="s">
        <v>9</v>
      </c>
      <c r="C16" s="25">
        <v>1851.3</v>
      </c>
      <c r="D16" s="26">
        <v>4193.5483869999998</v>
      </c>
      <c r="E16" s="25">
        <v>20880.400000000001</v>
      </c>
      <c r="F16" s="27">
        <v>12903.2258</v>
      </c>
      <c r="G16" s="28">
        <v>1544.4</v>
      </c>
      <c r="H16" s="27">
        <v>806.45159999999998</v>
      </c>
      <c r="I16" s="28">
        <v>0</v>
      </c>
      <c r="J16" s="27">
        <v>0</v>
      </c>
      <c r="K16" s="25">
        <v>1095.5</v>
      </c>
      <c r="L16" s="81"/>
      <c r="M16" s="239">
        <f t="shared" si="9"/>
        <v>1095.5</v>
      </c>
      <c r="N16" s="26">
        <v>5161.2903200000001</v>
      </c>
      <c r="O16" s="25">
        <v>0</v>
      </c>
      <c r="P16" s="28">
        <v>0</v>
      </c>
      <c r="Q16" s="28">
        <f t="shared" si="10"/>
        <v>0</v>
      </c>
      <c r="R16" s="26">
        <v>1935.48387</v>
      </c>
      <c r="S16" s="25">
        <v>7051.8</v>
      </c>
      <c r="T16" s="26">
        <v>7564.5161289999996</v>
      </c>
      <c r="U16" s="183">
        <f t="shared" si="11"/>
        <v>32423.4</v>
      </c>
      <c r="V16" s="90">
        <f t="shared" si="12"/>
        <v>32564.516105999999</v>
      </c>
      <c r="W16" s="25">
        <v>13391.9</v>
      </c>
      <c r="X16" s="26">
        <v>2741.9354800000001</v>
      </c>
      <c r="Y16" s="92">
        <f t="shared" si="13"/>
        <v>45815.3</v>
      </c>
      <c r="Z16" s="94">
        <f t="shared" si="13"/>
        <v>35306.451585999996</v>
      </c>
      <c r="AA16" s="29" t="s">
        <v>58</v>
      </c>
      <c r="AB16" s="30">
        <v>30</v>
      </c>
      <c r="AC16" s="31" t="s">
        <v>7</v>
      </c>
      <c r="AD16" s="32"/>
      <c r="AF16" s="223">
        <f>C16+E16+G16+I16+K16+O16+W16</f>
        <v>38763.5</v>
      </c>
    </row>
    <row r="17" spans="1:32" ht="18.600000000000001" customHeight="1" x14ac:dyDescent="0.25">
      <c r="A17" s="33" t="s">
        <v>10</v>
      </c>
      <c r="B17" s="34">
        <f>SUM(B9+1)</f>
        <v>32</v>
      </c>
      <c r="C17" s="35">
        <f t="shared" ref="C17:Z17" si="15">SUM(C10:C16)</f>
        <v>18947.500000000004</v>
      </c>
      <c r="D17" s="36">
        <f t="shared" si="15"/>
        <v>29354.838708999996</v>
      </c>
      <c r="E17" s="35">
        <f t="shared" si="15"/>
        <v>127014.62</v>
      </c>
      <c r="F17" s="37">
        <f t="shared" si="15"/>
        <v>90322.580600000001</v>
      </c>
      <c r="G17" s="38">
        <f t="shared" si="15"/>
        <v>7537.5</v>
      </c>
      <c r="H17" s="37">
        <f t="shared" si="15"/>
        <v>5645.1612000000005</v>
      </c>
      <c r="I17" s="38">
        <f>SUM(I10:I16)</f>
        <v>7779.5</v>
      </c>
      <c r="J17" s="37">
        <f>SUM(J10:J16)</f>
        <v>6000</v>
      </c>
      <c r="K17" s="35">
        <f t="shared" si="15"/>
        <v>29068.2</v>
      </c>
      <c r="L17" s="82">
        <f t="shared" si="15"/>
        <v>0</v>
      </c>
      <c r="M17" s="297">
        <f t="shared" si="15"/>
        <v>29068.2</v>
      </c>
      <c r="N17" s="36">
        <f t="shared" si="15"/>
        <v>36129.03224</v>
      </c>
      <c r="O17" s="35">
        <f t="shared" si="15"/>
        <v>1456.3000000000002</v>
      </c>
      <c r="P17" s="38">
        <f>SUM(P10:P16)</f>
        <v>5577</v>
      </c>
      <c r="Q17" s="297">
        <f t="shared" si="15"/>
        <v>7033.2999999999993</v>
      </c>
      <c r="R17" s="36">
        <f t="shared" si="15"/>
        <v>13548.38709</v>
      </c>
      <c r="S17" s="35">
        <f>SUM(S10:S16)</f>
        <v>73218.950000000012</v>
      </c>
      <c r="T17" s="36">
        <f t="shared" si="15"/>
        <v>52951.612902999987</v>
      </c>
      <c r="U17" s="35">
        <f t="shared" si="15"/>
        <v>270599.57</v>
      </c>
      <c r="V17" s="36">
        <f t="shared" si="15"/>
        <v>233951.61274199997</v>
      </c>
      <c r="W17" s="35">
        <f t="shared" si="15"/>
        <v>45515.6</v>
      </c>
      <c r="X17" s="36">
        <f t="shared" si="15"/>
        <v>19193.548360000001</v>
      </c>
      <c r="Y17" s="35">
        <f t="shared" si="15"/>
        <v>316115.17</v>
      </c>
      <c r="Z17" s="36">
        <f t="shared" si="15"/>
        <v>253145.16110199993</v>
      </c>
      <c r="AA17" s="39" t="s">
        <v>11</v>
      </c>
      <c r="AB17" s="40">
        <f>SUM(AB10:AB16)/7</f>
        <v>26.857142857142858</v>
      </c>
      <c r="AC17" s="41" t="s">
        <v>7</v>
      </c>
      <c r="AD17" s="42"/>
      <c r="AF17" s="223"/>
    </row>
    <row r="18" spans="1:32" ht="18.600000000000001" customHeight="1" x14ac:dyDescent="0.25">
      <c r="A18" s="44">
        <f>SUM(A16+1)</f>
        <v>12</v>
      </c>
      <c r="B18" s="15" t="s">
        <v>12</v>
      </c>
      <c r="C18" s="16">
        <v>9165.9</v>
      </c>
      <c r="D18" s="17">
        <v>4193.5483869999998</v>
      </c>
      <c r="E18" s="16">
        <v>5655.3</v>
      </c>
      <c r="F18" s="218">
        <v>12903.2258</v>
      </c>
      <c r="G18" s="19">
        <v>842.7</v>
      </c>
      <c r="H18" s="18">
        <v>806.45159999999998</v>
      </c>
      <c r="I18" s="19">
        <v>0</v>
      </c>
      <c r="J18" s="218">
        <v>0</v>
      </c>
      <c r="K18" s="16">
        <v>261</v>
      </c>
      <c r="L18" s="80"/>
      <c r="M18" s="238">
        <f t="shared" ref="M18:M24" si="16">K18+L18</f>
        <v>261</v>
      </c>
      <c r="N18" s="217">
        <v>5161.2903200000001</v>
      </c>
      <c r="O18" s="16">
        <v>1248.4000000000001</v>
      </c>
      <c r="P18" s="250">
        <v>3466</v>
      </c>
      <c r="Q18" s="19">
        <f t="shared" ref="Q18:Q24" si="17">O18+P18</f>
        <v>4714.3999999999996</v>
      </c>
      <c r="R18" s="17">
        <v>1935.48387</v>
      </c>
      <c r="S18" s="16">
        <v>15391.8</v>
      </c>
      <c r="T18" s="217">
        <v>7564.5161289999996</v>
      </c>
      <c r="U18" s="91">
        <f t="shared" ref="U18:U24" si="18">SUM(C18+E18+G18+I18+M18+Q18+S18)</f>
        <v>36031.100000000006</v>
      </c>
      <c r="V18" s="89">
        <f t="shared" ref="V18:V24" si="19">SUM(D18+F18+H18+J18+N18+R18+T18)</f>
        <v>32564.516105999999</v>
      </c>
      <c r="W18" s="16">
        <v>4428.5</v>
      </c>
      <c r="X18" s="217">
        <v>2741.9354800000001</v>
      </c>
      <c r="Y18" s="109">
        <f t="shared" ref="Y18:Z24" si="20">SUM(U18+W18)</f>
        <v>40459.600000000006</v>
      </c>
      <c r="Z18" s="110">
        <f t="shared" si="20"/>
        <v>35306.451585999996</v>
      </c>
      <c r="AA18" s="50" t="s">
        <v>58</v>
      </c>
      <c r="AB18" s="51">
        <v>32</v>
      </c>
      <c r="AC18" s="21" t="s">
        <v>7</v>
      </c>
      <c r="AD18" s="22"/>
      <c r="AF18" s="223">
        <f>C18+E18+G18+I18+K18+O18+W18</f>
        <v>21601.800000000003</v>
      </c>
    </row>
    <row r="19" spans="1:32" s="43" customFormat="1" ht="18.600000000000001" customHeight="1" x14ac:dyDescent="0.25">
      <c r="A19" s="47">
        <f t="shared" ref="A19:A24" si="21">SUM(A18+1)</f>
        <v>13</v>
      </c>
      <c r="B19" s="15" t="s">
        <v>13</v>
      </c>
      <c r="C19" s="16">
        <v>3920.8</v>
      </c>
      <c r="D19" s="17">
        <v>4193.5483869999998</v>
      </c>
      <c r="E19" s="16">
        <v>14900.6</v>
      </c>
      <c r="F19" s="218">
        <v>12903.2258</v>
      </c>
      <c r="G19" s="19">
        <v>854.5</v>
      </c>
      <c r="H19" s="18">
        <v>806.45159999999998</v>
      </c>
      <c r="I19" s="19">
        <v>0</v>
      </c>
      <c r="J19" s="218">
        <v>0</v>
      </c>
      <c r="K19" s="16">
        <v>0</v>
      </c>
      <c r="L19" s="80"/>
      <c r="M19" s="238">
        <f t="shared" si="16"/>
        <v>0</v>
      </c>
      <c r="N19" s="217">
        <v>5161.2903200000001</v>
      </c>
      <c r="O19" s="20">
        <v>1155.5999999999999</v>
      </c>
      <c r="P19" s="250">
        <v>3238</v>
      </c>
      <c r="Q19" s="226">
        <f t="shared" si="17"/>
        <v>4393.6000000000004</v>
      </c>
      <c r="R19" s="17">
        <v>1935.48387</v>
      </c>
      <c r="S19" s="16">
        <v>10291.4</v>
      </c>
      <c r="T19" s="217">
        <v>7564.5161289999996</v>
      </c>
      <c r="U19" s="91">
        <f t="shared" si="18"/>
        <v>34360.9</v>
      </c>
      <c r="V19" s="89">
        <f t="shared" si="19"/>
        <v>32564.516105999999</v>
      </c>
      <c r="W19" s="16">
        <v>5238.1000000000004</v>
      </c>
      <c r="X19" s="217">
        <v>2741.9354800000001</v>
      </c>
      <c r="Y19" s="109">
        <f t="shared" si="20"/>
        <v>39599</v>
      </c>
      <c r="Z19" s="110">
        <f t="shared" si="20"/>
        <v>35306.451585999996</v>
      </c>
      <c r="AA19" s="45" t="s">
        <v>58</v>
      </c>
      <c r="AB19" s="46">
        <v>33</v>
      </c>
      <c r="AC19" s="21" t="s">
        <v>7</v>
      </c>
      <c r="AD19" s="22"/>
      <c r="AF19" s="223">
        <f t="shared" si="2"/>
        <v>26069.599999999999</v>
      </c>
    </row>
    <row r="20" spans="1:32" ht="18.600000000000001" customHeight="1" x14ac:dyDescent="0.25">
      <c r="A20" s="47">
        <f t="shared" si="21"/>
        <v>14</v>
      </c>
      <c r="B20" s="15" t="s">
        <v>14</v>
      </c>
      <c r="C20" s="16">
        <v>5997.1</v>
      </c>
      <c r="D20" s="17">
        <v>4193.5483869999998</v>
      </c>
      <c r="E20" s="16">
        <v>11974.3</v>
      </c>
      <c r="F20" s="218">
        <v>12903.2258</v>
      </c>
      <c r="G20" s="19">
        <v>914</v>
      </c>
      <c r="H20" s="18">
        <v>806.45159999999998</v>
      </c>
      <c r="I20" s="19">
        <v>0</v>
      </c>
      <c r="J20" s="218">
        <v>0</v>
      </c>
      <c r="K20" s="16">
        <v>0</v>
      </c>
      <c r="L20" s="80"/>
      <c r="M20" s="238">
        <f t="shared" si="16"/>
        <v>0</v>
      </c>
      <c r="N20" s="217">
        <v>5161.2903200000001</v>
      </c>
      <c r="O20" s="20">
        <v>1309</v>
      </c>
      <c r="P20" s="250">
        <v>5017</v>
      </c>
      <c r="Q20" s="226">
        <f t="shared" si="17"/>
        <v>6326</v>
      </c>
      <c r="R20" s="17">
        <v>1935.48387</v>
      </c>
      <c r="S20" s="16">
        <v>8894.9</v>
      </c>
      <c r="T20" s="217">
        <v>7564.5161289999996</v>
      </c>
      <c r="U20" s="91">
        <f t="shared" si="18"/>
        <v>34106.300000000003</v>
      </c>
      <c r="V20" s="89">
        <f t="shared" si="19"/>
        <v>32564.516105999999</v>
      </c>
      <c r="W20" s="16">
        <v>2541.1</v>
      </c>
      <c r="X20" s="217">
        <v>2741.9354800000001</v>
      </c>
      <c r="Y20" s="109">
        <f t="shared" si="20"/>
        <v>36647.4</v>
      </c>
      <c r="Z20" s="110">
        <f t="shared" si="20"/>
        <v>35306.451585999996</v>
      </c>
      <c r="AA20" s="45" t="s">
        <v>58</v>
      </c>
      <c r="AB20" s="46">
        <v>28</v>
      </c>
      <c r="AC20" s="21" t="s">
        <v>7</v>
      </c>
      <c r="AD20" s="22"/>
      <c r="AF20" s="223">
        <f t="shared" si="2"/>
        <v>22735.5</v>
      </c>
    </row>
    <row r="21" spans="1:32" ht="18.600000000000001" customHeight="1" x14ac:dyDescent="0.25">
      <c r="A21" s="23">
        <f t="shared" si="21"/>
        <v>15</v>
      </c>
      <c r="B21" s="24" t="s">
        <v>15</v>
      </c>
      <c r="C21" s="25">
        <v>433.3</v>
      </c>
      <c r="D21" s="26">
        <v>4193.5483869999998</v>
      </c>
      <c r="E21" s="25">
        <v>20973.7</v>
      </c>
      <c r="F21" s="27">
        <v>12903.2258</v>
      </c>
      <c r="G21" s="28">
        <v>1046.7</v>
      </c>
      <c r="H21" s="27">
        <v>806.45159999999998</v>
      </c>
      <c r="I21" s="28">
        <v>0</v>
      </c>
      <c r="J21" s="27">
        <v>0</v>
      </c>
      <c r="K21" s="25">
        <v>0</v>
      </c>
      <c r="L21" s="81"/>
      <c r="M21" s="239">
        <f t="shared" si="16"/>
        <v>0</v>
      </c>
      <c r="N21" s="26">
        <v>5161.2903200000001</v>
      </c>
      <c r="O21" s="25">
        <v>284.89999999999998</v>
      </c>
      <c r="P21" s="28">
        <v>2728</v>
      </c>
      <c r="Q21" s="28">
        <f t="shared" si="17"/>
        <v>3012.9</v>
      </c>
      <c r="R21" s="26">
        <v>1935.48387</v>
      </c>
      <c r="S21" s="25">
        <v>7540.2</v>
      </c>
      <c r="T21" s="26">
        <v>7564.5161289999996</v>
      </c>
      <c r="U21" s="183">
        <f t="shared" si="18"/>
        <v>33006.800000000003</v>
      </c>
      <c r="V21" s="90">
        <f t="shared" si="19"/>
        <v>32564.516105999999</v>
      </c>
      <c r="W21" s="25">
        <v>8277.1</v>
      </c>
      <c r="X21" s="26">
        <v>2741.9354800000001</v>
      </c>
      <c r="Y21" s="92">
        <f t="shared" si="20"/>
        <v>41283.9</v>
      </c>
      <c r="Z21" s="234">
        <f t="shared" si="20"/>
        <v>35306.451585999996</v>
      </c>
      <c r="AA21" s="29" t="s">
        <v>58</v>
      </c>
      <c r="AB21" s="30">
        <v>31</v>
      </c>
      <c r="AC21" s="31" t="s">
        <v>7</v>
      </c>
      <c r="AD21" s="32" t="s">
        <v>83</v>
      </c>
      <c r="AF21" s="223">
        <f t="shared" si="2"/>
        <v>31015.700000000004</v>
      </c>
    </row>
    <row r="22" spans="1:32" ht="18.600000000000001" customHeight="1" x14ac:dyDescent="0.25">
      <c r="A22" s="47">
        <f t="shared" si="21"/>
        <v>16</v>
      </c>
      <c r="B22" s="52" t="s">
        <v>6</v>
      </c>
      <c r="C22" s="16">
        <v>730.4</v>
      </c>
      <c r="D22" s="17">
        <v>4193.5483869999998</v>
      </c>
      <c r="E22" s="16">
        <v>18509.599999999999</v>
      </c>
      <c r="F22" s="218">
        <v>12903.2258</v>
      </c>
      <c r="G22" s="19">
        <v>837.5</v>
      </c>
      <c r="H22" s="18">
        <v>806.45159999999998</v>
      </c>
      <c r="I22" s="19">
        <v>3500</v>
      </c>
      <c r="J22" s="218">
        <v>3000</v>
      </c>
      <c r="K22" s="16">
        <v>12805.5</v>
      </c>
      <c r="L22" s="80"/>
      <c r="M22" s="238">
        <f t="shared" si="16"/>
        <v>12805.5</v>
      </c>
      <c r="N22" s="217">
        <v>5161.2903200000001</v>
      </c>
      <c r="O22" s="16">
        <v>208</v>
      </c>
      <c r="P22" s="226">
        <v>2329</v>
      </c>
      <c r="Q22" s="19">
        <f t="shared" si="17"/>
        <v>2537</v>
      </c>
      <c r="R22" s="17">
        <v>1935.48387</v>
      </c>
      <c r="S22" s="16">
        <v>9128.9</v>
      </c>
      <c r="T22" s="217">
        <v>7564.5161289999996</v>
      </c>
      <c r="U22" s="91">
        <f t="shared" si="18"/>
        <v>48048.9</v>
      </c>
      <c r="V22" s="89">
        <f t="shared" si="19"/>
        <v>35564.516105999995</v>
      </c>
      <c r="W22" s="16">
        <v>4325.8</v>
      </c>
      <c r="X22" s="217">
        <v>2741.9354800000001</v>
      </c>
      <c r="Y22" s="109">
        <f t="shared" si="20"/>
        <v>52374.700000000004</v>
      </c>
      <c r="Z22" s="110">
        <f t="shared" si="20"/>
        <v>38306.451585999996</v>
      </c>
      <c r="AA22" s="45" t="s">
        <v>58</v>
      </c>
      <c r="AB22" s="46">
        <v>30</v>
      </c>
      <c r="AC22" s="21" t="s">
        <v>7</v>
      </c>
      <c r="AD22" s="22"/>
      <c r="AF22" s="223">
        <f t="shared" si="2"/>
        <v>40916.800000000003</v>
      </c>
    </row>
    <row r="23" spans="1:32" ht="18.600000000000001" customHeight="1" x14ac:dyDescent="0.25">
      <c r="A23" s="23">
        <f t="shared" si="21"/>
        <v>17</v>
      </c>
      <c r="B23" s="24" t="s">
        <v>8</v>
      </c>
      <c r="C23" s="25">
        <v>8588</v>
      </c>
      <c r="D23" s="26">
        <v>4193.5483869999998</v>
      </c>
      <c r="E23" s="25">
        <v>3329.4</v>
      </c>
      <c r="F23" s="27">
        <v>12903.2258</v>
      </c>
      <c r="G23" s="28">
        <v>753.8</v>
      </c>
      <c r="H23" s="27">
        <v>806.45159999999998</v>
      </c>
      <c r="I23" s="28">
        <v>3056</v>
      </c>
      <c r="J23" s="27">
        <v>3000</v>
      </c>
      <c r="K23" s="25">
        <v>28221.5</v>
      </c>
      <c r="L23" s="81"/>
      <c r="M23" s="239">
        <f t="shared" si="16"/>
        <v>28221.5</v>
      </c>
      <c r="N23" s="26">
        <v>5161.2903200000001</v>
      </c>
      <c r="O23" s="25">
        <v>0</v>
      </c>
      <c r="P23" s="28">
        <v>0</v>
      </c>
      <c r="Q23" s="28">
        <f t="shared" si="17"/>
        <v>0</v>
      </c>
      <c r="R23" s="26">
        <v>1935.48387</v>
      </c>
      <c r="S23" s="25">
        <v>12001.6</v>
      </c>
      <c r="T23" s="26">
        <v>7564.5161289999996</v>
      </c>
      <c r="U23" s="183">
        <f t="shared" si="18"/>
        <v>55950.299999999996</v>
      </c>
      <c r="V23" s="90">
        <f t="shared" si="19"/>
        <v>35564.516105999995</v>
      </c>
      <c r="W23" s="25">
        <v>0</v>
      </c>
      <c r="X23" s="26">
        <v>2741.9354800000001</v>
      </c>
      <c r="Y23" s="92">
        <f>SUM(U23+W23)</f>
        <v>55950.299999999996</v>
      </c>
      <c r="Z23" s="94">
        <f t="shared" si="20"/>
        <v>38306.451585999996</v>
      </c>
      <c r="AA23" s="29" t="s">
        <v>159</v>
      </c>
      <c r="AB23" s="30">
        <v>25</v>
      </c>
      <c r="AC23" s="31" t="s">
        <v>7</v>
      </c>
      <c r="AD23" s="32"/>
      <c r="AF23" s="223">
        <f t="shared" si="2"/>
        <v>43948.7</v>
      </c>
    </row>
    <row r="24" spans="1:32" ht="18.600000000000001" customHeight="1" x14ac:dyDescent="0.25">
      <c r="A24" s="23">
        <f t="shared" si="21"/>
        <v>18</v>
      </c>
      <c r="B24" s="53" t="s">
        <v>9</v>
      </c>
      <c r="C24" s="25">
        <v>14591.4</v>
      </c>
      <c r="D24" s="26">
        <v>4193.5483869999998</v>
      </c>
      <c r="E24" s="25">
        <v>673.8</v>
      </c>
      <c r="F24" s="27">
        <v>12903.2258</v>
      </c>
      <c r="G24" s="28">
        <v>98</v>
      </c>
      <c r="H24" s="27">
        <v>806.45159999999998</v>
      </c>
      <c r="I24" s="28">
        <v>80.5</v>
      </c>
      <c r="J24" s="27">
        <v>0</v>
      </c>
      <c r="K24" s="25">
        <v>9606.2999999999993</v>
      </c>
      <c r="L24" s="81"/>
      <c r="M24" s="239">
        <f t="shared" si="16"/>
        <v>9606.2999999999993</v>
      </c>
      <c r="N24" s="26">
        <v>5161.2903200000001</v>
      </c>
      <c r="O24" s="25">
        <v>28.4</v>
      </c>
      <c r="P24" s="28">
        <v>0</v>
      </c>
      <c r="Q24" s="28">
        <f t="shared" si="17"/>
        <v>28.4</v>
      </c>
      <c r="R24" s="26">
        <v>1935.48387</v>
      </c>
      <c r="S24" s="25">
        <v>4612.6000000000004</v>
      </c>
      <c r="T24" s="26">
        <v>7564.5161289999996</v>
      </c>
      <c r="U24" s="183">
        <f t="shared" si="18"/>
        <v>29691</v>
      </c>
      <c r="V24" s="90">
        <f t="shared" si="19"/>
        <v>32564.516105999999</v>
      </c>
      <c r="W24" s="25">
        <v>0</v>
      </c>
      <c r="X24" s="26">
        <v>2741.9354800000001</v>
      </c>
      <c r="Y24" s="92">
        <f t="shared" si="20"/>
        <v>29691</v>
      </c>
      <c r="Z24" s="94">
        <f t="shared" si="20"/>
        <v>35306.451585999996</v>
      </c>
      <c r="AA24" s="29" t="s">
        <v>159</v>
      </c>
      <c r="AB24" s="30">
        <v>20</v>
      </c>
      <c r="AC24" s="31" t="s">
        <v>7</v>
      </c>
      <c r="AD24" s="32"/>
      <c r="AF24" s="223">
        <f t="shared" si="2"/>
        <v>25078.400000000001</v>
      </c>
    </row>
    <row r="25" spans="1:32" ht="18.600000000000001" customHeight="1" x14ac:dyDescent="0.25">
      <c r="A25" s="33" t="s">
        <v>10</v>
      </c>
      <c r="B25" s="34">
        <f>SUM(B17+1)</f>
        <v>33</v>
      </c>
      <c r="C25" s="35">
        <f t="shared" ref="C25:Z25" si="22">SUM(C18:C24)</f>
        <v>43426.9</v>
      </c>
      <c r="D25" s="36">
        <f t="shared" si="22"/>
        <v>29354.838708999996</v>
      </c>
      <c r="E25" s="35">
        <f t="shared" si="22"/>
        <v>76016.7</v>
      </c>
      <c r="F25" s="37">
        <f t="shared" si="22"/>
        <v>90322.580600000001</v>
      </c>
      <c r="G25" s="38">
        <f t="shared" si="22"/>
        <v>5347.2</v>
      </c>
      <c r="H25" s="37">
        <f t="shared" si="22"/>
        <v>5645.1612000000005</v>
      </c>
      <c r="I25" s="38">
        <f>SUM(I18:I24)</f>
        <v>6636.5</v>
      </c>
      <c r="J25" s="37">
        <f>SUM(J18:J24)</f>
        <v>6000</v>
      </c>
      <c r="K25" s="35">
        <f t="shared" si="22"/>
        <v>50894.3</v>
      </c>
      <c r="L25" s="82">
        <f t="shared" si="22"/>
        <v>0</v>
      </c>
      <c r="M25" s="297">
        <f t="shared" si="22"/>
        <v>50894.3</v>
      </c>
      <c r="N25" s="36">
        <f t="shared" si="22"/>
        <v>36129.03224</v>
      </c>
      <c r="O25" s="35">
        <f t="shared" si="22"/>
        <v>4234.2999999999993</v>
      </c>
      <c r="P25" s="82">
        <f t="shared" si="22"/>
        <v>16778</v>
      </c>
      <c r="Q25" s="35">
        <f t="shared" si="22"/>
        <v>21012.300000000003</v>
      </c>
      <c r="R25" s="36">
        <f t="shared" si="22"/>
        <v>13548.38709</v>
      </c>
      <c r="S25" s="35">
        <f t="shared" si="22"/>
        <v>67861.399999999994</v>
      </c>
      <c r="T25" s="36">
        <f t="shared" si="22"/>
        <v>52951.612902999987</v>
      </c>
      <c r="U25" s="35">
        <f t="shared" si="22"/>
        <v>271195.3</v>
      </c>
      <c r="V25" s="36">
        <f t="shared" si="22"/>
        <v>233951.61274199997</v>
      </c>
      <c r="W25" s="35">
        <f t="shared" si="22"/>
        <v>24810.600000000002</v>
      </c>
      <c r="X25" s="36">
        <f t="shared" si="22"/>
        <v>19193.548360000001</v>
      </c>
      <c r="Y25" s="35">
        <f t="shared" si="22"/>
        <v>296005.90000000002</v>
      </c>
      <c r="Z25" s="36">
        <f t="shared" si="22"/>
        <v>253145.16110199993</v>
      </c>
      <c r="AA25" s="39" t="s">
        <v>11</v>
      </c>
      <c r="AB25" s="40">
        <f>SUM(AB18:AB24)/7</f>
        <v>28.428571428571427</v>
      </c>
      <c r="AC25" s="41" t="s">
        <v>7</v>
      </c>
      <c r="AD25" s="42"/>
      <c r="AF25" s="223"/>
    </row>
    <row r="26" spans="1:32" ht="18.600000000000001" customHeight="1" x14ac:dyDescent="0.25">
      <c r="A26" s="44">
        <f>SUM(A24+1)</f>
        <v>19</v>
      </c>
      <c r="B26" s="15" t="s">
        <v>12</v>
      </c>
      <c r="C26" s="16">
        <v>2810</v>
      </c>
      <c r="D26" s="17">
        <v>4193.5483869999998</v>
      </c>
      <c r="E26" s="16">
        <v>7154.7</v>
      </c>
      <c r="F26" s="218">
        <v>12903.2258</v>
      </c>
      <c r="G26" s="19">
        <v>542.20000000000005</v>
      </c>
      <c r="H26" s="18">
        <v>806.45159999999998</v>
      </c>
      <c r="I26" s="19">
        <v>0</v>
      </c>
      <c r="J26" s="218">
        <v>0</v>
      </c>
      <c r="K26" s="16">
        <v>303.39999999999998</v>
      </c>
      <c r="L26" s="80"/>
      <c r="M26" s="238">
        <f t="shared" ref="M26:M32" si="23">K26+L26</f>
        <v>303.39999999999998</v>
      </c>
      <c r="N26" s="217">
        <v>5161.2903200000001</v>
      </c>
      <c r="O26" s="16">
        <v>2055</v>
      </c>
      <c r="P26" s="226">
        <v>3770</v>
      </c>
      <c r="Q26" s="19">
        <f t="shared" ref="Q26:Q32" si="24">O26+P26</f>
        <v>5825</v>
      </c>
      <c r="R26" s="17">
        <v>1935.48387</v>
      </c>
      <c r="S26" s="16">
        <v>5716.9</v>
      </c>
      <c r="T26" s="217">
        <v>7564.5161289999996</v>
      </c>
      <c r="U26" s="91">
        <f t="shared" ref="U26:U32" si="25">SUM(C26+E26+G26+I26+M26+Q26+S26)</f>
        <v>22352.200000000004</v>
      </c>
      <c r="V26" s="89">
        <f t="shared" ref="V26:V32" si="26">SUM(D26+F26+H26+J26+N26+R26+T26)</f>
        <v>32564.516105999999</v>
      </c>
      <c r="W26" s="16">
        <v>387.3</v>
      </c>
      <c r="X26" s="217">
        <v>2741.9354800000001</v>
      </c>
      <c r="Y26" s="109">
        <f t="shared" ref="Y26:Z32" si="27">SUM(U26+W26)</f>
        <v>22739.500000000004</v>
      </c>
      <c r="Z26" s="110">
        <f t="shared" si="27"/>
        <v>35306.451585999996</v>
      </c>
      <c r="AA26" s="45" t="s">
        <v>186</v>
      </c>
      <c r="AB26" s="51">
        <v>21</v>
      </c>
      <c r="AC26" s="21" t="s">
        <v>7</v>
      </c>
      <c r="AD26" s="22"/>
      <c r="AF26" s="223">
        <f t="shared" si="2"/>
        <v>13252.6</v>
      </c>
    </row>
    <row r="27" spans="1:32" ht="18.600000000000001" customHeight="1" x14ac:dyDescent="0.25">
      <c r="A27" s="47">
        <f t="shared" ref="A27:A32" si="28">SUM(A26+1)</f>
        <v>20</v>
      </c>
      <c r="B27" s="15" t="s">
        <v>13</v>
      </c>
      <c r="C27" s="16">
        <v>138</v>
      </c>
      <c r="D27" s="17">
        <v>4193.5483869999998</v>
      </c>
      <c r="E27" s="16">
        <v>14049.8</v>
      </c>
      <c r="F27" s="218">
        <v>12903.2258</v>
      </c>
      <c r="G27" s="19">
        <v>677.5</v>
      </c>
      <c r="H27" s="18">
        <v>806.45159999999998</v>
      </c>
      <c r="I27" s="19">
        <v>0</v>
      </c>
      <c r="J27" s="218">
        <v>0</v>
      </c>
      <c r="K27" s="16">
        <v>5245.1</v>
      </c>
      <c r="L27" s="80"/>
      <c r="M27" s="238">
        <f t="shared" si="23"/>
        <v>5245.1</v>
      </c>
      <c r="N27" s="217">
        <v>5161.2903200000001</v>
      </c>
      <c r="O27" s="20">
        <v>981.9</v>
      </c>
      <c r="P27" s="226">
        <v>7378</v>
      </c>
      <c r="Q27" s="226">
        <f t="shared" si="24"/>
        <v>8359.9</v>
      </c>
      <c r="R27" s="17">
        <v>1935.48387</v>
      </c>
      <c r="S27" s="16">
        <v>9365.6</v>
      </c>
      <c r="T27" s="217">
        <v>7564.5161289999996</v>
      </c>
      <c r="U27" s="91">
        <f t="shared" si="25"/>
        <v>37835.9</v>
      </c>
      <c r="V27" s="89">
        <f t="shared" si="26"/>
        <v>32564.516105999999</v>
      </c>
      <c r="W27" s="16">
        <v>1503.3</v>
      </c>
      <c r="X27" s="217">
        <v>2741.9354800000001</v>
      </c>
      <c r="Y27" s="109">
        <f t="shared" si="27"/>
        <v>39339.200000000004</v>
      </c>
      <c r="Z27" s="110">
        <f t="shared" si="27"/>
        <v>35306.451585999996</v>
      </c>
      <c r="AA27" s="45" t="s">
        <v>58</v>
      </c>
      <c r="AB27" s="46">
        <v>25</v>
      </c>
      <c r="AC27" s="21" t="s">
        <v>7</v>
      </c>
      <c r="AD27" s="22"/>
      <c r="AF27" s="223">
        <f t="shared" si="2"/>
        <v>22595.600000000002</v>
      </c>
    </row>
    <row r="28" spans="1:32" ht="18.600000000000001" customHeight="1" x14ac:dyDescent="0.25">
      <c r="A28" s="47">
        <f t="shared" si="28"/>
        <v>21</v>
      </c>
      <c r="B28" s="15" t="s">
        <v>14</v>
      </c>
      <c r="C28" s="16">
        <v>1967</v>
      </c>
      <c r="D28" s="17">
        <v>4193.5483869999998</v>
      </c>
      <c r="E28" s="19">
        <v>7134.3</v>
      </c>
      <c r="F28" s="218">
        <v>12903.2258</v>
      </c>
      <c r="G28" s="19">
        <v>555.9</v>
      </c>
      <c r="H28" s="18">
        <v>806.45159999999998</v>
      </c>
      <c r="I28" s="19">
        <v>0</v>
      </c>
      <c r="J28" s="218">
        <v>0</v>
      </c>
      <c r="K28" s="16">
        <v>156.80000000000001</v>
      </c>
      <c r="L28" s="80"/>
      <c r="M28" s="238">
        <f t="shared" si="23"/>
        <v>156.80000000000001</v>
      </c>
      <c r="N28" s="217">
        <v>5161.2903200000001</v>
      </c>
      <c r="O28" s="20">
        <v>1243.3</v>
      </c>
      <c r="P28" s="226">
        <v>8691</v>
      </c>
      <c r="Q28" s="226">
        <f t="shared" si="24"/>
        <v>9934.2999999999993</v>
      </c>
      <c r="R28" s="17">
        <v>1935.48387</v>
      </c>
      <c r="S28" s="16">
        <v>10387.1</v>
      </c>
      <c r="T28" s="217">
        <v>7564.5161289999996</v>
      </c>
      <c r="U28" s="91">
        <f t="shared" si="25"/>
        <v>30135.399999999994</v>
      </c>
      <c r="V28" s="89">
        <f t="shared" si="26"/>
        <v>32564.516105999999</v>
      </c>
      <c r="W28" s="16">
        <v>817.7</v>
      </c>
      <c r="X28" s="217">
        <v>2741.9354800000001</v>
      </c>
      <c r="Y28" s="109">
        <f t="shared" si="27"/>
        <v>30953.099999999995</v>
      </c>
      <c r="Z28" s="110">
        <f t="shared" si="27"/>
        <v>35306.451585999996</v>
      </c>
      <c r="AA28" s="45" t="s">
        <v>57</v>
      </c>
      <c r="AB28" s="46">
        <v>20</v>
      </c>
      <c r="AC28" s="21" t="s">
        <v>7</v>
      </c>
      <c r="AD28" s="22"/>
      <c r="AF28" s="223">
        <f t="shared" si="2"/>
        <v>11874.999999999998</v>
      </c>
    </row>
    <row r="29" spans="1:32" ht="18.600000000000001" customHeight="1" x14ac:dyDescent="0.25">
      <c r="A29" s="47">
        <f t="shared" si="28"/>
        <v>22</v>
      </c>
      <c r="B29" s="15" t="s">
        <v>15</v>
      </c>
      <c r="C29" s="16">
        <v>761.3</v>
      </c>
      <c r="D29" s="17">
        <v>4193.5483869999998</v>
      </c>
      <c r="E29" s="16">
        <v>15146.7</v>
      </c>
      <c r="F29" s="218">
        <v>12903.2258</v>
      </c>
      <c r="G29" s="19">
        <v>1010</v>
      </c>
      <c r="H29" s="18">
        <v>806.45159999999998</v>
      </c>
      <c r="I29" s="19">
        <v>0</v>
      </c>
      <c r="J29" s="218">
        <v>0</v>
      </c>
      <c r="K29" s="16">
        <v>1850</v>
      </c>
      <c r="L29" s="80"/>
      <c r="M29" s="238">
        <f t="shared" si="23"/>
        <v>1850</v>
      </c>
      <c r="N29" s="217">
        <v>5161.2903200000001</v>
      </c>
      <c r="O29" s="20">
        <v>1368.3</v>
      </c>
      <c r="P29" s="328">
        <v>6535</v>
      </c>
      <c r="Q29" s="226">
        <f t="shared" si="24"/>
        <v>7903.3</v>
      </c>
      <c r="R29" s="17">
        <v>1935.48387</v>
      </c>
      <c r="S29" s="16">
        <v>7378</v>
      </c>
      <c r="T29" s="217">
        <v>7564.5161289999996</v>
      </c>
      <c r="U29" s="91">
        <f t="shared" si="25"/>
        <v>34049.300000000003</v>
      </c>
      <c r="V29" s="89">
        <f t="shared" si="26"/>
        <v>32564.516105999999</v>
      </c>
      <c r="W29" s="16">
        <v>2301.1</v>
      </c>
      <c r="X29" s="217">
        <v>2741.9354800000001</v>
      </c>
      <c r="Y29" s="109">
        <f t="shared" si="27"/>
        <v>36350.400000000001</v>
      </c>
      <c r="Z29" s="110">
        <f t="shared" si="27"/>
        <v>35306.451585999996</v>
      </c>
      <c r="AA29" s="45" t="s">
        <v>58</v>
      </c>
      <c r="AB29" s="46">
        <v>24</v>
      </c>
      <c r="AC29" s="21" t="s">
        <v>7</v>
      </c>
      <c r="AD29" s="22"/>
      <c r="AF29" s="223">
        <f t="shared" si="2"/>
        <v>22437.399999999998</v>
      </c>
    </row>
    <row r="30" spans="1:32" ht="18.600000000000001" customHeight="1" x14ac:dyDescent="0.25">
      <c r="A30" s="47">
        <f t="shared" si="28"/>
        <v>23</v>
      </c>
      <c r="B30" s="15" t="s">
        <v>6</v>
      </c>
      <c r="C30" s="16">
        <v>3795.5</v>
      </c>
      <c r="D30" s="17">
        <v>4193.5483869999998</v>
      </c>
      <c r="E30" s="16">
        <v>18010.7</v>
      </c>
      <c r="F30" s="218">
        <v>12903.2258</v>
      </c>
      <c r="G30" s="19">
        <v>899.4</v>
      </c>
      <c r="H30" s="18">
        <v>806.45159999999998</v>
      </c>
      <c r="I30" s="19">
        <v>2992.5</v>
      </c>
      <c r="J30" s="218">
        <v>3000</v>
      </c>
      <c r="K30" s="16">
        <v>7990.4</v>
      </c>
      <c r="L30" s="80"/>
      <c r="M30" s="238">
        <f t="shared" si="23"/>
        <v>7990.4</v>
      </c>
      <c r="N30" s="217">
        <v>5161.2903200000001</v>
      </c>
      <c r="O30" s="16">
        <v>120.1</v>
      </c>
      <c r="P30" s="250">
        <v>6528</v>
      </c>
      <c r="Q30" s="19">
        <f t="shared" si="24"/>
        <v>6648.1</v>
      </c>
      <c r="R30" s="17">
        <v>1935.48387</v>
      </c>
      <c r="S30" s="16">
        <v>5659.2</v>
      </c>
      <c r="T30" s="217">
        <v>7564.5161289999996</v>
      </c>
      <c r="U30" s="91">
        <f t="shared" si="25"/>
        <v>45995.799999999996</v>
      </c>
      <c r="V30" s="89">
        <f t="shared" si="26"/>
        <v>35564.516105999995</v>
      </c>
      <c r="W30" s="16">
        <v>5101</v>
      </c>
      <c r="X30" s="217">
        <v>2741.9354800000001</v>
      </c>
      <c r="Y30" s="109">
        <f t="shared" si="27"/>
        <v>51096.799999999996</v>
      </c>
      <c r="Z30" s="110">
        <f t="shared" si="27"/>
        <v>38306.451585999996</v>
      </c>
      <c r="AA30" s="45" t="s">
        <v>58</v>
      </c>
      <c r="AB30" s="46">
        <v>27</v>
      </c>
      <c r="AC30" s="21" t="s">
        <v>7</v>
      </c>
      <c r="AD30" s="22"/>
      <c r="AF30" s="223">
        <f t="shared" si="2"/>
        <v>38909.599999999999</v>
      </c>
    </row>
    <row r="31" spans="1:32" ht="18.600000000000001" customHeight="1" x14ac:dyDescent="0.25">
      <c r="A31" s="23">
        <f t="shared" si="28"/>
        <v>24</v>
      </c>
      <c r="B31" s="24" t="s">
        <v>8</v>
      </c>
      <c r="C31" s="25">
        <v>3095</v>
      </c>
      <c r="D31" s="26">
        <v>4193.5483869999998</v>
      </c>
      <c r="E31" s="25">
        <v>20723.8</v>
      </c>
      <c r="F31" s="27">
        <v>12903.2258</v>
      </c>
      <c r="G31" s="28">
        <v>1197.8</v>
      </c>
      <c r="H31" s="27">
        <v>806.45159999999998</v>
      </c>
      <c r="I31" s="28">
        <v>3491.5</v>
      </c>
      <c r="J31" s="27">
        <v>3000</v>
      </c>
      <c r="K31" s="25">
        <v>19164</v>
      </c>
      <c r="L31" s="81"/>
      <c r="M31" s="239">
        <f t="shared" si="23"/>
        <v>19164</v>
      </c>
      <c r="N31" s="26">
        <v>5161.2903200000001</v>
      </c>
      <c r="O31" s="25">
        <v>0</v>
      </c>
      <c r="P31" s="28">
        <v>276.5</v>
      </c>
      <c r="Q31" s="28">
        <f t="shared" si="24"/>
        <v>276.5</v>
      </c>
      <c r="R31" s="26">
        <v>1935.48387</v>
      </c>
      <c r="S31" s="25">
        <v>14189.6</v>
      </c>
      <c r="T31" s="26">
        <v>7564.5161289999996</v>
      </c>
      <c r="U31" s="183">
        <f t="shared" si="25"/>
        <v>62138.2</v>
      </c>
      <c r="V31" s="90">
        <f t="shared" si="26"/>
        <v>35564.516105999995</v>
      </c>
      <c r="W31" s="25">
        <v>8462.99</v>
      </c>
      <c r="X31" s="26">
        <v>2741.9354800000001</v>
      </c>
      <c r="Y31" s="498">
        <f t="shared" si="27"/>
        <v>70601.19</v>
      </c>
      <c r="Z31" s="94">
        <f t="shared" si="27"/>
        <v>38306.451585999996</v>
      </c>
      <c r="AA31" s="29" t="s">
        <v>58</v>
      </c>
      <c r="AB31" s="30">
        <v>29</v>
      </c>
      <c r="AC31" s="31" t="s">
        <v>7</v>
      </c>
      <c r="AD31" s="32"/>
      <c r="AF31" s="223">
        <f t="shared" si="2"/>
        <v>56135.09</v>
      </c>
    </row>
    <row r="32" spans="1:32" ht="18.600000000000001" customHeight="1" x14ac:dyDescent="0.25">
      <c r="A32" s="23">
        <f t="shared" si="28"/>
        <v>25</v>
      </c>
      <c r="B32" s="24" t="s">
        <v>9</v>
      </c>
      <c r="C32" s="25">
        <v>17048.2</v>
      </c>
      <c r="D32" s="26">
        <v>4193.5483869999998</v>
      </c>
      <c r="E32" s="25">
        <v>717.7</v>
      </c>
      <c r="F32" s="27">
        <v>12903.2258</v>
      </c>
      <c r="G32" s="28">
        <v>359.4</v>
      </c>
      <c r="H32" s="27">
        <v>806.45159999999998</v>
      </c>
      <c r="I32" s="28">
        <v>0</v>
      </c>
      <c r="J32" s="27">
        <v>0</v>
      </c>
      <c r="K32" s="25">
        <v>3419.5</v>
      </c>
      <c r="L32" s="81"/>
      <c r="M32" s="239">
        <f t="shared" si="23"/>
        <v>3419.5</v>
      </c>
      <c r="N32" s="26">
        <v>5161.2903200000001</v>
      </c>
      <c r="O32" s="25">
        <v>0</v>
      </c>
      <c r="P32" s="28">
        <v>0</v>
      </c>
      <c r="Q32" s="28">
        <f t="shared" si="24"/>
        <v>0</v>
      </c>
      <c r="R32" s="26">
        <v>1935.48387</v>
      </c>
      <c r="S32" s="25">
        <v>2638.8</v>
      </c>
      <c r="T32" s="26">
        <v>7564.5161289999996</v>
      </c>
      <c r="U32" s="183">
        <f t="shared" si="25"/>
        <v>24183.600000000002</v>
      </c>
      <c r="V32" s="90">
        <f t="shared" si="26"/>
        <v>32564.516105999999</v>
      </c>
      <c r="W32" s="25">
        <v>0</v>
      </c>
      <c r="X32" s="26">
        <v>2741.9354800000001</v>
      </c>
      <c r="Y32" s="92">
        <f>SUM(U32+W32)</f>
        <v>24183.600000000002</v>
      </c>
      <c r="Z32" s="94">
        <f t="shared" si="27"/>
        <v>35306.451585999996</v>
      </c>
      <c r="AA32" s="29" t="s">
        <v>138</v>
      </c>
      <c r="AB32" s="30">
        <v>18</v>
      </c>
      <c r="AC32" s="31" t="s">
        <v>7</v>
      </c>
      <c r="AD32" s="32"/>
      <c r="AF32" s="223">
        <f t="shared" si="2"/>
        <v>21544.800000000003</v>
      </c>
    </row>
    <row r="33" spans="1:32" ht="18.600000000000001" customHeight="1" x14ac:dyDescent="0.25">
      <c r="A33" s="33" t="s">
        <v>10</v>
      </c>
      <c r="B33" s="34">
        <f>SUM(B25+1)</f>
        <v>34</v>
      </c>
      <c r="C33" s="35">
        <f t="shared" ref="C33:Z33" si="29">SUM(C26:C32)</f>
        <v>29615</v>
      </c>
      <c r="D33" s="36">
        <f t="shared" si="29"/>
        <v>29354.838708999996</v>
      </c>
      <c r="E33" s="35">
        <f t="shared" si="29"/>
        <v>82937.7</v>
      </c>
      <c r="F33" s="37">
        <f t="shared" si="29"/>
        <v>90322.580600000001</v>
      </c>
      <c r="G33" s="38">
        <f t="shared" si="29"/>
        <v>5242.2</v>
      </c>
      <c r="H33" s="37">
        <f t="shared" si="29"/>
        <v>5645.1612000000005</v>
      </c>
      <c r="I33" s="38">
        <f>SUM(I26:I32)</f>
        <v>6484</v>
      </c>
      <c r="J33" s="37">
        <f>SUM(J26:J32)</f>
        <v>6000</v>
      </c>
      <c r="K33" s="35">
        <f t="shared" si="29"/>
        <v>38129.199999999997</v>
      </c>
      <c r="L33" s="82">
        <f t="shared" si="29"/>
        <v>0</v>
      </c>
      <c r="M33" s="297">
        <f t="shared" si="29"/>
        <v>38129.199999999997</v>
      </c>
      <c r="N33" s="36">
        <f t="shared" si="29"/>
        <v>36129.03224</v>
      </c>
      <c r="O33" s="35">
        <f t="shared" si="29"/>
        <v>5768.6</v>
      </c>
      <c r="P33" s="82">
        <f>SUM(P26:P32)</f>
        <v>33178.5</v>
      </c>
      <c r="Q33" s="82">
        <f>SUM(Q26:Q32)</f>
        <v>38947.1</v>
      </c>
      <c r="R33" s="36">
        <f t="shared" si="29"/>
        <v>13548.38709</v>
      </c>
      <c r="S33" s="35">
        <f t="shared" si="29"/>
        <v>55335.199999999997</v>
      </c>
      <c r="T33" s="36">
        <f t="shared" si="29"/>
        <v>52951.612902999987</v>
      </c>
      <c r="U33" s="35">
        <f t="shared" si="29"/>
        <v>256690.4</v>
      </c>
      <c r="V33" s="36">
        <f t="shared" si="29"/>
        <v>233951.61274199997</v>
      </c>
      <c r="W33" s="35">
        <f t="shared" si="29"/>
        <v>18573.39</v>
      </c>
      <c r="X33" s="36">
        <f t="shared" si="29"/>
        <v>19193.548360000001</v>
      </c>
      <c r="Y33" s="35">
        <f t="shared" si="29"/>
        <v>275263.78999999998</v>
      </c>
      <c r="Z33" s="36">
        <f t="shared" si="29"/>
        <v>253145.16110199993</v>
      </c>
      <c r="AA33" s="39" t="s">
        <v>11</v>
      </c>
      <c r="AB33" s="40">
        <f>SUM(AB26:AB32)/7</f>
        <v>23.428571428571427</v>
      </c>
      <c r="AC33" s="41" t="s">
        <v>7</v>
      </c>
      <c r="AD33" s="42"/>
      <c r="AF33" s="223"/>
    </row>
    <row r="34" spans="1:32" ht="18.600000000000001" customHeight="1" x14ac:dyDescent="0.25">
      <c r="A34" s="47">
        <f>SUM(A32+1)</f>
        <v>26</v>
      </c>
      <c r="B34" s="15" t="s">
        <v>12</v>
      </c>
      <c r="C34" s="16">
        <v>7330.82</v>
      </c>
      <c r="D34" s="17">
        <v>4193.5483869999998</v>
      </c>
      <c r="E34" s="16">
        <v>1679.6</v>
      </c>
      <c r="F34" s="218">
        <v>12903.2258</v>
      </c>
      <c r="G34" s="19">
        <v>354.7</v>
      </c>
      <c r="H34" s="18">
        <v>806.45159999999998</v>
      </c>
      <c r="I34" s="19">
        <v>0</v>
      </c>
      <c r="J34" s="218">
        <v>0</v>
      </c>
      <c r="K34" s="16">
        <v>0</v>
      </c>
      <c r="L34" s="80"/>
      <c r="M34" s="238">
        <f t="shared" ref="M34:M38" si="30">K34+L34</f>
        <v>0</v>
      </c>
      <c r="N34" s="217">
        <v>5161.2903200000001</v>
      </c>
      <c r="O34" s="16">
        <v>1381.6</v>
      </c>
      <c r="P34" s="329">
        <v>4928</v>
      </c>
      <c r="Q34" s="19">
        <f t="shared" ref="Q34:Q39" si="31">O34+P34</f>
        <v>6309.6</v>
      </c>
      <c r="R34" s="17">
        <v>1935.48387</v>
      </c>
      <c r="S34" s="16">
        <v>8426.6</v>
      </c>
      <c r="T34" s="217">
        <v>7564.5161289999996</v>
      </c>
      <c r="U34" s="91">
        <f t="shared" ref="U34:U39" si="32">SUM(C34+E34+G34+I34+M34+Q34+S34)</f>
        <v>24101.32</v>
      </c>
      <c r="V34" s="89">
        <f>SUM(D34+F34+H34+J34+N34+R34+T34)</f>
        <v>32564.516105999999</v>
      </c>
      <c r="W34" s="16">
        <v>0</v>
      </c>
      <c r="X34" s="217">
        <v>2741.9354800000001</v>
      </c>
      <c r="Y34" s="109">
        <f>SUM(U34+W34)</f>
        <v>24101.32</v>
      </c>
      <c r="Z34" s="110">
        <f t="shared" ref="Z34:Z39" si="33">SUM(V34+X34)</f>
        <v>35306.451585999996</v>
      </c>
      <c r="AA34" s="45" t="s">
        <v>57</v>
      </c>
      <c r="AB34" s="46">
        <v>20</v>
      </c>
      <c r="AC34" s="21" t="s">
        <v>7</v>
      </c>
      <c r="AD34" s="22"/>
      <c r="AF34" s="223">
        <f t="shared" si="2"/>
        <v>10746.720000000001</v>
      </c>
    </row>
    <row r="35" spans="1:32" ht="18.600000000000001" customHeight="1" x14ac:dyDescent="0.25">
      <c r="A35" s="47">
        <f>SUM(A34+1)</f>
        <v>27</v>
      </c>
      <c r="B35" s="15" t="s">
        <v>13</v>
      </c>
      <c r="C35" s="16">
        <v>2047.7</v>
      </c>
      <c r="D35" s="17">
        <v>4193.5483869999998</v>
      </c>
      <c r="E35" s="16">
        <v>12695</v>
      </c>
      <c r="F35" s="218">
        <v>12903.2258</v>
      </c>
      <c r="G35" s="19">
        <v>446.2</v>
      </c>
      <c r="H35" s="18">
        <v>806.45159999999998</v>
      </c>
      <c r="I35" s="19">
        <v>0</v>
      </c>
      <c r="J35" s="218">
        <v>0</v>
      </c>
      <c r="K35" s="16">
        <v>259.5</v>
      </c>
      <c r="L35" s="80"/>
      <c r="M35" s="238">
        <f t="shared" si="30"/>
        <v>259.5</v>
      </c>
      <c r="N35" s="217">
        <v>5161.2903200000001</v>
      </c>
      <c r="O35" s="20">
        <v>3740.2</v>
      </c>
      <c r="P35" s="328">
        <v>8378</v>
      </c>
      <c r="Q35" s="226">
        <f t="shared" si="31"/>
        <v>12118.2</v>
      </c>
      <c r="R35" s="17">
        <v>1935.48387</v>
      </c>
      <c r="S35" s="16">
        <v>9783.2999999999993</v>
      </c>
      <c r="T35" s="217">
        <v>7564.5161289999996</v>
      </c>
      <c r="U35" s="91">
        <f t="shared" si="32"/>
        <v>37349.9</v>
      </c>
      <c r="V35" s="89">
        <f>SUM(D35+F35+H35+J35+N35+R35+T35)</f>
        <v>32564.516105999999</v>
      </c>
      <c r="W35" s="16">
        <v>753.5</v>
      </c>
      <c r="X35" s="217">
        <v>2741.9354800000001</v>
      </c>
      <c r="Y35" s="109">
        <f>SUM(U35+W35)</f>
        <v>38103.4</v>
      </c>
      <c r="Z35" s="110">
        <f t="shared" si="33"/>
        <v>35306.451585999996</v>
      </c>
      <c r="AA35" s="45" t="s">
        <v>138</v>
      </c>
      <c r="AB35" s="46">
        <v>20</v>
      </c>
      <c r="AC35" s="21" t="s">
        <v>7</v>
      </c>
      <c r="AD35" s="22"/>
      <c r="AF35" s="223">
        <f t="shared" si="2"/>
        <v>19942.100000000002</v>
      </c>
    </row>
    <row r="36" spans="1:32" ht="18.600000000000001" customHeight="1" x14ac:dyDescent="0.25">
      <c r="A36" s="47">
        <f>SUM(A35+1)</f>
        <v>28</v>
      </c>
      <c r="B36" s="15" t="s">
        <v>14</v>
      </c>
      <c r="C36" s="16">
        <v>1025.3</v>
      </c>
      <c r="D36" s="17">
        <v>4193.5483869999998</v>
      </c>
      <c r="E36" s="16">
        <v>16435.599999999999</v>
      </c>
      <c r="F36" s="218">
        <v>12903.2258</v>
      </c>
      <c r="G36" s="19">
        <v>708.5</v>
      </c>
      <c r="H36" s="18">
        <v>806.45159999999998</v>
      </c>
      <c r="I36" s="19">
        <v>0</v>
      </c>
      <c r="J36" s="218">
        <v>0</v>
      </c>
      <c r="K36" s="16">
        <v>35</v>
      </c>
      <c r="L36" s="80"/>
      <c r="M36" s="238">
        <f t="shared" si="30"/>
        <v>35</v>
      </c>
      <c r="N36" s="217">
        <v>5161.2903200000001</v>
      </c>
      <c r="O36" s="20">
        <v>3090.6</v>
      </c>
      <c r="P36" s="226">
        <v>9342</v>
      </c>
      <c r="Q36" s="226">
        <f t="shared" si="31"/>
        <v>12432.6</v>
      </c>
      <c r="R36" s="17">
        <v>1935.48387</v>
      </c>
      <c r="S36" s="16">
        <v>11688.8</v>
      </c>
      <c r="T36" s="217">
        <v>7564.5161289999996</v>
      </c>
      <c r="U36" s="91">
        <f t="shared" si="32"/>
        <v>42325.8</v>
      </c>
      <c r="V36" s="89">
        <f>SUM(D36+F36+H36+J36+N36+R36+T36)</f>
        <v>32564.516105999999</v>
      </c>
      <c r="W36" s="16">
        <v>3895.3</v>
      </c>
      <c r="X36" s="217">
        <v>2741.9354800000001</v>
      </c>
      <c r="Y36" s="109">
        <f>SUM(U36+W36)</f>
        <v>46221.100000000006</v>
      </c>
      <c r="Z36" s="110">
        <f t="shared" si="33"/>
        <v>35306.451585999996</v>
      </c>
      <c r="AA36" s="45" t="s">
        <v>58</v>
      </c>
      <c r="AB36" s="46">
        <v>25</v>
      </c>
      <c r="AC36" s="21" t="s">
        <v>7</v>
      </c>
      <c r="AD36" s="22"/>
      <c r="AF36" s="223">
        <f t="shared" si="2"/>
        <v>25190.299999999996</v>
      </c>
    </row>
    <row r="37" spans="1:32" ht="18.600000000000001" customHeight="1" x14ac:dyDescent="0.25">
      <c r="A37" s="47">
        <f t="shared" ref="A37:A39" si="34">SUM(A36+1)</f>
        <v>29</v>
      </c>
      <c r="B37" s="15" t="s">
        <v>100</v>
      </c>
      <c r="C37" s="16">
        <v>1107.2</v>
      </c>
      <c r="D37" s="17">
        <v>4193.5483869999998</v>
      </c>
      <c r="E37" s="16">
        <v>14435.4</v>
      </c>
      <c r="F37" s="218">
        <v>12903.2258</v>
      </c>
      <c r="G37" s="19">
        <v>849.1</v>
      </c>
      <c r="H37" s="18">
        <v>806.45159999999998</v>
      </c>
      <c r="I37" s="19">
        <v>0</v>
      </c>
      <c r="J37" s="218">
        <v>0</v>
      </c>
      <c r="K37" s="16">
        <v>7840.4</v>
      </c>
      <c r="L37" s="80"/>
      <c r="M37" s="238">
        <f t="shared" si="30"/>
        <v>7840.4</v>
      </c>
      <c r="N37" s="217">
        <v>5161.2903200000001</v>
      </c>
      <c r="O37" s="20">
        <v>685.6</v>
      </c>
      <c r="P37" s="226">
        <v>5285</v>
      </c>
      <c r="Q37" s="226">
        <f t="shared" si="31"/>
        <v>5970.6</v>
      </c>
      <c r="R37" s="17">
        <v>1935.48387</v>
      </c>
      <c r="S37" s="16">
        <v>6985</v>
      </c>
      <c r="T37" s="217">
        <v>7564.5161289999996</v>
      </c>
      <c r="U37" s="91">
        <f t="shared" si="32"/>
        <v>37187.699999999997</v>
      </c>
      <c r="V37" s="89">
        <f t="shared" ref="V37:V38" si="35">SUM(D37+F37+H37+J37+N37+R37+T37)</f>
        <v>32564.516105999999</v>
      </c>
      <c r="W37" s="16">
        <v>4503.7</v>
      </c>
      <c r="X37" s="217">
        <v>2741.9354800000001</v>
      </c>
      <c r="Y37" s="109">
        <f t="shared" ref="Y37:Y38" si="36">SUM(U37+W37)</f>
        <v>41691.399999999994</v>
      </c>
      <c r="Z37" s="110">
        <f t="shared" ref="Z37:Z38" si="37">SUM(V37+X37)</f>
        <v>35306.451585999996</v>
      </c>
      <c r="AA37" s="45" t="s">
        <v>58</v>
      </c>
      <c r="AB37" s="46">
        <v>28</v>
      </c>
      <c r="AC37" s="21" t="s">
        <v>7</v>
      </c>
      <c r="AD37" s="22"/>
      <c r="AF37" s="223">
        <f t="shared" si="2"/>
        <v>29421.399999999998</v>
      </c>
    </row>
    <row r="38" spans="1:32" ht="18.600000000000001" customHeight="1" x14ac:dyDescent="0.25">
      <c r="A38" s="47">
        <f t="shared" si="34"/>
        <v>30</v>
      </c>
      <c r="B38" s="15" t="s">
        <v>123</v>
      </c>
      <c r="C38" s="16">
        <v>3129.9</v>
      </c>
      <c r="D38" s="17">
        <v>4193.5483869999998</v>
      </c>
      <c r="E38" s="16">
        <v>19754.400000000001</v>
      </c>
      <c r="F38" s="218">
        <v>12903.2258</v>
      </c>
      <c r="G38" s="19">
        <v>777.7</v>
      </c>
      <c r="H38" s="18">
        <v>806.45159999999998</v>
      </c>
      <c r="I38" s="19">
        <v>3654</v>
      </c>
      <c r="J38" s="218">
        <v>3000</v>
      </c>
      <c r="K38" s="16">
        <v>14834.1</v>
      </c>
      <c r="L38" s="80"/>
      <c r="M38" s="238">
        <f t="shared" si="30"/>
        <v>14834.1</v>
      </c>
      <c r="N38" s="217">
        <v>5161.2903200000001</v>
      </c>
      <c r="O38" s="20">
        <v>0</v>
      </c>
      <c r="P38" s="226">
        <v>1119</v>
      </c>
      <c r="Q38" s="226">
        <f t="shared" si="31"/>
        <v>1119</v>
      </c>
      <c r="R38" s="17">
        <v>1935.48387</v>
      </c>
      <c r="S38" s="16">
        <v>8426</v>
      </c>
      <c r="T38" s="217">
        <v>7564.5161289999996</v>
      </c>
      <c r="U38" s="91">
        <f t="shared" si="32"/>
        <v>51695.100000000006</v>
      </c>
      <c r="V38" s="89">
        <f t="shared" si="35"/>
        <v>35564.516105999995</v>
      </c>
      <c r="W38" s="16">
        <v>4287.8</v>
      </c>
      <c r="X38" s="217">
        <v>2741.9354800000001</v>
      </c>
      <c r="Y38" s="109">
        <f t="shared" si="36"/>
        <v>55982.900000000009</v>
      </c>
      <c r="Z38" s="110">
        <f t="shared" si="37"/>
        <v>38306.451585999996</v>
      </c>
      <c r="AA38" s="45" t="s">
        <v>58</v>
      </c>
      <c r="AB38" s="46">
        <v>28</v>
      </c>
      <c r="AC38" s="21" t="s">
        <v>7</v>
      </c>
      <c r="AD38" s="22"/>
      <c r="AF38" s="223">
        <f>C38+E38+G38+I38+K38+O38+W38</f>
        <v>46437.900000000009</v>
      </c>
    </row>
    <row r="39" spans="1:32" ht="18.600000000000001" customHeight="1" x14ac:dyDescent="0.25">
      <c r="A39" s="23">
        <f t="shared" si="34"/>
        <v>31</v>
      </c>
      <c r="B39" s="24" t="s">
        <v>125</v>
      </c>
      <c r="C39" s="25">
        <v>5054.6000000000004</v>
      </c>
      <c r="D39" s="26">
        <v>4193.5483869999998</v>
      </c>
      <c r="E39" s="25">
        <v>19793.8</v>
      </c>
      <c r="F39" s="27">
        <v>12903.2258</v>
      </c>
      <c r="G39" s="28">
        <v>1145.3</v>
      </c>
      <c r="H39" s="27">
        <v>806.45159999999998</v>
      </c>
      <c r="I39" s="28">
        <v>3744</v>
      </c>
      <c r="J39" s="27">
        <v>3000</v>
      </c>
      <c r="K39" s="25">
        <v>14954.2</v>
      </c>
      <c r="L39" s="81"/>
      <c r="M39" s="239">
        <f>K39+L39</f>
        <v>14954.2</v>
      </c>
      <c r="N39" s="26">
        <v>5161.2903200000001</v>
      </c>
      <c r="O39" s="25">
        <v>0</v>
      </c>
      <c r="P39" s="28">
        <v>0</v>
      </c>
      <c r="Q39" s="28">
        <f t="shared" si="31"/>
        <v>0</v>
      </c>
      <c r="R39" s="26">
        <v>1935.48387</v>
      </c>
      <c r="S39" s="25">
        <v>11156.6</v>
      </c>
      <c r="T39" s="26">
        <v>7564.5161289999996</v>
      </c>
      <c r="U39" s="183">
        <f t="shared" si="32"/>
        <v>55848.5</v>
      </c>
      <c r="V39" s="90">
        <f>SUM(D39+F39+H39+J39+N39+R39+T39)</f>
        <v>35564.516105999995</v>
      </c>
      <c r="W39" s="25">
        <v>6331.5</v>
      </c>
      <c r="X39" s="26">
        <v>2741.9354800000001</v>
      </c>
      <c r="Y39" s="92">
        <f>SUM(U39+W39)</f>
        <v>62180</v>
      </c>
      <c r="Z39" s="234">
        <f t="shared" si="33"/>
        <v>38306.451585999996</v>
      </c>
      <c r="AA39" s="29" t="s">
        <v>58</v>
      </c>
      <c r="AB39" s="30">
        <v>29</v>
      </c>
      <c r="AC39" s="31" t="s">
        <v>7</v>
      </c>
      <c r="AD39" s="32"/>
      <c r="AF39" s="223">
        <f t="shared" si="2"/>
        <v>51023.4</v>
      </c>
    </row>
    <row r="40" spans="1:32" ht="19.149999999999999" customHeight="1" thickBot="1" x14ac:dyDescent="0.3">
      <c r="A40" s="33" t="s">
        <v>10</v>
      </c>
      <c r="B40" s="34">
        <f>SUM(B33+1)</f>
        <v>35</v>
      </c>
      <c r="C40" s="35">
        <f>SUM(C34:C39)</f>
        <v>19695.52</v>
      </c>
      <c r="D40" s="36">
        <f>SUM(D34:D39)</f>
        <v>25161.290321999997</v>
      </c>
      <c r="E40" s="35">
        <f t="shared" ref="E40:Z40" si="38">SUM(E34:E39)</f>
        <v>84793.8</v>
      </c>
      <c r="F40" s="36">
        <f t="shared" si="38"/>
        <v>77419.354800000001</v>
      </c>
      <c r="G40" s="35">
        <f t="shared" si="38"/>
        <v>4281.5</v>
      </c>
      <c r="H40" s="36">
        <f t="shared" si="38"/>
        <v>4838.7096000000001</v>
      </c>
      <c r="I40" s="35">
        <f>SUM(I34:I39)</f>
        <v>7398</v>
      </c>
      <c r="J40" s="36">
        <f>SUM(J34:J39)</f>
        <v>6000</v>
      </c>
      <c r="K40" s="35">
        <f t="shared" si="38"/>
        <v>37923.199999999997</v>
      </c>
      <c r="L40" s="82">
        <f t="shared" si="38"/>
        <v>0</v>
      </c>
      <c r="M40" s="297">
        <f t="shared" si="38"/>
        <v>37923.199999999997</v>
      </c>
      <c r="N40" s="36">
        <f t="shared" si="38"/>
        <v>30967.74192</v>
      </c>
      <c r="O40" s="266">
        <f>SUM(O34:O39)</f>
        <v>8898</v>
      </c>
      <c r="P40" s="339">
        <f>SUM(P34:P39)</f>
        <v>29052</v>
      </c>
      <c r="Q40" s="339">
        <f>SUM(Q34:Q39)</f>
        <v>37950</v>
      </c>
      <c r="R40" s="118">
        <f>SUM(R34:R39)</f>
        <v>11612.90322</v>
      </c>
      <c r="S40" s="35">
        <f>SUM(S34:S39)</f>
        <v>56466.299999999996</v>
      </c>
      <c r="T40" s="36">
        <f t="shared" si="38"/>
        <v>45387.096773999991</v>
      </c>
      <c r="U40" s="35">
        <f>SUM(U34:U39)</f>
        <v>248508.32</v>
      </c>
      <c r="V40" s="36">
        <f>SUM(V34:V39)</f>
        <v>201387.09663599997</v>
      </c>
      <c r="W40" s="35">
        <f>SUM(W34:W39)</f>
        <v>19771.8</v>
      </c>
      <c r="X40" s="36">
        <f t="shared" si="38"/>
        <v>16451.612880000001</v>
      </c>
      <c r="Y40" s="35">
        <f>SUM(Y34:Y39)</f>
        <v>268280.12</v>
      </c>
      <c r="Z40" s="36">
        <f t="shared" si="38"/>
        <v>217838.70951599994</v>
      </c>
      <c r="AA40" s="39" t="s">
        <v>11</v>
      </c>
      <c r="AB40" s="40">
        <f>SUM(AB34:AB39)/4</f>
        <v>37.5</v>
      </c>
      <c r="AC40" s="41" t="s">
        <v>7</v>
      </c>
      <c r="AD40" s="42"/>
      <c r="AF40" s="223">
        <f>SUM(AF5:AF39)</f>
        <v>951672.73</v>
      </c>
    </row>
    <row r="41" spans="1:32" ht="19.149999999999999" customHeight="1" x14ac:dyDescent="0.25">
      <c r="A41" s="175" t="s">
        <v>16</v>
      </c>
      <c r="B41" s="127"/>
      <c r="C41" s="336">
        <f>SUM(C9+C17+C25+C33+C40)</f>
        <v>124608.62000000001</v>
      </c>
      <c r="D41" s="128">
        <f>SUM(D9+D17+D25+D33+D40)</f>
        <v>129999.99999699999</v>
      </c>
      <c r="E41" s="336">
        <f>SUM(E9+E17+E25+E33+E40)</f>
        <v>440200.72</v>
      </c>
      <c r="F41" s="128">
        <f t="shared" ref="F41:T41" si="39">SUM(F9+F17+F25+F33+F40)</f>
        <v>399999.99979999999</v>
      </c>
      <c r="G41" s="336">
        <f t="shared" si="39"/>
        <v>27623</v>
      </c>
      <c r="H41" s="128">
        <f t="shared" si="39"/>
        <v>24999.999600000003</v>
      </c>
      <c r="I41" s="115">
        <f t="shared" si="39"/>
        <v>34727</v>
      </c>
      <c r="J41" s="116">
        <f t="shared" si="39"/>
        <v>30000</v>
      </c>
      <c r="K41" s="115">
        <f t="shared" si="39"/>
        <v>183408</v>
      </c>
      <c r="L41" s="116">
        <f t="shared" si="39"/>
        <v>0</v>
      </c>
      <c r="M41" s="304">
        <f t="shared" si="39"/>
        <v>183408</v>
      </c>
      <c r="N41" s="128">
        <f t="shared" si="39"/>
        <v>159999.99992</v>
      </c>
      <c r="O41" s="115">
        <f>SUM(O9+O17+O25+O33+O40)</f>
        <v>20357.2</v>
      </c>
      <c r="P41" s="244">
        <f>SUM(P9+P17+P25+P33+P40)</f>
        <v>84585.5</v>
      </c>
      <c r="Q41" s="244">
        <f>O41+P41</f>
        <v>104942.7</v>
      </c>
      <c r="R41" s="116">
        <f>R9+R17+R25+R33+R40</f>
        <v>59999.999969999997</v>
      </c>
      <c r="S41" s="336">
        <f t="shared" si="39"/>
        <v>295815.84999999998</v>
      </c>
      <c r="T41" s="128">
        <f t="shared" si="39"/>
        <v>234499.99999899993</v>
      </c>
      <c r="U41" s="115">
        <f>SUM(U9+U17+U25+U33+U40)</f>
        <v>1211325.8900000001</v>
      </c>
      <c r="V41" s="116">
        <f t="shared" ref="V41:Z41" si="40">SUM(V9+V17+V25+V33+V40)</f>
        <v>1039499.9992859998</v>
      </c>
      <c r="W41" s="115">
        <f t="shared" si="40"/>
        <v>120748.19</v>
      </c>
      <c r="X41" s="116">
        <f t="shared" si="40"/>
        <v>84999.999880000003</v>
      </c>
      <c r="Y41" s="115">
        <f>SUM(Y9+Y17+Y25+Y33+Y40)</f>
        <v>1332074.08</v>
      </c>
      <c r="Z41" s="116">
        <f t="shared" si="40"/>
        <v>1124499.9991659997</v>
      </c>
      <c r="AA41" s="126" t="s">
        <v>16</v>
      </c>
      <c r="AB41" s="101"/>
      <c r="AC41" s="102"/>
      <c r="AD41" s="103"/>
    </row>
    <row r="42" spans="1:32" ht="19.5" customHeight="1" thickBot="1" x14ac:dyDescent="0.3">
      <c r="A42" s="177" t="s">
        <v>28</v>
      </c>
      <c r="B42" s="178"/>
      <c r="C42" s="65">
        <f t="shared" ref="C42:Z42" si="41">C41/31</f>
        <v>4019.6329032258068</v>
      </c>
      <c r="D42" s="66">
        <f t="shared" si="41"/>
        <v>4193.5483869999998</v>
      </c>
      <c r="E42" s="65">
        <f t="shared" si="41"/>
        <v>14200.023225806452</v>
      </c>
      <c r="F42" s="66">
        <f t="shared" si="41"/>
        <v>12903.2258</v>
      </c>
      <c r="G42" s="65">
        <f t="shared" si="41"/>
        <v>891.06451612903231</v>
      </c>
      <c r="H42" s="66">
        <f t="shared" si="41"/>
        <v>806.4516000000001</v>
      </c>
      <c r="I42" s="65">
        <f>I41/31</f>
        <v>1120.2258064516129</v>
      </c>
      <c r="J42" s="66">
        <f>J41/31</f>
        <v>967.74193548387098</v>
      </c>
      <c r="K42" s="65">
        <f t="shared" si="41"/>
        <v>5916.3870967741932</v>
      </c>
      <c r="L42" s="83"/>
      <c r="M42" s="240"/>
      <c r="N42" s="66">
        <f t="shared" si="41"/>
        <v>5161.2903200000001</v>
      </c>
      <c r="O42" s="65">
        <f t="shared" si="41"/>
        <v>656.683870967742</v>
      </c>
      <c r="P42" s="245">
        <f t="shared" si="41"/>
        <v>2728.5645161290322</v>
      </c>
      <c r="Q42" s="245">
        <f t="shared" si="41"/>
        <v>3385.248387096774</v>
      </c>
      <c r="R42" s="67">
        <f t="shared" si="41"/>
        <v>1935.4838699999998</v>
      </c>
      <c r="S42" s="65">
        <f t="shared" si="41"/>
        <v>9542.4467741935478</v>
      </c>
      <c r="T42" s="66">
        <f t="shared" si="41"/>
        <v>7564.5161289999978</v>
      </c>
      <c r="U42" s="65">
        <f t="shared" si="41"/>
        <v>39075.028709677426</v>
      </c>
      <c r="V42" s="66">
        <f t="shared" si="41"/>
        <v>33532.258041483867</v>
      </c>
      <c r="W42" s="65">
        <f t="shared" si="41"/>
        <v>3895.1029032258066</v>
      </c>
      <c r="X42" s="66">
        <f t="shared" si="41"/>
        <v>2741.9354800000001</v>
      </c>
      <c r="Y42" s="65">
        <f t="shared" si="41"/>
        <v>42970.131612903228</v>
      </c>
      <c r="Z42" s="66">
        <f t="shared" si="41"/>
        <v>36274.19352148386</v>
      </c>
      <c r="AA42" s="69" t="s">
        <v>17</v>
      </c>
      <c r="AB42" s="98"/>
      <c r="AC42" s="99"/>
      <c r="AD42" s="100"/>
    </row>
    <row r="43" spans="1:32" ht="20.100000000000001" customHeight="1" x14ac:dyDescent="0.25">
      <c r="A43" s="72" t="s">
        <v>18</v>
      </c>
      <c r="B43" s="73"/>
      <c r="C43" s="74">
        <f>SUM(C41-D41)</f>
        <v>-5391.3799969999818</v>
      </c>
      <c r="D43" s="75"/>
      <c r="E43" s="74">
        <f>SUM(E41-F41)</f>
        <v>40200.720199999982</v>
      </c>
      <c r="F43" s="75"/>
      <c r="G43" s="74">
        <f>SUM(G41-H41)</f>
        <v>2623.0003999999972</v>
      </c>
      <c r="H43" s="75"/>
      <c r="I43" s="74">
        <f>SUM(I41-J41)</f>
        <v>4727</v>
      </c>
      <c r="J43" s="75"/>
      <c r="K43" s="74"/>
      <c r="L43" s="450"/>
      <c r="M43" s="448">
        <f>SUM(M41-N41)</f>
        <v>23408.000079999998</v>
      </c>
      <c r="N43" s="342"/>
      <c r="O43" s="338"/>
      <c r="P43" s="340"/>
      <c r="Q43" s="341"/>
      <c r="R43" s="133">
        <f>SUM(Q41-R41)</f>
        <v>44942.70003</v>
      </c>
      <c r="S43" s="74">
        <f>SUM(S41-T41)</f>
        <v>61315.850001000043</v>
      </c>
      <c r="T43" s="75"/>
      <c r="U43" s="380">
        <f>SUM(U41-V41)</f>
        <v>171825.89071400033</v>
      </c>
      <c r="V43" s="75"/>
      <c r="W43" s="74">
        <f>SUM(W41-X41)</f>
        <v>35748.190119999999</v>
      </c>
      <c r="X43" s="75"/>
      <c r="Y43" s="381">
        <f>SUM(Y41-Z41)</f>
        <v>207574.08083400037</v>
      </c>
      <c r="Z43" s="112"/>
      <c r="AC43" s="2"/>
      <c r="AD43" s="2"/>
    </row>
    <row r="44" spans="1:32" ht="20.100000000000001" customHeight="1" thickBot="1" x14ac:dyDescent="0.3">
      <c r="A44" s="76" t="s">
        <v>19</v>
      </c>
      <c r="B44" s="77"/>
      <c r="C44" s="95">
        <f>SUM(100/D41*C41)</f>
        <v>95.852784617596612</v>
      </c>
      <c r="D44" s="78"/>
      <c r="E44" s="95">
        <f>SUM(100/F41*E41)</f>
        <v>110.05018005502508</v>
      </c>
      <c r="F44" s="78"/>
      <c r="G44" s="95">
        <f>SUM(100/H41*G41)</f>
        <v>110.49200176787203</v>
      </c>
      <c r="H44" s="78"/>
      <c r="I44" s="95">
        <f>SUM(100/J41*I41)</f>
        <v>115.75666666666667</v>
      </c>
      <c r="J44" s="78"/>
      <c r="K44" s="95"/>
      <c r="L44" s="257"/>
      <c r="M44" s="257">
        <f>SUM(100/N41*M41)</f>
        <v>114.630000057315</v>
      </c>
      <c r="N44" s="257"/>
      <c r="O44" s="95"/>
      <c r="P44" s="242"/>
      <c r="Q44" s="247">
        <f>SUM(100/R41*Q41)</f>
        <v>174.90450008745228</v>
      </c>
      <c r="R44" s="257"/>
      <c r="S44" s="95">
        <f>SUM(100/T41*S41)</f>
        <v>126.14748400906676</v>
      </c>
      <c r="T44" s="78"/>
      <c r="U44" s="379">
        <f>SUM(100/V41*U41)</f>
        <v>116.52966722770775</v>
      </c>
      <c r="V44" s="78"/>
      <c r="W44" s="95">
        <f>SUM(100/X41*W41)</f>
        <v>142.05669431819769</v>
      </c>
      <c r="X44" s="78"/>
      <c r="Y44" s="382">
        <f>SUM(100/Z41*Y41)</f>
        <v>118.45923352494002</v>
      </c>
      <c r="Z44" s="114"/>
      <c r="AC44" s="2"/>
      <c r="AD44" s="2"/>
    </row>
    <row r="45" spans="1:32" x14ac:dyDescent="0.25">
      <c r="P45" s="230"/>
    </row>
    <row r="46" spans="1:32" x14ac:dyDescent="0.25">
      <c r="C46" s="230"/>
      <c r="D46" s="230"/>
      <c r="E46" s="230"/>
      <c r="F46" s="230"/>
      <c r="G46" s="230"/>
      <c r="H46" s="360"/>
      <c r="I46" s="230"/>
      <c r="J46" s="36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</row>
    <row r="47" spans="1:32" x14ac:dyDescent="0.25">
      <c r="C47" s="230"/>
      <c r="D47" s="230"/>
      <c r="E47" s="230"/>
      <c r="F47" s="230"/>
      <c r="G47" s="360"/>
      <c r="H47" s="360"/>
      <c r="I47" s="360"/>
      <c r="J47" s="36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</row>
    <row r="48" spans="1:32" x14ac:dyDescent="0.25">
      <c r="C48" s="390"/>
      <c r="D48" s="230"/>
      <c r="E48" s="391"/>
      <c r="F48" s="230"/>
      <c r="G48" s="360"/>
      <c r="H48" s="360"/>
      <c r="I48" s="360"/>
      <c r="J48" s="36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</row>
    <row r="49" spans="16:21" x14ac:dyDescent="0.25">
      <c r="P49" s="230"/>
    </row>
    <row r="50" spans="16:21" x14ac:dyDescent="0.25">
      <c r="P50" s="230"/>
    </row>
    <row r="51" spans="16:21" x14ac:dyDescent="0.25">
      <c r="P51" s="230"/>
      <c r="U51" s="221"/>
    </row>
    <row r="52" spans="16:21" x14ac:dyDescent="0.25">
      <c r="P52" s="230"/>
    </row>
    <row r="53" spans="16:21" x14ac:dyDescent="0.25">
      <c r="P53" s="230"/>
    </row>
    <row r="54" spans="16:21" x14ac:dyDescent="0.25">
      <c r="P54" s="230"/>
    </row>
    <row r="55" spans="16:21" x14ac:dyDescent="0.25">
      <c r="P55" s="230"/>
    </row>
    <row r="56" spans="16:21" x14ac:dyDescent="0.25">
      <c r="P56" s="230"/>
    </row>
    <row r="57" spans="16:21" x14ac:dyDescent="0.25">
      <c r="P57" s="230"/>
    </row>
    <row r="58" spans="16:21" x14ac:dyDescent="0.25">
      <c r="P58" s="230"/>
    </row>
    <row r="59" spans="16:21" x14ac:dyDescent="0.25">
      <c r="P59" s="230"/>
    </row>
    <row r="60" spans="16:21" x14ac:dyDescent="0.25">
      <c r="P60" s="230"/>
    </row>
    <row r="61" spans="16:21" x14ac:dyDescent="0.25">
      <c r="P61" s="230"/>
    </row>
    <row r="62" spans="16:21" x14ac:dyDescent="0.25">
      <c r="P62" s="230"/>
    </row>
    <row r="63" spans="16:21" x14ac:dyDescent="0.25">
      <c r="P63" s="230"/>
    </row>
    <row r="64" spans="16:21" x14ac:dyDescent="0.25">
      <c r="P64" s="230"/>
    </row>
    <row r="65" spans="16:16" x14ac:dyDescent="0.25">
      <c r="P65" s="230"/>
    </row>
    <row r="66" spans="16:16" x14ac:dyDescent="0.25">
      <c r="P66" s="230"/>
    </row>
    <row r="67" spans="16:16" x14ac:dyDescent="0.25">
      <c r="P67" s="230"/>
    </row>
    <row r="68" spans="16:16" x14ac:dyDescent="0.25">
      <c r="P68" s="230"/>
    </row>
    <row r="69" spans="16:16" x14ac:dyDescent="0.25">
      <c r="P69" s="230"/>
    </row>
    <row r="70" spans="16:16" x14ac:dyDescent="0.25">
      <c r="P70" s="230"/>
    </row>
    <row r="71" spans="16:16" x14ac:dyDescent="0.25">
      <c r="P71" s="230"/>
    </row>
    <row r="72" spans="16:16" x14ac:dyDescent="0.25">
      <c r="P72" s="230"/>
    </row>
    <row r="73" spans="16:16" x14ac:dyDescent="0.25">
      <c r="P73" s="230"/>
    </row>
    <row r="74" spans="16:16" x14ac:dyDescent="0.25">
      <c r="P74" s="230"/>
    </row>
    <row r="75" spans="16:16" x14ac:dyDescent="0.25">
      <c r="P75" s="230"/>
    </row>
    <row r="76" spans="16:16" x14ac:dyDescent="0.25">
      <c r="P76" s="230"/>
    </row>
    <row r="77" spans="16:16" x14ac:dyDescent="0.25">
      <c r="P77" s="230"/>
    </row>
    <row r="78" spans="16:16" x14ac:dyDescent="0.25">
      <c r="P78" s="230"/>
    </row>
    <row r="79" spans="16:16" x14ac:dyDescent="0.25">
      <c r="P79" s="230"/>
    </row>
    <row r="80" spans="16:16" x14ac:dyDescent="0.25">
      <c r="P80" s="230"/>
    </row>
    <row r="81" spans="16:16" x14ac:dyDescent="0.25">
      <c r="P81" s="230"/>
    </row>
    <row r="82" spans="16:16" x14ac:dyDescent="0.25">
      <c r="P82" s="230"/>
    </row>
    <row r="83" spans="16:16" x14ac:dyDescent="0.25">
      <c r="P83" s="230"/>
    </row>
    <row r="84" spans="16:16" x14ac:dyDescent="0.25">
      <c r="P84" s="230"/>
    </row>
    <row r="85" spans="16:16" x14ac:dyDescent="0.25">
      <c r="P85" s="230"/>
    </row>
    <row r="86" spans="16:16" x14ac:dyDescent="0.25">
      <c r="P86" s="230"/>
    </row>
    <row r="87" spans="16:16" x14ac:dyDescent="0.25">
      <c r="P87" s="230"/>
    </row>
    <row r="88" spans="16:16" x14ac:dyDescent="0.25">
      <c r="P88" s="230"/>
    </row>
    <row r="89" spans="16:16" x14ac:dyDescent="0.25">
      <c r="P89" s="230"/>
    </row>
    <row r="90" spans="16:16" x14ac:dyDescent="0.25">
      <c r="P90" s="230"/>
    </row>
    <row r="91" spans="16:16" x14ac:dyDescent="0.25">
      <c r="P91" s="230"/>
    </row>
    <row r="92" spans="16:16" x14ac:dyDescent="0.25">
      <c r="P92" s="230"/>
    </row>
    <row r="93" spans="16:16" x14ac:dyDescent="0.25">
      <c r="P93" s="230"/>
    </row>
    <row r="94" spans="16:16" x14ac:dyDescent="0.25">
      <c r="P94" s="230"/>
    </row>
    <row r="95" spans="16:16" x14ac:dyDescent="0.25">
      <c r="P95" s="230"/>
    </row>
    <row r="96" spans="16:16" x14ac:dyDescent="0.25">
      <c r="P96" s="230"/>
    </row>
    <row r="97" spans="16:16" x14ac:dyDescent="0.25">
      <c r="P97" s="230"/>
    </row>
    <row r="98" spans="16:16" x14ac:dyDescent="0.25">
      <c r="P98" s="230"/>
    </row>
    <row r="99" spans="16:16" x14ac:dyDescent="0.25">
      <c r="P99" s="230"/>
    </row>
    <row r="100" spans="16:16" x14ac:dyDescent="0.25">
      <c r="P100" s="230"/>
    </row>
    <row r="101" spans="16:16" x14ac:dyDescent="0.25">
      <c r="P101" s="230"/>
    </row>
    <row r="102" spans="16:16" x14ac:dyDescent="0.25">
      <c r="P102" s="230"/>
    </row>
    <row r="103" spans="16:16" x14ac:dyDescent="0.25">
      <c r="P103" s="230"/>
    </row>
    <row r="104" spans="16:16" x14ac:dyDescent="0.25">
      <c r="P104" s="230"/>
    </row>
    <row r="105" spans="16:16" x14ac:dyDescent="0.25">
      <c r="P105" s="230"/>
    </row>
    <row r="106" spans="16:16" x14ac:dyDescent="0.25">
      <c r="P106" s="230"/>
    </row>
    <row r="107" spans="16:16" x14ac:dyDescent="0.25">
      <c r="P107" s="230"/>
    </row>
    <row r="108" spans="16:16" x14ac:dyDescent="0.25">
      <c r="P108" s="230"/>
    </row>
    <row r="109" spans="16:16" x14ac:dyDescent="0.25">
      <c r="P109" s="230"/>
    </row>
    <row r="110" spans="16:16" x14ac:dyDescent="0.25">
      <c r="P110" s="230"/>
    </row>
    <row r="111" spans="16:16" x14ac:dyDescent="0.25">
      <c r="P111" s="230"/>
    </row>
    <row r="112" spans="16:16" x14ac:dyDescent="0.25">
      <c r="P112" s="230"/>
    </row>
    <row r="113" spans="16:16" x14ac:dyDescent="0.25">
      <c r="P113" s="230"/>
    </row>
    <row r="114" spans="16:16" x14ac:dyDescent="0.25">
      <c r="P114" s="230"/>
    </row>
    <row r="115" spans="16:16" x14ac:dyDescent="0.25">
      <c r="P115" s="230"/>
    </row>
    <row r="116" spans="16:16" x14ac:dyDescent="0.25">
      <c r="P116" s="230"/>
    </row>
    <row r="117" spans="16:16" x14ac:dyDescent="0.25">
      <c r="P117" s="230"/>
    </row>
    <row r="118" spans="16:16" x14ac:dyDescent="0.25">
      <c r="P118" s="230"/>
    </row>
    <row r="119" spans="16:16" x14ac:dyDescent="0.25">
      <c r="P119" s="230"/>
    </row>
    <row r="120" spans="16:16" x14ac:dyDescent="0.25">
      <c r="P120" s="230"/>
    </row>
    <row r="121" spans="16:16" x14ac:dyDescent="0.25">
      <c r="P121" s="230"/>
    </row>
    <row r="122" spans="16:16" x14ac:dyDescent="0.25">
      <c r="P122" s="230"/>
    </row>
    <row r="123" spans="16:16" x14ac:dyDescent="0.25">
      <c r="P123" s="230"/>
    </row>
    <row r="124" spans="16:16" x14ac:dyDescent="0.25">
      <c r="P124" s="230"/>
    </row>
    <row r="125" spans="16:16" x14ac:dyDescent="0.25">
      <c r="P125" s="230"/>
    </row>
    <row r="126" spans="16:16" x14ac:dyDescent="0.25">
      <c r="P126" s="230"/>
    </row>
    <row r="127" spans="16:16" x14ac:dyDescent="0.25">
      <c r="P127" s="230"/>
    </row>
    <row r="128" spans="16:16" x14ac:dyDescent="0.25">
      <c r="P128" s="230"/>
    </row>
    <row r="129" spans="16:16" x14ac:dyDescent="0.25">
      <c r="P129" s="230"/>
    </row>
    <row r="130" spans="16:16" x14ac:dyDescent="0.25">
      <c r="P130" s="230"/>
    </row>
    <row r="131" spans="16:16" x14ac:dyDescent="0.25">
      <c r="P131" s="230"/>
    </row>
    <row r="132" spans="16:16" x14ac:dyDescent="0.25">
      <c r="P132" s="230"/>
    </row>
    <row r="133" spans="16:16" x14ac:dyDescent="0.25">
      <c r="P133" s="230"/>
    </row>
    <row r="134" spans="16:16" x14ac:dyDescent="0.25">
      <c r="P134" s="230"/>
    </row>
    <row r="135" spans="16:16" x14ac:dyDescent="0.25">
      <c r="P135" s="230"/>
    </row>
    <row r="136" spans="16:16" x14ac:dyDescent="0.25">
      <c r="P136" s="230"/>
    </row>
    <row r="137" spans="16:16" x14ac:dyDescent="0.25">
      <c r="P137" s="230"/>
    </row>
    <row r="138" spans="16:16" x14ac:dyDescent="0.25">
      <c r="P138" s="230"/>
    </row>
    <row r="139" spans="16:16" x14ac:dyDescent="0.25">
      <c r="P139" s="230"/>
    </row>
    <row r="140" spans="16:16" x14ac:dyDescent="0.25">
      <c r="P140" s="230"/>
    </row>
  </sheetData>
  <customSheetViews>
    <customSheetView guid="{512075D7-6EE7-4EEF-842F-09AF15E6D8B5}" scale="70" showPageBreaks="1" fitToPage="1" printArea="1">
      <pane ySplit="4" topLeftCell="A14" activePane="bottomLeft" state="frozen"/>
      <selection pane="bottomLeft" activeCell="T53" sqref="T53"/>
      <pageMargins left="0.59055118110236227" right="0.59055118110236227" top="1.1811023622047245" bottom="0.59055118110236227" header="0.11811023622047245" footer="0.31496062992125984"/>
      <pageSetup paperSize="9" scale="37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>
      <pane ySplit="4" topLeftCell="A14" activePane="bottomLeft" state="frozen"/>
      <selection pane="bottomLeft" activeCell="T53" sqref="T53"/>
      <pageMargins left="0.59055118110236227" right="0.59055118110236227" top="1.1811023622047245" bottom="0.59055118110236227" header="0.11811023622047245" footer="0.31496062992125984"/>
      <pageSetup paperSize="9" scale="3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86" showPageBreaks="1" fitToPage="1" printArea="1">
      <pane ySplit="4" topLeftCell="A23" activePane="bottomLeft" state="frozen"/>
      <selection pane="bottomLeft" activeCell="S38" sqref="S38"/>
      <pageMargins left="0.59055118110236227" right="0.59055118110236227" top="1.1811023622047245" bottom="0.59055118110236227" header="0.11811023622047245" footer="0.31496062992125984"/>
      <pageSetup paperSize="9" scale="3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>
      <pane ySplit="4" topLeftCell="A17" activePane="bottomLeft" state="frozen"/>
      <selection pane="bottomLeft" activeCell="AB35" sqref="AB35"/>
      <pageMargins left="0.59055118110236227" right="0.59055118110236227" top="1.1811023622047245" bottom="0.59055118110236227" header="0.11811023622047245" footer="0.31496062992125984"/>
      <pageSetup paperSize="9" scale="3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14" activePane="bottomLeft" state="frozen"/>
      <selection pane="bottomLeft" activeCell="P37" sqref="P37"/>
      <pageMargins left="0.59055118110236227" right="0.59055118110236227" top="1.1811023622047245" bottom="0.59055118110236227" header="0.11811023622047245" footer="0.31496062992125984"/>
      <pageSetup paperSize="9" scale="3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5" activePane="bottomLeft" state="frozen"/>
      <selection pane="bottomLeft" activeCell="P26" sqref="P26"/>
      <pageMargins left="0.59055118110236227" right="0.59055118110236227" top="1.1811023622047245" bottom="0.59055118110236227" header="0.11811023622047245" footer="0.31496062992125984"/>
      <pageSetup paperSize="9" scale="37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 topLeftCell="G1">
      <pane ySplit="4" topLeftCell="A5" activePane="bottomLeft" state="frozen"/>
      <selection pane="bottomLeft" activeCell="C48" sqref="C48"/>
      <pageMargins left="0.59055118110236227" right="0.59055118110236227" top="1.1811023622047245" bottom="0.59055118110236227" header="0.11811023622047245" footer="0.31496062992125984"/>
      <pageSetup paperSize="9" scale="41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H50" sqref="H50"/>
      <pageMargins left="0.59055118110236227" right="0.59055118110236227" top="1.1811023622047245" bottom="0.59055118110236227" header="0.11811023622047245" footer="0.31496062992125984"/>
      <pageSetup paperSize="9" scale="45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0" showPageBreaks="1" fitToPage="1" printArea="1">
      <pane ySplit="4" topLeftCell="A5" activePane="bottomLeft" state="frozen"/>
      <selection pane="bottomLeft" activeCell="N12" sqref="N12"/>
      <pageMargins left="0.59055118110236227" right="0.59055118110236227" top="1.1811023622047245" bottom="0.59055118110236227" header="0.11811023622047245" footer="0.31496062992125984"/>
      <pageSetup paperSize="9" scale="37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11" activePane="bottomLeft" state="frozen"/>
      <selection pane="bottomLeft" activeCell="C44" sqref="C44"/>
      <pageMargins left="0.59055118110236227" right="0.59055118110236227" top="1.1811023622047245" bottom="0.59055118110236227" header="0.11811023622047245" footer="0.31496062992125984"/>
      <pageSetup paperSize="9" scale="37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26" activePane="bottomLeft" state="frozen"/>
      <selection pane="bottomLeft" activeCell="Q56" sqref="Q56"/>
      <pageMargins left="0.59055118110236227" right="0.59055118110236227" top="1.1811023622047245" bottom="0.59055118110236227" header="0.11811023622047245" footer="0.31496062992125984"/>
      <pageSetup paperSize="9" scale="37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O3:R3"/>
    <mergeCell ref="I3:J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7" orientation="landscape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F52"/>
  <sheetViews>
    <sheetView topLeftCell="I1" zoomScale="70" zoomScaleNormal="112" workbookViewId="0">
      <pane ySplit="4" topLeftCell="A5" activePane="bottomLeft" state="frozen"/>
      <selection activeCell="I1" sqref="I1"/>
      <selection pane="bottomLeft" activeCell="S12" sqref="S12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5.28515625" style="2" customWidth="1"/>
    <col min="4" max="4" width="14.5703125" style="2" bestFit="1" customWidth="1"/>
    <col min="5" max="6" width="14.28515625" style="2" bestFit="1" customWidth="1"/>
    <col min="7" max="10" width="12.85546875" style="6" bestFit="1" customWidth="1"/>
    <col min="11" max="11" width="14.28515625" style="2" bestFit="1" customWidth="1"/>
    <col min="12" max="13" width="14.28515625" style="2" customWidth="1"/>
    <col min="14" max="14" width="14.28515625" style="2" bestFit="1" customWidth="1"/>
    <col min="15" max="15" width="14.7109375" style="2" customWidth="1"/>
    <col min="16" max="16" width="14.28515625" style="2" customWidth="1"/>
    <col min="17" max="17" width="15" style="2" bestFit="1" customWidth="1"/>
    <col min="18" max="20" width="14.28515625" style="2" bestFit="1" customWidth="1"/>
    <col min="21" max="21" width="16.85546875" style="2" bestFit="1" customWidth="1"/>
    <col min="22" max="22" width="15.7109375" style="2" bestFit="1" customWidth="1"/>
    <col min="23" max="24" width="12.85546875" style="2" bestFit="1" customWidth="1"/>
    <col min="25" max="25" width="16.7109375" style="2" bestFit="1" customWidth="1"/>
    <col min="26" max="26" width="15.7109375" style="2" bestFit="1" customWidth="1"/>
    <col min="27" max="27" width="24.85546875" style="2" bestFit="1" customWidth="1"/>
    <col min="28" max="28" width="8" style="2" bestFit="1" customWidth="1"/>
    <col min="29" max="29" width="5.140625" style="4" customWidth="1"/>
    <col min="30" max="30" width="29.85546875" style="4" bestFit="1" customWidth="1"/>
    <col min="31" max="31" width="11.42578125" style="2"/>
    <col min="32" max="32" width="35" style="2" bestFit="1" customWidth="1"/>
    <col min="33" max="16384" width="11.42578125" style="2"/>
  </cols>
  <sheetData>
    <row r="1" spans="1:32" ht="34.15" customHeight="1" x14ac:dyDescent="0.25">
      <c r="A1" s="104" t="s">
        <v>55</v>
      </c>
      <c r="G1" s="2"/>
      <c r="H1" s="521">
        <v>45536</v>
      </c>
      <c r="I1" s="521"/>
      <c r="J1" s="521"/>
      <c r="K1" s="521"/>
      <c r="L1" s="435"/>
      <c r="M1" s="435"/>
      <c r="U1" s="183"/>
    </row>
    <row r="2" spans="1:32" ht="21" thickBot="1" x14ac:dyDescent="0.3">
      <c r="A2" s="105"/>
    </row>
    <row r="3" spans="1:32" s="8" customFormat="1" ht="45.75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3" t="s">
        <v>53</v>
      </c>
      <c r="J3" s="514"/>
      <c r="K3" s="513" t="s">
        <v>25</v>
      </c>
      <c r="L3" s="515"/>
      <c r="M3" s="515"/>
      <c r="N3" s="514"/>
      <c r="O3" s="513" t="s">
        <v>30</v>
      </c>
      <c r="P3" s="526"/>
      <c r="Q3" s="526"/>
      <c r="R3" s="527"/>
      <c r="S3" s="515" t="s">
        <v>2</v>
      </c>
      <c r="T3" s="515"/>
      <c r="U3" s="522" t="s">
        <v>29</v>
      </c>
      <c r="V3" s="523"/>
      <c r="W3" s="513" t="s">
        <v>26</v>
      </c>
      <c r="X3" s="514"/>
      <c r="Y3" s="524" t="s">
        <v>27</v>
      </c>
      <c r="Z3" s="525"/>
      <c r="AA3" s="513" t="s">
        <v>0</v>
      </c>
      <c r="AB3" s="515"/>
      <c r="AC3" s="515"/>
      <c r="AD3" s="514"/>
      <c r="AF3" s="356" t="s">
        <v>80</v>
      </c>
    </row>
    <row r="4" spans="1:32" s="4" customFormat="1" ht="18.600000000000001" customHeight="1" x14ac:dyDescent="0.25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449" t="s">
        <v>69</v>
      </c>
      <c r="M4" s="237" t="s">
        <v>70</v>
      </c>
      <c r="N4" s="12" t="s">
        <v>21</v>
      </c>
      <c r="O4" s="11" t="s">
        <v>68</v>
      </c>
      <c r="P4" s="237" t="s">
        <v>69</v>
      </c>
      <c r="Q4" s="243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19" t="s">
        <v>4</v>
      </c>
      <c r="AC4" s="520"/>
      <c r="AD4" s="14" t="s">
        <v>5</v>
      </c>
    </row>
    <row r="5" spans="1:32" ht="18.600000000000001" customHeight="1" x14ac:dyDescent="0.25">
      <c r="A5" s="23">
        <v>1</v>
      </c>
      <c r="B5" s="24" t="s">
        <v>9</v>
      </c>
      <c r="C5" s="25">
        <v>7550.8</v>
      </c>
      <c r="D5" s="26">
        <v>6666.6666599999999</v>
      </c>
      <c r="E5" s="25">
        <v>11727.3</v>
      </c>
      <c r="F5" s="27">
        <v>7333.3333300000004</v>
      </c>
      <c r="G5" s="28">
        <v>858.2</v>
      </c>
      <c r="H5" s="27">
        <v>600</v>
      </c>
      <c r="I5" s="28">
        <v>0</v>
      </c>
      <c r="J5" s="27"/>
      <c r="K5" s="25">
        <v>2079.5</v>
      </c>
      <c r="L5" s="81"/>
      <c r="M5" s="239">
        <f>K5+L5</f>
        <v>2079.5</v>
      </c>
      <c r="N5" s="26">
        <v>6666.6666599999999</v>
      </c>
      <c r="O5" s="25">
        <v>0</v>
      </c>
      <c r="P5" s="81">
        <v>0</v>
      </c>
      <c r="Q5" s="28">
        <f t="shared" ref="Q5" si="0">O5+P5</f>
        <v>0</v>
      </c>
      <c r="R5" s="26">
        <v>4666.6666599999999</v>
      </c>
      <c r="S5" s="25">
        <v>5711.3</v>
      </c>
      <c r="T5" s="26">
        <v>8250</v>
      </c>
      <c r="U5" s="183">
        <f>SUM(C5+E5+G5+I5+M5+Q5+S5)</f>
        <v>27927.1</v>
      </c>
      <c r="V5" s="90">
        <f t="shared" ref="V5" si="1">SUM(D5+F5+H5+J5+N5+R5+T5)</f>
        <v>34183.333310000002</v>
      </c>
      <c r="W5" s="25">
        <v>6328.5</v>
      </c>
      <c r="X5" s="26">
        <v>1666.6666600000001</v>
      </c>
      <c r="Y5" s="92">
        <f t="shared" ref="Y5:Z5" si="2">SUM(U5+W5)</f>
        <v>34255.599999999999</v>
      </c>
      <c r="Z5" s="94">
        <f t="shared" si="2"/>
        <v>35849.999970000004</v>
      </c>
      <c r="AA5" s="29" t="s">
        <v>122</v>
      </c>
      <c r="AB5" s="30">
        <v>28</v>
      </c>
      <c r="AC5" s="31" t="s">
        <v>7</v>
      </c>
      <c r="AD5" s="32"/>
      <c r="AF5" s="221">
        <f t="shared" ref="AF5:AF36" si="3">C5+E5+G5+I5+K5+O5+W5</f>
        <v>28544.3</v>
      </c>
    </row>
    <row r="6" spans="1:32" ht="18.600000000000001" customHeight="1" x14ac:dyDescent="0.25">
      <c r="A6" s="33" t="s">
        <v>10</v>
      </c>
      <c r="B6" s="34">
        <v>35</v>
      </c>
      <c r="C6" s="35">
        <f t="shared" ref="C6:K6" si="4">SUM(C5:C5)</f>
        <v>7550.8</v>
      </c>
      <c r="D6" s="36">
        <f t="shared" si="4"/>
        <v>6666.6666599999999</v>
      </c>
      <c r="E6" s="35">
        <f t="shared" si="4"/>
        <v>11727.3</v>
      </c>
      <c r="F6" s="36">
        <f t="shared" si="4"/>
        <v>7333.3333300000004</v>
      </c>
      <c r="G6" s="35">
        <f t="shared" si="4"/>
        <v>858.2</v>
      </c>
      <c r="H6" s="36">
        <f t="shared" si="4"/>
        <v>600</v>
      </c>
      <c r="I6" s="35">
        <f t="shared" si="4"/>
        <v>0</v>
      </c>
      <c r="J6" s="36">
        <f t="shared" si="4"/>
        <v>0</v>
      </c>
      <c r="K6" s="35">
        <f t="shared" si="4"/>
        <v>2079.5</v>
      </c>
      <c r="L6" s="82">
        <f t="shared" ref="L6:M6" si="5">SUM(L5:L5)</f>
        <v>0</v>
      </c>
      <c r="M6" s="297">
        <f t="shared" si="5"/>
        <v>2079.5</v>
      </c>
      <c r="N6" s="36">
        <f t="shared" ref="N6:Z6" si="6">SUM(N5:N5)</f>
        <v>6666.6666599999999</v>
      </c>
      <c r="O6" s="35">
        <f t="shared" si="6"/>
        <v>0</v>
      </c>
      <c r="P6" s="82">
        <f t="shared" si="6"/>
        <v>0</v>
      </c>
      <c r="Q6" s="38">
        <f t="shared" si="6"/>
        <v>0</v>
      </c>
      <c r="R6" s="37">
        <f t="shared" si="6"/>
        <v>4666.6666599999999</v>
      </c>
      <c r="S6" s="35">
        <f t="shared" si="6"/>
        <v>5711.3</v>
      </c>
      <c r="T6" s="36">
        <f t="shared" si="6"/>
        <v>8250</v>
      </c>
      <c r="U6" s="35">
        <f t="shared" si="6"/>
        <v>27927.1</v>
      </c>
      <c r="V6" s="36">
        <f t="shared" si="6"/>
        <v>34183.333310000002</v>
      </c>
      <c r="W6" s="35">
        <f t="shared" si="6"/>
        <v>6328.5</v>
      </c>
      <c r="X6" s="36">
        <f t="shared" si="6"/>
        <v>1666.6666600000001</v>
      </c>
      <c r="Y6" s="35">
        <f t="shared" si="6"/>
        <v>34255.599999999999</v>
      </c>
      <c r="Z6" s="36">
        <f t="shared" si="6"/>
        <v>35849.999970000004</v>
      </c>
      <c r="AA6" s="39" t="s">
        <v>11</v>
      </c>
      <c r="AB6" s="40">
        <f>SUM(AB5:AB5)/3</f>
        <v>9.3333333333333339</v>
      </c>
      <c r="AC6" s="41" t="s">
        <v>7</v>
      </c>
      <c r="AD6" s="42"/>
      <c r="AF6" s="221"/>
    </row>
    <row r="7" spans="1:32" ht="18.600000000000001" customHeight="1" x14ac:dyDescent="0.25">
      <c r="A7" s="44">
        <f>SUM(A5+1)</f>
        <v>2</v>
      </c>
      <c r="B7" s="15" t="s">
        <v>12</v>
      </c>
      <c r="C7" s="16">
        <v>375.7</v>
      </c>
      <c r="D7" s="17">
        <v>6666.6666599999999</v>
      </c>
      <c r="E7" s="16">
        <v>12882</v>
      </c>
      <c r="F7" s="18">
        <v>7333.3333300000004</v>
      </c>
      <c r="G7" s="19">
        <v>721.9</v>
      </c>
      <c r="H7" s="18">
        <v>600</v>
      </c>
      <c r="I7" s="19">
        <v>0</v>
      </c>
      <c r="J7" s="18">
        <v>0</v>
      </c>
      <c r="K7" s="16">
        <v>850</v>
      </c>
      <c r="L7" s="80">
        <v>0</v>
      </c>
      <c r="M7" s="238">
        <f t="shared" ref="M7:M13" si="7">K7+L7</f>
        <v>850</v>
      </c>
      <c r="N7" s="17">
        <v>6666.6666599999999</v>
      </c>
      <c r="O7" s="16">
        <v>755.2</v>
      </c>
      <c r="P7" s="250">
        <v>6555</v>
      </c>
      <c r="Q7" s="226">
        <f>O7+P7</f>
        <v>7310.2</v>
      </c>
      <c r="R7" s="17">
        <v>4666.6666599999999</v>
      </c>
      <c r="S7" s="16">
        <v>7114.6</v>
      </c>
      <c r="T7" s="17">
        <v>8250</v>
      </c>
      <c r="U7" s="91">
        <f>SUM(C7+E7+G7+I7+M7+Q7+S7)</f>
        <v>29254.400000000001</v>
      </c>
      <c r="V7" s="89">
        <f t="shared" ref="V7:V13" si="8">SUM(D7+F7+H7+J7+N7+R7+T7)</f>
        <v>34183.333310000002</v>
      </c>
      <c r="W7" s="16">
        <v>1548.9</v>
      </c>
      <c r="X7" s="17">
        <v>1666.6666600000001</v>
      </c>
      <c r="Y7" s="109">
        <f t="shared" ref="Y7:Z9" si="9">SUM(U7+W7)</f>
        <v>30803.300000000003</v>
      </c>
      <c r="Z7" s="110">
        <f t="shared" si="9"/>
        <v>35849.999970000004</v>
      </c>
      <c r="AA7" s="45" t="s">
        <v>122</v>
      </c>
      <c r="AB7" s="46">
        <v>25</v>
      </c>
      <c r="AC7" s="21" t="s">
        <v>7</v>
      </c>
      <c r="AD7" s="22"/>
      <c r="AF7" s="221">
        <f>C7+E7+G7+I7+K7+O7+W7</f>
        <v>17133.7</v>
      </c>
    </row>
    <row r="8" spans="1:32" ht="18.600000000000001" customHeight="1" x14ac:dyDescent="0.25">
      <c r="A8" s="47">
        <f t="shared" ref="A8:A13" si="10">SUM(A7+1)</f>
        <v>3</v>
      </c>
      <c r="B8" s="15" t="s">
        <v>13</v>
      </c>
      <c r="C8" s="16">
        <v>937.6</v>
      </c>
      <c r="D8" s="17">
        <v>6666.6666599999999</v>
      </c>
      <c r="E8" s="16">
        <v>9261.2999999999993</v>
      </c>
      <c r="F8" s="18">
        <v>7333.3333300000004</v>
      </c>
      <c r="G8" s="19">
        <v>318</v>
      </c>
      <c r="H8" s="18">
        <v>600</v>
      </c>
      <c r="I8" s="19">
        <v>0</v>
      </c>
      <c r="J8" s="18">
        <v>0</v>
      </c>
      <c r="K8" s="16">
        <v>1804.1</v>
      </c>
      <c r="L8" s="80">
        <v>0</v>
      </c>
      <c r="M8" s="238">
        <f t="shared" si="7"/>
        <v>1804.1</v>
      </c>
      <c r="N8" s="17">
        <v>6666.6666599999999</v>
      </c>
      <c r="O8" s="20">
        <v>176.2</v>
      </c>
      <c r="P8" s="250">
        <v>6213</v>
      </c>
      <c r="Q8" s="226">
        <f t="shared" ref="Q8:Q13" si="11">O8+P8</f>
        <v>6389.2</v>
      </c>
      <c r="R8" s="17">
        <v>4666.6666599999999</v>
      </c>
      <c r="S8" s="16">
        <v>6047</v>
      </c>
      <c r="T8" s="17">
        <v>8250</v>
      </c>
      <c r="U8" s="91">
        <f>SUM(C8+E8+G8+I8+M8+Q8+S8)</f>
        <v>24757.200000000001</v>
      </c>
      <c r="V8" s="89">
        <f t="shared" si="8"/>
        <v>34183.333310000002</v>
      </c>
      <c r="W8" s="16">
        <v>1320.6</v>
      </c>
      <c r="X8" s="17">
        <v>1666.6666600000001</v>
      </c>
      <c r="Y8" s="109">
        <f t="shared" si="9"/>
        <v>26077.8</v>
      </c>
      <c r="Z8" s="110">
        <f t="shared" si="9"/>
        <v>35849.999970000004</v>
      </c>
      <c r="AA8" s="45" t="s">
        <v>57</v>
      </c>
      <c r="AB8" s="46">
        <v>26</v>
      </c>
      <c r="AC8" s="21" t="s">
        <v>7</v>
      </c>
      <c r="AD8" s="22"/>
      <c r="AF8" s="221">
        <f>C8+E8+G8+I8+K8+O8+W8</f>
        <v>13817.800000000001</v>
      </c>
    </row>
    <row r="9" spans="1:32" ht="18.600000000000001" customHeight="1" x14ac:dyDescent="0.25">
      <c r="A9" s="47">
        <f t="shared" si="10"/>
        <v>4</v>
      </c>
      <c r="B9" s="15" t="s">
        <v>14</v>
      </c>
      <c r="C9" s="16">
        <v>384.9</v>
      </c>
      <c r="D9" s="17">
        <v>6666.6666599999999</v>
      </c>
      <c r="E9" s="16">
        <v>9925.4500000000007</v>
      </c>
      <c r="F9" s="18">
        <v>7333.3333300000004</v>
      </c>
      <c r="G9" s="19">
        <v>994.9</v>
      </c>
      <c r="H9" s="18">
        <v>600</v>
      </c>
      <c r="I9" s="19">
        <v>0</v>
      </c>
      <c r="J9" s="18">
        <v>0</v>
      </c>
      <c r="K9" s="16">
        <v>6876.8</v>
      </c>
      <c r="L9" s="80">
        <v>0</v>
      </c>
      <c r="M9" s="238">
        <f t="shared" si="7"/>
        <v>6876.8</v>
      </c>
      <c r="N9" s="17">
        <v>6666.6666599999999</v>
      </c>
      <c r="O9" s="20">
        <v>2411.9</v>
      </c>
      <c r="P9" s="250">
        <v>5333</v>
      </c>
      <c r="Q9" s="226">
        <f t="shared" si="11"/>
        <v>7744.9</v>
      </c>
      <c r="R9" s="17">
        <v>4666.6666599999999</v>
      </c>
      <c r="S9" s="16">
        <v>7847.1</v>
      </c>
      <c r="T9" s="17">
        <v>8250</v>
      </c>
      <c r="U9" s="91">
        <f t="shared" ref="U9:U13" si="12">SUM(C9+E9+G9+I9+M9+Q9+S9)</f>
        <v>33774.049999999996</v>
      </c>
      <c r="V9" s="89">
        <f t="shared" si="8"/>
        <v>34183.333310000002</v>
      </c>
      <c r="W9" s="16">
        <v>0</v>
      </c>
      <c r="X9" s="17">
        <v>1666.6666600000001</v>
      </c>
      <c r="Y9" s="109">
        <f>SUM(U9+W9)</f>
        <v>33774.049999999996</v>
      </c>
      <c r="Z9" s="110">
        <f t="shared" si="9"/>
        <v>35849.999970000004</v>
      </c>
      <c r="AA9" s="45" t="s">
        <v>62</v>
      </c>
      <c r="AB9" s="46">
        <v>21</v>
      </c>
      <c r="AC9" s="21" t="s">
        <v>7</v>
      </c>
      <c r="AD9" s="22"/>
      <c r="AF9" s="221">
        <f t="shared" si="3"/>
        <v>20593.95</v>
      </c>
    </row>
    <row r="10" spans="1:32" ht="18.600000000000001" customHeight="1" x14ac:dyDescent="0.25">
      <c r="A10" s="47">
        <f t="shared" si="10"/>
        <v>5</v>
      </c>
      <c r="B10" s="15" t="s">
        <v>15</v>
      </c>
      <c r="C10" s="16">
        <v>5100.87</v>
      </c>
      <c r="D10" s="17">
        <v>6666.6666599999999</v>
      </c>
      <c r="E10" s="16">
        <v>1978.8</v>
      </c>
      <c r="F10" s="18">
        <v>7333.3333300000004</v>
      </c>
      <c r="G10" s="19">
        <v>354.6</v>
      </c>
      <c r="H10" s="18">
        <v>600</v>
      </c>
      <c r="I10" s="19">
        <v>0</v>
      </c>
      <c r="J10" s="18">
        <v>0</v>
      </c>
      <c r="K10" s="16">
        <v>5799.2</v>
      </c>
      <c r="L10" s="80">
        <v>0</v>
      </c>
      <c r="M10" s="238">
        <f t="shared" si="7"/>
        <v>5799.2</v>
      </c>
      <c r="N10" s="17">
        <v>6666.6666599999999</v>
      </c>
      <c r="O10" s="20">
        <v>3043</v>
      </c>
      <c r="P10" s="250">
        <v>6626</v>
      </c>
      <c r="Q10" s="226">
        <f t="shared" si="11"/>
        <v>9669</v>
      </c>
      <c r="R10" s="17">
        <v>4666.6666599999999</v>
      </c>
      <c r="S10" s="16">
        <v>9663.2999999999993</v>
      </c>
      <c r="T10" s="17">
        <v>8250</v>
      </c>
      <c r="U10" s="91">
        <f t="shared" si="12"/>
        <v>32565.77</v>
      </c>
      <c r="V10" s="89">
        <f t="shared" si="8"/>
        <v>34183.333310000002</v>
      </c>
      <c r="W10" s="16">
        <v>0</v>
      </c>
      <c r="X10" s="17">
        <v>1666.6666600000001</v>
      </c>
      <c r="Y10" s="109">
        <f t="shared" ref="Y10:Z13" si="13">SUM(U10+W10)</f>
        <v>32565.77</v>
      </c>
      <c r="Z10" s="110">
        <f t="shared" si="13"/>
        <v>35849.999970000004</v>
      </c>
      <c r="AA10" s="45" t="s">
        <v>57</v>
      </c>
      <c r="AB10" s="46">
        <v>21</v>
      </c>
      <c r="AC10" s="21" t="s">
        <v>7</v>
      </c>
      <c r="AD10" s="22"/>
      <c r="AF10" s="221">
        <f t="shared" si="3"/>
        <v>16276.470000000001</v>
      </c>
    </row>
    <row r="11" spans="1:32" ht="18.600000000000001" customHeight="1" x14ac:dyDescent="0.25">
      <c r="A11" s="47">
        <f t="shared" si="10"/>
        <v>6</v>
      </c>
      <c r="B11" s="52" t="s">
        <v>6</v>
      </c>
      <c r="C11" s="16">
        <v>3621.8</v>
      </c>
      <c r="D11" s="17">
        <v>6666.6666599999999</v>
      </c>
      <c r="E11" s="16">
        <v>13344.8</v>
      </c>
      <c r="F11" s="18">
        <v>7333.3333300000004</v>
      </c>
      <c r="G11" s="19">
        <v>1136.9000000000001</v>
      </c>
      <c r="H11" s="18">
        <v>600</v>
      </c>
      <c r="I11" s="19">
        <v>4743</v>
      </c>
      <c r="J11" s="18">
        <v>3125</v>
      </c>
      <c r="K11" s="16">
        <v>13761.6</v>
      </c>
      <c r="L11" s="80">
        <v>0</v>
      </c>
      <c r="M11" s="238">
        <f t="shared" si="7"/>
        <v>13761.6</v>
      </c>
      <c r="N11" s="17">
        <v>6666.6666599999999</v>
      </c>
      <c r="O11" s="16">
        <v>266.3</v>
      </c>
      <c r="P11" s="250">
        <v>3294</v>
      </c>
      <c r="Q11" s="226">
        <f t="shared" si="11"/>
        <v>3560.3</v>
      </c>
      <c r="R11" s="17">
        <v>4666.6666599999999</v>
      </c>
      <c r="S11" s="16">
        <v>8661.1</v>
      </c>
      <c r="T11" s="17">
        <v>8250</v>
      </c>
      <c r="U11" s="91">
        <f t="shared" si="12"/>
        <v>48829.5</v>
      </c>
      <c r="V11" s="89">
        <f t="shared" si="8"/>
        <v>37308.333310000002</v>
      </c>
      <c r="W11" s="16">
        <v>711</v>
      </c>
      <c r="X11" s="17">
        <v>1666.6666600000001</v>
      </c>
      <c r="Y11" s="109">
        <f t="shared" si="13"/>
        <v>49540.5</v>
      </c>
      <c r="Z11" s="110">
        <f t="shared" si="13"/>
        <v>38974.999970000004</v>
      </c>
      <c r="AA11" s="45" t="s">
        <v>187</v>
      </c>
      <c r="AB11" s="46">
        <v>25</v>
      </c>
      <c r="AC11" s="21" t="s">
        <v>7</v>
      </c>
      <c r="AD11" s="22"/>
      <c r="AF11" s="221">
        <f t="shared" si="3"/>
        <v>37585.4</v>
      </c>
    </row>
    <row r="12" spans="1:32" s="43" customFormat="1" ht="18.600000000000001" customHeight="1" x14ac:dyDescent="0.25">
      <c r="A12" s="23">
        <f t="shared" si="10"/>
        <v>7</v>
      </c>
      <c r="B12" s="24" t="s">
        <v>8</v>
      </c>
      <c r="C12" s="25">
        <v>3709.5</v>
      </c>
      <c r="D12" s="26">
        <v>6666.6666599999999</v>
      </c>
      <c r="E12" s="25">
        <v>20271.400000000001</v>
      </c>
      <c r="F12" s="27">
        <v>7333.3333300000004</v>
      </c>
      <c r="G12" s="28">
        <v>1364.9</v>
      </c>
      <c r="H12" s="27">
        <v>600</v>
      </c>
      <c r="I12" s="28">
        <v>3072</v>
      </c>
      <c r="J12" s="27">
        <v>3125</v>
      </c>
      <c r="K12" s="25">
        <v>27248.1</v>
      </c>
      <c r="L12" s="81"/>
      <c r="M12" s="239">
        <f t="shared" si="7"/>
        <v>27248.1</v>
      </c>
      <c r="N12" s="26">
        <v>6666.6666599999999</v>
      </c>
      <c r="O12" s="25">
        <v>0</v>
      </c>
      <c r="P12" s="81">
        <v>0</v>
      </c>
      <c r="Q12" s="81">
        <f t="shared" si="11"/>
        <v>0</v>
      </c>
      <c r="R12" s="26">
        <v>4666.6666599999999</v>
      </c>
      <c r="S12" s="25">
        <v>11550.2</v>
      </c>
      <c r="T12" s="26">
        <v>8250</v>
      </c>
      <c r="U12" s="183">
        <f t="shared" si="12"/>
        <v>67216.100000000006</v>
      </c>
      <c r="V12" s="90">
        <f t="shared" si="8"/>
        <v>37308.333310000002</v>
      </c>
      <c r="W12" s="25">
        <v>5760.1</v>
      </c>
      <c r="X12" s="26">
        <v>1666.6666600000001</v>
      </c>
      <c r="Y12" s="92">
        <f t="shared" si="13"/>
        <v>72976.200000000012</v>
      </c>
      <c r="Z12" s="94">
        <f t="shared" si="13"/>
        <v>38974.999970000004</v>
      </c>
      <c r="AA12" s="29" t="s">
        <v>58</v>
      </c>
      <c r="AB12" s="30">
        <v>26</v>
      </c>
      <c r="AC12" s="31" t="s">
        <v>7</v>
      </c>
      <c r="AD12" s="32"/>
      <c r="AF12" s="221">
        <f t="shared" si="3"/>
        <v>61426</v>
      </c>
    </row>
    <row r="13" spans="1:32" ht="18.600000000000001" customHeight="1" x14ac:dyDescent="0.25">
      <c r="A13" s="23">
        <f t="shared" si="10"/>
        <v>8</v>
      </c>
      <c r="B13" s="24" t="s">
        <v>9</v>
      </c>
      <c r="C13" s="25">
        <v>15033</v>
      </c>
      <c r="D13" s="26">
        <v>6666.6666599999999</v>
      </c>
      <c r="E13" s="25">
        <v>938.5</v>
      </c>
      <c r="F13" s="27">
        <v>7333.3333300000004</v>
      </c>
      <c r="G13" s="28">
        <v>269.39999999999998</v>
      </c>
      <c r="H13" s="27">
        <v>600</v>
      </c>
      <c r="I13" s="28">
        <v>0</v>
      </c>
      <c r="J13" s="27">
        <v>0</v>
      </c>
      <c r="K13" s="25">
        <v>6568.5</v>
      </c>
      <c r="L13" s="81"/>
      <c r="M13" s="239">
        <f t="shared" si="7"/>
        <v>6568.5</v>
      </c>
      <c r="N13" s="26">
        <v>6666.6666599999999</v>
      </c>
      <c r="O13" s="25">
        <v>0</v>
      </c>
      <c r="P13" s="81">
        <v>0</v>
      </c>
      <c r="Q13" s="81">
        <f t="shared" si="11"/>
        <v>0</v>
      </c>
      <c r="R13" s="26">
        <v>4666.6666599999999</v>
      </c>
      <c r="S13" s="25">
        <v>5066.3</v>
      </c>
      <c r="T13" s="26">
        <v>8250</v>
      </c>
      <c r="U13" s="183">
        <f t="shared" si="12"/>
        <v>27875.7</v>
      </c>
      <c r="V13" s="90">
        <f t="shared" si="8"/>
        <v>34183.333310000002</v>
      </c>
      <c r="W13" s="25">
        <v>330.7</v>
      </c>
      <c r="X13" s="26">
        <v>1666.6666600000001</v>
      </c>
      <c r="Y13" s="92">
        <f>SUM(U13+W13)</f>
        <v>28206.400000000001</v>
      </c>
      <c r="Z13" s="94">
        <f t="shared" si="13"/>
        <v>35849.999970000004</v>
      </c>
      <c r="AA13" s="29" t="s">
        <v>188</v>
      </c>
      <c r="AB13" s="30">
        <v>20</v>
      </c>
      <c r="AC13" s="31" t="s">
        <v>7</v>
      </c>
      <c r="AD13" s="32"/>
      <c r="AF13" s="221">
        <f t="shared" si="3"/>
        <v>23140.100000000002</v>
      </c>
    </row>
    <row r="14" spans="1:32" ht="18.600000000000001" customHeight="1" x14ac:dyDescent="0.25">
      <c r="A14" s="33" t="s">
        <v>10</v>
      </c>
      <c r="B14" s="34">
        <f>SUM(B6+1)</f>
        <v>36</v>
      </c>
      <c r="C14" s="35">
        <f t="shared" ref="C14:Z14" si="14">SUM(C7:C13)</f>
        <v>29163.37</v>
      </c>
      <c r="D14" s="36">
        <f t="shared" si="14"/>
        <v>46666.666620000004</v>
      </c>
      <c r="E14" s="35">
        <f>SUM(E7:E13)</f>
        <v>68602.25</v>
      </c>
      <c r="F14" s="36">
        <f t="shared" si="14"/>
        <v>51333.333310000002</v>
      </c>
      <c r="G14" s="35">
        <f t="shared" si="14"/>
        <v>5160.6000000000004</v>
      </c>
      <c r="H14" s="36">
        <f t="shared" si="14"/>
        <v>4200</v>
      </c>
      <c r="I14" s="35">
        <f>SUM(I7:I13)</f>
        <v>7815</v>
      </c>
      <c r="J14" s="36">
        <f>SUM(J7:J13)</f>
        <v>6250</v>
      </c>
      <c r="K14" s="35">
        <f t="shared" si="14"/>
        <v>62908.299999999996</v>
      </c>
      <c r="L14" s="82">
        <f t="shared" si="14"/>
        <v>0</v>
      </c>
      <c r="M14" s="297">
        <f t="shared" si="14"/>
        <v>62908.299999999996</v>
      </c>
      <c r="N14" s="36">
        <f t="shared" si="14"/>
        <v>46666.666620000004</v>
      </c>
      <c r="O14" s="35">
        <f t="shared" ref="O14:R14" si="15">SUM(O7:O13)</f>
        <v>6652.6</v>
      </c>
      <c r="P14" s="82">
        <f t="shared" si="15"/>
        <v>28021</v>
      </c>
      <c r="Q14" s="38">
        <f t="shared" si="15"/>
        <v>34673.599999999999</v>
      </c>
      <c r="R14" s="37">
        <f t="shared" si="15"/>
        <v>32666.666619999996</v>
      </c>
      <c r="S14" s="35">
        <f t="shared" si="14"/>
        <v>55949.600000000006</v>
      </c>
      <c r="T14" s="36">
        <f t="shared" si="14"/>
        <v>57750</v>
      </c>
      <c r="U14" s="35">
        <f t="shared" si="14"/>
        <v>264272.71999999997</v>
      </c>
      <c r="V14" s="36">
        <f t="shared" si="14"/>
        <v>245533.33317000006</v>
      </c>
      <c r="W14" s="35">
        <f t="shared" si="14"/>
        <v>9671.3000000000011</v>
      </c>
      <c r="X14" s="36">
        <f t="shared" si="14"/>
        <v>11666.666620000002</v>
      </c>
      <c r="Y14" s="35">
        <f t="shared" si="14"/>
        <v>273944.02</v>
      </c>
      <c r="Z14" s="36">
        <f t="shared" si="14"/>
        <v>257199.99979000003</v>
      </c>
      <c r="AA14" s="39"/>
      <c r="AB14" s="40">
        <f>SUM(AB7:AB13)/7</f>
        <v>23.428571428571427</v>
      </c>
      <c r="AC14" s="41" t="s">
        <v>7</v>
      </c>
      <c r="AD14" s="42"/>
      <c r="AF14" s="221"/>
    </row>
    <row r="15" spans="1:32" ht="18.600000000000001" customHeight="1" x14ac:dyDescent="0.25">
      <c r="A15" s="44">
        <f>SUM(A13+1)</f>
        <v>9</v>
      </c>
      <c r="B15" s="15" t="s">
        <v>12</v>
      </c>
      <c r="C15" s="49">
        <v>7740.6</v>
      </c>
      <c r="D15" s="17">
        <v>6666.6666599999999</v>
      </c>
      <c r="E15" s="49">
        <v>0</v>
      </c>
      <c r="F15" s="18">
        <v>7333.3333300000004</v>
      </c>
      <c r="G15" s="19">
        <v>123.6</v>
      </c>
      <c r="H15" s="18">
        <v>600</v>
      </c>
      <c r="I15" s="19">
        <v>0</v>
      </c>
      <c r="J15" s="18">
        <v>0</v>
      </c>
      <c r="K15" s="16">
        <v>0</v>
      </c>
      <c r="L15" s="80"/>
      <c r="M15" s="238">
        <f t="shared" ref="M15:M21" si="16">K15+L15</f>
        <v>0</v>
      </c>
      <c r="N15" s="17">
        <v>6666.6666599999999</v>
      </c>
      <c r="O15" s="16">
        <v>1878.6</v>
      </c>
      <c r="P15" s="250">
        <v>2527</v>
      </c>
      <c r="Q15" s="226">
        <f>O15+P15</f>
        <v>4405.6000000000004</v>
      </c>
      <c r="R15" s="17">
        <v>4666.6666599999999</v>
      </c>
      <c r="S15" s="16">
        <v>4542.5</v>
      </c>
      <c r="T15" s="17">
        <v>8250</v>
      </c>
      <c r="U15" s="91">
        <f t="shared" ref="U15:U21" si="17">SUM(C15+E15+G15+I15+M15+Q15+S15)</f>
        <v>16812.300000000003</v>
      </c>
      <c r="V15" s="89">
        <f t="shared" ref="V15:V21" si="18">SUM(D15+F15+H15+J15+N15+R15+T15)</f>
        <v>34183.333310000002</v>
      </c>
      <c r="W15" s="16">
        <v>0</v>
      </c>
      <c r="X15" s="17">
        <v>1666.6666600000001</v>
      </c>
      <c r="Y15" s="109">
        <f t="shared" ref="Y15:Z21" si="19">SUM(U15+W15)</f>
        <v>16812.300000000003</v>
      </c>
      <c r="Z15" s="110">
        <f t="shared" si="19"/>
        <v>35849.999970000004</v>
      </c>
      <c r="AA15" s="45" t="s">
        <v>59</v>
      </c>
      <c r="AB15" s="46">
        <v>15</v>
      </c>
      <c r="AC15" s="21" t="s">
        <v>7</v>
      </c>
      <c r="AD15" s="22"/>
      <c r="AF15" s="221">
        <f t="shared" si="3"/>
        <v>9742.8000000000011</v>
      </c>
    </row>
    <row r="16" spans="1:32" ht="18.600000000000001" customHeight="1" x14ac:dyDescent="0.25">
      <c r="A16" s="47">
        <f t="shared" ref="A16:A21" si="20">SUM(A15+1)</f>
        <v>10</v>
      </c>
      <c r="B16" s="15" t="s">
        <v>13</v>
      </c>
      <c r="C16" s="16">
        <v>9548.6</v>
      </c>
      <c r="D16" s="17">
        <v>6666.6666599999999</v>
      </c>
      <c r="E16" s="16">
        <v>516.20000000000005</v>
      </c>
      <c r="F16" s="18">
        <v>7333.3333300000004</v>
      </c>
      <c r="G16" s="19">
        <v>263.2</v>
      </c>
      <c r="H16" s="18">
        <v>600</v>
      </c>
      <c r="I16" s="19">
        <v>0</v>
      </c>
      <c r="J16" s="18">
        <v>0</v>
      </c>
      <c r="K16" s="16">
        <v>760</v>
      </c>
      <c r="L16" s="80"/>
      <c r="M16" s="238">
        <f t="shared" si="16"/>
        <v>760</v>
      </c>
      <c r="N16" s="17">
        <v>6666.6666599999999</v>
      </c>
      <c r="O16" s="20">
        <v>344.8</v>
      </c>
      <c r="P16" s="250">
        <v>2945</v>
      </c>
      <c r="Q16" s="226">
        <f t="shared" ref="Q16:Q21" si="21">O16+P16</f>
        <v>3289.8</v>
      </c>
      <c r="R16" s="17">
        <v>4666.6666599999999</v>
      </c>
      <c r="S16" s="16">
        <v>5777.3</v>
      </c>
      <c r="T16" s="17">
        <v>8250</v>
      </c>
      <c r="U16" s="91">
        <f t="shared" si="17"/>
        <v>20155.100000000002</v>
      </c>
      <c r="V16" s="89">
        <f t="shared" si="18"/>
        <v>34183.333310000002</v>
      </c>
      <c r="W16" s="16">
        <v>124.5</v>
      </c>
      <c r="X16" s="17">
        <v>1666.6666600000001</v>
      </c>
      <c r="Y16" s="109">
        <f t="shared" si="19"/>
        <v>20279.600000000002</v>
      </c>
      <c r="Z16" s="110">
        <f t="shared" si="19"/>
        <v>35849.999970000004</v>
      </c>
      <c r="AA16" s="45" t="s">
        <v>138</v>
      </c>
      <c r="AB16" s="46">
        <v>20</v>
      </c>
      <c r="AC16" s="21" t="s">
        <v>7</v>
      </c>
      <c r="AD16" s="22"/>
      <c r="AF16" s="221">
        <f t="shared" si="3"/>
        <v>11557.300000000001</v>
      </c>
    </row>
    <row r="17" spans="1:32" ht="18.600000000000001" customHeight="1" x14ac:dyDescent="0.25">
      <c r="A17" s="47">
        <f t="shared" si="20"/>
        <v>11</v>
      </c>
      <c r="B17" s="15" t="s">
        <v>14</v>
      </c>
      <c r="C17" s="16">
        <v>8274.1</v>
      </c>
      <c r="D17" s="17">
        <v>6666.6666599999999</v>
      </c>
      <c r="E17" s="16">
        <v>-985</v>
      </c>
      <c r="F17" s="18">
        <v>7333.3333300000004</v>
      </c>
      <c r="G17" s="19">
        <v>6</v>
      </c>
      <c r="H17" s="18">
        <v>600</v>
      </c>
      <c r="I17" s="19">
        <v>0</v>
      </c>
      <c r="J17" s="18">
        <v>0</v>
      </c>
      <c r="K17" s="16">
        <v>-352.7</v>
      </c>
      <c r="L17" s="80"/>
      <c r="M17" s="238">
        <f t="shared" si="16"/>
        <v>-352.7</v>
      </c>
      <c r="N17" s="17">
        <v>6666.6666599999999</v>
      </c>
      <c r="O17" s="20">
        <v>2247.3000000000002</v>
      </c>
      <c r="P17" s="328">
        <v>5506</v>
      </c>
      <c r="Q17" s="226">
        <f t="shared" si="21"/>
        <v>7753.3</v>
      </c>
      <c r="R17" s="17">
        <v>4666.6666599999999</v>
      </c>
      <c r="S17" s="16">
        <v>6881</v>
      </c>
      <c r="T17" s="17">
        <v>8250</v>
      </c>
      <c r="U17" s="91">
        <f t="shared" si="17"/>
        <v>21576.7</v>
      </c>
      <c r="V17" s="89">
        <f t="shared" si="18"/>
        <v>34183.333310000002</v>
      </c>
      <c r="W17" s="16">
        <v>0</v>
      </c>
      <c r="X17" s="17">
        <v>1666.6666600000001</v>
      </c>
      <c r="Y17" s="109">
        <f t="shared" si="19"/>
        <v>21576.7</v>
      </c>
      <c r="Z17" s="110">
        <f t="shared" si="19"/>
        <v>35849.999970000004</v>
      </c>
      <c r="AA17" s="45" t="s">
        <v>59</v>
      </c>
      <c r="AB17" s="46">
        <v>14</v>
      </c>
      <c r="AC17" s="21" t="s">
        <v>7</v>
      </c>
      <c r="AD17" s="22"/>
      <c r="AF17" s="221">
        <f t="shared" si="3"/>
        <v>9189.7000000000007</v>
      </c>
    </row>
    <row r="18" spans="1:32" ht="18.600000000000001" customHeight="1" x14ac:dyDescent="0.25">
      <c r="A18" s="47">
        <f t="shared" si="20"/>
        <v>12</v>
      </c>
      <c r="B18" s="15" t="s">
        <v>15</v>
      </c>
      <c r="C18" s="16">
        <v>7879</v>
      </c>
      <c r="D18" s="17">
        <v>6666.6666599999999</v>
      </c>
      <c r="E18" s="16">
        <v>-713.3</v>
      </c>
      <c r="F18" s="18">
        <v>7333.3333300000004</v>
      </c>
      <c r="G18" s="19">
        <v>0</v>
      </c>
      <c r="H18" s="18">
        <v>600</v>
      </c>
      <c r="I18" s="19">
        <v>0</v>
      </c>
      <c r="J18" s="18">
        <v>0</v>
      </c>
      <c r="K18" s="16">
        <v>8664.7000000000007</v>
      </c>
      <c r="L18" s="80"/>
      <c r="M18" s="238">
        <f t="shared" si="16"/>
        <v>8664.7000000000007</v>
      </c>
      <c r="N18" s="17">
        <v>6666.6666599999999</v>
      </c>
      <c r="O18" s="20">
        <v>976.3</v>
      </c>
      <c r="P18" s="122">
        <v>6978</v>
      </c>
      <c r="Q18" s="226">
        <f t="shared" si="21"/>
        <v>7954.3</v>
      </c>
      <c r="R18" s="17">
        <v>4666.6666599999999</v>
      </c>
      <c r="S18" s="16">
        <v>5585.4</v>
      </c>
      <c r="T18" s="17">
        <v>8250</v>
      </c>
      <c r="U18" s="91">
        <f t="shared" si="17"/>
        <v>29370.1</v>
      </c>
      <c r="V18" s="89">
        <f t="shared" si="18"/>
        <v>34183.333310000002</v>
      </c>
      <c r="W18" s="16">
        <v>0</v>
      </c>
      <c r="X18" s="17">
        <v>1666.6666600000001</v>
      </c>
      <c r="Y18" s="109">
        <f t="shared" si="19"/>
        <v>29370.1</v>
      </c>
      <c r="Z18" s="110">
        <f t="shared" si="19"/>
        <v>35849.999970000004</v>
      </c>
      <c r="AA18" s="45" t="s">
        <v>189</v>
      </c>
      <c r="AB18" s="46">
        <v>15</v>
      </c>
      <c r="AC18" s="21" t="s">
        <v>7</v>
      </c>
      <c r="AD18" s="22"/>
      <c r="AF18" s="221">
        <f t="shared" si="3"/>
        <v>16806.7</v>
      </c>
    </row>
    <row r="19" spans="1:32" ht="18.600000000000001" customHeight="1" x14ac:dyDescent="0.25">
      <c r="A19" s="47">
        <f t="shared" si="20"/>
        <v>13</v>
      </c>
      <c r="B19" s="52" t="s">
        <v>6</v>
      </c>
      <c r="C19" s="16">
        <v>15503.4</v>
      </c>
      <c r="D19" s="17">
        <v>6666.6666599999999</v>
      </c>
      <c r="E19" s="16">
        <v>10.9</v>
      </c>
      <c r="F19" s="18">
        <v>7333.3333300000004</v>
      </c>
      <c r="G19" s="19">
        <v>5.3</v>
      </c>
      <c r="H19" s="18">
        <v>600</v>
      </c>
      <c r="I19" s="19">
        <v>3261</v>
      </c>
      <c r="J19" s="18">
        <v>3125</v>
      </c>
      <c r="K19" s="16">
        <v>13078.8</v>
      </c>
      <c r="L19" s="80"/>
      <c r="M19" s="238">
        <f t="shared" si="16"/>
        <v>13078.8</v>
      </c>
      <c r="N19" s="17">
        <v>6666.6666599999999</v>
      </c>
      <c r="O19" s="16">
        <v>54</v>
      </c>
      <c r="P19" s="122">
        <v>2284</v>
      </c>
      <c r="Q19" s="226">
        <f t="shared" si="21"/>
        <v>2338</v>
      </c>
      <c r="R19" s="17">
        <v>4666.6666599999999</v>
      </c>
      <c r="S19" s="16">
        <v>6425.7</v>
      </c>
      <c r="T19" s="17">
        <v>8250</v>
      </c>
      <c r="U19" s="91">
        <f t="shared" si="17"/>
        <v>40623.099999999991</v>
      </c>
      <c r="V19" s="89">
        <f t="shared" si="18"/>
        <v>37308.333310000002</v>
      </c>
      <c r="W19" s="16">
        <v>0</v>
      </c>
      <c r="X19" s="17">
        <v>1666.6666600000001</v>
      </c>
      <c r="Y19" s="109">
        <f t="shared" si="19"/>
        <v>40623.099999999991</v>
      </c>
      <c r="Z19" s="110">
        <f t="shared" si="19"/>
        <v>38974.999970000004</v>
      </c>
      <c r="AA19" s="45" t="s">
        <v>159</v>
      </c>
      <c r="AB19" s="46">
        <v>13</v>
      </c>
      <c r="AC19" s="21" t="s">
        <v>7</v>
      </c>
      <c r="AD19" s="22"/>
      <c r="AF19" s="221">
        <f t="shared" si="3"/>
        <v>31913.399999999998</v>
      </c>
    </row>
    <row r="20" spans="1:32" s="43" customFormat="1" ht="18.600000000000001" customHeight="1" x14ac:dyDescent="0.25">
      <c r="A20" s="23">
        <f t="shared" si="20"/>
        <v>14</v>
      </c>
      <c r="B20" s="24" t="s">
        <v>8</v>
      </c>
      <c r="C20" s="25">
        <v>12347</v>
      </c>
      <c r="D20" s="26">
        <v>6666.6666599999999</v>
      </c>
      <c r="E20" s="25">
        <v>0</v>
      </c>
      <c r="F20" s="27">
        <v>7333.3333300000004</v>
      </c>
      <c r="G20" s="28">
        <v>254.3</v>
      </c>
      <c r="H20" s="27">
        <v>600</v>
      </c>
      <c r="I20" s="28">
        <v>2790</v>
      </c>
      <c r="J20" s="27">
        <v>3125</v>
      </c>
      <c r="K20" s="25">
        <v>24793.8</v>
      </c>
      <c r="L20" s="81"/>
      <c r="M20" s="239">
        <f t="shared" si="16"/>
        <v>24793.8</v>
      </c>
      <c r="N20" s="26">
        <v>6666.6666599999999</v>
      </c>
      <c r="O20" s="25">
        <v>0</v>
      </c>
      <c r="P20" s="81">
        <v>0</v>
      </c>
      <c r="Q20" s="81">
        <f t="shared" si="21"/>
        <v>0</v>
      </c>
      <c r="R20" s="26">
        <v>4666.6666599999999</v>
      </c>
      <c r="S20" s="25">
        <v>12278.3</v>
      </c>
      <c r="T20" s="26">
        <v>8250</v>
      </c>
      <c r="U20" s="183">
        <f t="shared" si="17"/>
        <v>52463.399999999994</v>
      </c>
      <c r="V20" s="90">
        <f t="shared" si="18"/>
        <v>37308.333310000002</v>
      </c>
      <c r="W20" s="25">
        <v>0</v>
      </c>
      <c r="X20" s="26">
        <v>1666.6666600000001</v>
      </c>
      <c r="Y20" s="92">
        <f t="shared" si="19"/>
        <v>52463.399999999994</v>
      </c>
      <c r="Z20" s="94">
        <f t="shared" si="19"/>
        <v>38974.999970000004</v>
      </c>
      <c r="AA20" s="29" t="s">
        <v>57</v>
      </c>
      <c r="AB20" s="30">
        <v>12</v>
      </c>
      <c r="AC20" s="31" t="s">
        <v>7</v>
      </c>
      <c r="AD20" s="32"/>
      <c r="AF20" s="221">
        <f t="shared" si="3"/>
        <v>40185.1</v>
      </c>
    </row>
    <row r="21" spans="1:32" ht="18.600000000000001" customHeight="1" x14ac:dyDescent="0.25">
      <c r="A21" s="23">
        <f t="shared" si="20"/>
        <v>15</v>
      </c>
      <c r="B21" s="53" t="s">
        <v>9</v>
      </c>
      <c r="C21" s="25">
        <v>12810.6</v>
      </c>
      <c r="D21" s="26">
        <v>6666.6666599999999</v>
      </c>
      <c r="E21" s="25">
        <v>2170.6</v>
      </c>
      <c r="F21" s="27">
        <v>7333.3333300000004</v>
      </c>
      <c r="G21" s="28">
        <v>684.4</v>
      </c>
      <c r="H21" s="27">
        <v>600</v>
      </c>
      <c r="I21" s="28">
        <v>0</v>
      </c>
      <c r="J21" s="27">
        <v>0</v>
      </c>
      <c r="K21" s="25">
        <v>3312.7</v>
      </c>
      <c r="L21" s="81"/>
      <c r="M21" s="239">
        <f t="shared" si="16"/>
        <v>3312.7</v>
      </c>
      <c r="N21" s="26">
        <v>6666.6666599999999</v>
      </c>
      <c r="O21" s="25">
        <v>0</v>
      </c>
      <c r="P21" s="81">
        <v>0</v>
      </c>
      <c r="Q21" s="81">
        <f t="shared" si="21"/>
        <v>0</v>
      </c>
      <c r="R21" s="26">
        <v>4666.6666599999999</v>
      </c>
      <c r="S21" s="25">
        <v>8246.7999999999993</v>
      </c>
      <c r="T21" s="26">
        <v>8250</v>
      </c>
      <c r="U21" s="183">
        <f t="shared" si="17"/>
        <v>27225.1</v>
      </c>
      <c r="V21" s="90">
        <f t="shared" si="18"/>
        <v>34183.333310000002</v>
      </c>
      <c r="W21" s="25">
        <v>0</v>
      </c>
      <c r="X21" s="26">
        <v>1666.6666600000001</v>
      </c>
      <c r="Y21" s="92">
        <f t="shared" si="19"/>
        <v>27225.1</v>
      </c>
      <c r="Z21" s="94">
        <f t="shared" si="19"/>
        <v>35849.999970000004</v>
      </c>
      <c r="AA21" s="29" t="s">
        <v>138</v>
      </c>
      <c r="AB21" s="30">
        <v>10</v>
      </c>
      <c r="AC21" s="31" t="s">
        <v>7</v>
      </c>
      <c r="AD21" s="32"/>
      <c r="AF21" s="221">
        <f t="shared" si="3"/>
        <v>18978.3</v>
      </c>
    </row>
    <row r="22" spans="1:32" ht="18.600000000000001" customHeight="1" x14ac:dyDescent="0.25">
      <c r="A22" s="33" t="s">
        <v>10</v>
      </c>
      <c r="B22" s="34">
        <f>SUM(B14+1)</f>
        <v>37</v>
      </c>
      <c r="C22" s="35">
        <f t="shared" ref="C22:Z22" si="22">SUM(C15:C21)</f>
        <v>74103.3</v>
      </c>
      <c r="D22" s="36">
        <f t="shared" si="22"/>
        <v>46666.666620000004</v>
      </c>
      <c r="E22" s="35">
        <f t="shared" si="22"/>
        <v>999.40000000000009</v>
      </c>
      <c r="F22" s="37">
        <f t="shared" si="22"/>
        <v>51333.333310000002</v>
      </c>
      <c r="G22" s="38">
        <f t="shared" si="22"/>
        <v>1336.8</v>
      </c>
      <c r="H22" s="37">
        <f t="shared" si="22"/>
        <v>4200</v>
      </c>
      <c r="I22" s="38">
        <f>SUM(I15:I21)</f>
        <v>6051</v>
      </c>
      <c r="J22" s="37">
        <f>SUM(J15:J21)</f>
        <v>6250</v>
      </c>
      <c r="K22" s="35">
        <f t="shared" si="22"/>
        <v>50257.299999999996</v>
      </c>
      <c r="L22" s="82">
        <f t="shared" si="22"/>
        <v>0</v>
      </c>
      <c r="M22" s="297">
        <f t="shared" si="22"/>
        <v>50257.299999999996</v>
      </c>
      <c r="N22" s="36">
        <f t="shared" si="22"/>
        <v>46666.666620000004</v>
      </c>
      <c r="O22" s="35">
        <f t="shared" ref="O22:R22" si="23">SUM(O15:O21)</f>
        <v>5501.0000000000009</v>
      </c>
      <c r="P22" s="38">
        <f t="shared" si="23"/>
        <v>20240</v>
      </c>
      <c r="Q22" s="82">
        <f t="shared" si="23"/>
        <v>25741</v>
      </c>
      <c r="R22" s="36">
        <f t="shared" si="23"/>
        <v>32666.666619999996</v>
      </c>
      <c r="S22" s="35">
        <f>SUM(S15:S21)</f>
        <v>49737</v>
      </c>
      <c r="T22" s="36">
        <f t="shared" si="22"/>
        <v>57750</v>
      </c>
      <c r="U22" s="35">
        <f t="shared" si="22"/>
        <v>208225.80000000002</v>
      </c>
      <c r="V22" s="36">
        <f t="shared" si="22"/>
        <v>245533.33317000006</v>
      </c>
      <c r="W22" s="35">
        <f t="shared" si="22"/>
        <v>124.5</v>
      </c>
      <c r="X22" s="36">
        <f t="shared" si="22"/>
        <v>11666.666620000002</v>
      </c>
      <c r="Y22" s="35">
        <f t="shared" si="22"/>
        <v>208350.30000000002</v>
      </c>
      <c r="Z22" s="36">
        <f t="shared" si="22"/>
        <v>257199.99979000003</v>
      </c>
      <c r="AA22" s="39" t="s">
        <v>11</v>
      </c>
      <c r="AB22" s="40">
        <f>SUM(AB15:AB21)/7</f>
        <v>14.142857142857142</v>
      </c>
      <c r="AC22" s="41" t="s">
        <v>7</v>
      </c>
      <c r="AD22" s="42"/>
      <c r="AF22" s="221"/>
    </row>
    <row r="23" spans="1:32" ht="18.600000000000001" customHeight="1" x14ac:dyDescent="0.25">
      <c r="A23" s="44">
        <f>SUM(A21+1)</f>
        <v>16</v>
      </c>
      <c r="B23" s="15" t="s">
        <v>12</v>
      </c>
      <c r="C23" s="16">
        <v>6280.3</v>
      </c>
      <c r="D23" s="17">
        <v>6666.6666599999999</v>
      </c>
      <c r="E23" s="16">
        <v>0</v>
      </c>
      <c r="F23" s="18">
        <v>7333.3333300000004</v>
      </c>
      <c r="G23" s="19">
        <v>0</v>
      </c>
      <c r="H23" s="18">
        <v>600</v>
      </c>
      <c r="I23" s="19">
        <v>0</v>
      </c>
      <c r="J23" s="18">
        <v>0</v>
      </c>
      <c r="K23" s="16">
        <v>0</v>
      </c>
      <c r="L23" s="80"/>
      <c r="M23" s="238">
        <f t="shared" ref="M23:M29" si="24">K23+L23</f>
        <v>0</v>
      </c>
      <c r="N23" s="17">
        <v>6666.6666599999999</v>
      </c>
      <c r="O23" s="16">
        <v>252.3</v>
      </c>
      <c r="P23" s="122">
        <v>3583</v>
      </c>
      <c r="Q23" s="226">
        <f>O23+P23</f>
        <v>3835.3</v>
      </c>
      <c r="R23" s="17">
        <v>4666.6666599999999</v>
      </c>
      <c r="S23" s="16">
        <v>10025</v>
      </c>
      <c r="T23" s="17">
        <v>8250</v>
      </c>
      <c r="U23" s="91">
        <f t="shared" ref="U23:U29" si="25">SUM(C23+E23+G23+I23+M23+Q23+S23)</f>
        <v>20140.599999999999</v>
      </c>
      <c r="V23" s="89">
        <f t="shared" ref="V23:V29" si="26">SUM(D23+F23+H23+J23+N23+R23+T23)</f>
        <v>34183.333310000002</v>
      </c>
      <c r="W23" s="16">
        <v>0</v>
      </c>
      <c r="X23" s="17">
        <v>1666.6666600000001</v>
      </c>
      <c r="Y23" s="109">
        <f t="shared" ref="Y23:Z29" si="27">SUM(U23+W23)</f>
        <v>20140.599999999999</v>
      </c>
      <c r="Z23" s="110">
        <f t="shared" si="27"/>
        <v>35849.999970000004</v>
      </c>
      <c r="AA23" s="50" t="s">
        <v>138</v>
      </c>
      <c r="AB23" s="51">
        <v>12</v>
      </c>
      <c r="AC23" s="21" t="s">
        <v>7</v>
      </c>
      <c r="AD23" s="22"/>
      <c r="AF23" s="221">
        <f t="shared" si="3"/>
        <v>6532.6</v>
      </c>
    </row>
    <row r="24" spans="1:32" ht="18.600000000000001" customHeight="1" x14ac:dyDescent="0.25">
      <c r="A24" s="47">
        <f t="shared" ref="A24:A29" si="28">SUM(A23+1)</f>
        <v>17</v>
      </c>
      <c r="B24" s="15" t="s">
        <v>13</v>
      </c>
      <c r="C24" s="16">
        <v>8554.2999999999993</v>
      </c>
      <c r="D24" s="17">
        <v>6666.6666599999999</v>
      </c>
      <c r="E24" s="16">
        <v>140</v>
      </c>
      <c r="F24" s="18">
        <v>7333.3333300000004</v>
      </c>
      <c r="G24" s="19">
        <v>143.9</v>
      </c>
      <c r="H24" s="18">
        <v>600</v>
      </c>
      <c r="I24" s="19">
        <v>0</v>
      </c>
      <c r="J24" s="18">
        <v>0</v>
      </c>
      <c r="K24" s="16">
        <v>149.6</v>
      </c>
      <c r="L24" s="80"/>
      <c r="M24" s="238">
        <f t="shared" si="24"/>
        <v>149.6</v>
      </c>
      <c r="N24" s="17">
        <v>6666.6666599999999</v>
      </c>
      <c r="O24" s="20">
        <v>3102.2</v>
      </c>
      <c r="P24" s="250">
        <v>5869</v>
      </c>
      <c r="Q24" s="226">
        <f t="shared" ref="Q24:Q29" si="29">O24+P24</f>
        <v>8971.2000000000007</v>
      </c>
      <c r="R24" s="17">
        <v>4666.6666599999999</v>
      </c>
      <c r="S24" s="16">
        <v>10611.1</v>
      </c>
      <c r="T24" s="17">
        <v>8250</v>
      </c>
      <c r="U24" s="91">
        <f t="shared" si="25"/>
        <v>28570.1</v>
      </c>
      <c r="V24" s="89">
        <f t="shared" si="26"/>
        <v>34183.333310000002</v>
      </c>
      <c r="W24" s="16">
        <v>0</v>
      </c>
      <c r="X24" s="17">
        <v>1666.6666600000001</v>
      </c>
      <c r="Y24" s="109">
        <f t="shared" si="27"/>
        <v>28570.1</v>
      </c>
      <c r="Z24" s="110">
        <f t="shared" si="27"/>
        <v>35849.999970000004</v>
      </c>
      <c r="AA24" s="45" t="s">
        <v>159</v>
      </c>
      <c r="AB24" s="46">
        <v>12</v>
      </c>
      <c r="AC24" s="21" t="s">
        <v>7</v>
      </c>
      <c r="AD24" s="22"/>
      <c r="AF24" s="221">
        <f t="shared" si="3"/>
        <v>12090</v>
      </c>
    </row>
    <row r="25" spans="1:32" ht="18.600000000000001" customHeight="1" x14ac:dyDescent="0.25">
      <c r="A25" s="47">
        <f t="shared" si="28"/>
        <v>18</v>
      </c>
      <c r="B25" s="15" t="s">
        <v>14</v>
      </c>
      <c r="C25" s="16">
        <v>6398.5</v>
      </c>
      <c r="D25" s="17">
        <v>6666.6666599999999</v>
      </c>
      <c r="E25" s="16">
        <v>762</v>
      </c>
      <c r="F25" s="18">
        <v>7333.3333300000004</v>
      </c>
      <c r="G25" s="19">
        <v>260.5</v>
      </c>
      <c r="H25" s="18">
        <v>600</v>
      </c>
      <c r="I25" s="19">
        <v>0</v>
      </c>
      <c r="J25" s="18">
        <v>0</v>
      </c>
      <c r="K25" s="16">
        <v>340</v>
      </c>
      <c r="L25" s="80"/>
      <c r="M25" s="238">
        <f t="shared" si="24"/>
        <v>340</v>
      </c>
      <c r="N25" s="17">
        <v>6666.6666599999999</v>
      </c>
      <c r="O25" s="20">
        <v>871.3</v>
      </c>
      <c r="P25" s="250">
        <v>4147</v>
      </c>
      <c r="Q25" s="226">
        <f t="shared" si="29"/>
        <v>5018.3</v>
      </c>
      <c r="R25" s="17">
        <v>4666.6666599999999</v>
      </c>
      <c r="S25" s="16">
        <v>7547.1</v>
      </c>
      <c r="T25" s="17">
        <v>8250</v>
      </c>
      <c r="U25" s="91">
        <f t="shared" si="25"/>
        <v>20326.400000000001</v>
      </c>
      <c r="V25" s="89">
        <f t="shared" si="26"/>
        <v>34183.333310000002</v>
      </c>
      <c r="W25" s="16">
        <v>156.4</v>
      </c>
      <c r="X25" s="17">
        <v>1666.6666600000001</v>
      </c>
      <c r="Y25" s="109">
        <f t="shared" si="27"/>
        <v>20482.800000000003</v>
      </c>
      <c r="Z25" s="110">
        <f t="shared" si="27"/>
        <v>35849.999970000004</v>
      </c>
      <c r="AA25" s="45" t="s">
        <v>138</v>
      </c>
      <c r="AB25" s="46">
        <v>15</v>
      </c>
      <c r="AC25" s="21" t="s">
        <v>7</v>
      </c>
      <c r="AD25" s="22"/>
      <c r="AF25" s="221">
        <f t="shared" si="3"/>
        <v>8788.6999999999989</v>
      </c>
    </row>
    <row r="26" spans="1:32" ht="18.600000000000001" customHeight="1" x14ac:dyDescent="0.25">
      <c r="A26" s="47">
        <f t="shared" si="28"/>
        <v>19</v>
      </c>
      <c r="B26" s="15" t="s">
        <v>15</v>
      </c>
      <c r="C26" s="16">
        <v>7913.9</v>
      </c>
      <c r="D26" s="17">
        <v>6666.6666599999999</v>
      </c>
      <c r="E26" s="16">
        <v>707.1</v>
      </c>
      <c r="F26" s="18">
        <v>7333.3333300000004</v>
      </c>
      <c r="G26" s="19">
        <v>233.3</v>
      </c>
      <c r="H26" s="18">
        <v>600</v>
      </c>
      <c r="I26" s="19">
        <v>0</v>
      </c>
      <c r="J26" s="18">
        <v>0</v>
      </c>
      <c r="K26" s="16">
        <v>5230.1000000000004</v>
      </c>
      <c r="L26" s="80"/>
      <c r="M26" s="238">
        <f t="shared" si="24"/>
        <v>5230.1000000000004</v>
      </c>
      <c r="N26" s="17">
        <v>6666.6666599999999</v>
      </c>
      <c r="O26" s="20">
        <v>2173.6</v>
      </c>
      <c r="P26" s="328">
        <v>4802.8999999999996</v>
      </c>
      <c r="Q26" s="226">
        <f t="shared" si="29"/>
        <v>6976.5</v>
      </c>
      <c r="R26" s="17">
        <v>4666.6666599999999</v>
      </c>
      <c r="S26" s="16">
        <v>8908.9</v>
      </c>
      <c r="T26" s="17">
        <v>8250</v>
      </c>
      <c r="U26" s="91">
        <f t="shared" si="25"/>
        <v>29969.800000000003</v>
      </c>
      <c r="V26" s="89">
        <f t="shared" si="26"/>
        <v>34183.333310000002</v>
      </c>
      <c r="W26" s="16">
        <v>167.4</v>
      </c>
      <c r="X26" s="17">
        <v>1666.6666600000001</v>
      </c>
      <c r="Y26" s="109">
        <f>SUM(U26+W26)</f>
        <v>30137.200000000004</v>
      </c>
      <c r="Z26" s="110">
        <f t="shared" si="27"/>
        <v>35849.999970000004</v>
      </c>
      <c r="AA26" s="45" t="s">
        <v>166</v>
      </c>
      <c r="AB26" s="46">
        <v>16</v>
      </c>
      <c r="AC26" s="21" t="s">
        <v>7</v>
      </c>
      <c r="AD26" s="22"/>
      <c r="AF26" s="221">
        <f t="shared" si="3"/>
        <v>16425.400000000001</v>
      </c>
    </row>
    <row r="27" spans="1:32" ht="18.600000000000001" customHeight="1" x14ac:dyDescent="0.25">
      <c r="A27" s="47">
        <f t="shared" si="28"/>
        <v>20</v>
      </c>
      <c r="B27" s="15" t="s">
        <v>6</v>
      </c>
      <c r="C27" s="16">
        <v>5942.9</v>
      </c>
      <c r="D27" s="17">
        <v>6666.6666599999999</v>
      </c>
      <c r="E27" s="16">
        <v>5613</v>
      </c>
      <c r="F27" s="18">
        <v>7333.3333300000004</v>
      </c>
      <c r="G27" s="19">
        <v>597.6</v>
      </c>
      <c r="H27" s="18">
        <v>600</v>
      </c>
      <c r="I27" s="19">
        <v>0</v>
      </c>
      <c r="J27" s="18">
        <v>3125</v>
      </c>
      <c r="K27" s="16">
        <v>21813.7</v>
      </c>
      <c r="L27" s="80"/>
      <c r="M27" s="238">
        <f t="shared" si="24"/>
        <v>21813.7</v>
      </c>
      <c r="N27" s="17">
        <v>6666.6666599999999</v>
      </c>
      <c r="O27" s="16">
        <v>358.2</v>
      </c>
      <c r="P27" s="250">
        <v>4750</v>
      </c>
      <c r="Q27" s="226">
        <f t="shared" si="29"/>
        <v>5108.2</v>
      </c>
      <c r="R27" s="17">
        <v>4666.6666599999999</v>
      </c>
      <c r="S27" s="16">
        <v>9798.2999999999993</v>
      </c>
      <c r="T27" s="17">
        <v>8250</v>
      </c>
      <c r="U27" s="91">
        <f t="shared" si="25"/>
        <v>48873.7</v>
      </c>
      <c r="V27" s="89">
        <f t="shared" si="26"/>
        <v>37308.333310000002</v>
      </c>
      <c r="W27" s="16">
        <v>627.6</v>
      </c>
      <c r="X27" s="17">
        <v>1666.6666600000001</v>
      </c>
      <c r="Y27" s="109">
        <f t="shared" si="27"/>
        <v>49501.299999999996</v>
      </c>
      <c r="Z27" s="110">
        <f t="shared" si="27"/>
        <v>38974.999970000004</v>
      </c>
      <c r="AA27" s="45" t="s">
        <v>58</v>
      </c>
      <c r="AB27" s="46">
        <v>20</v>
      </c>
      <c r="AC27" s="21" t="s">
        <v>7</v>
      </c>
      <c r="AD27" s="22"/>
      <c r="AF27" s="221">
        <f t="shared" si="3"/>
        <v>34952.999999999993</v>
      </c>
    </row>
    <row r="28" spans="1:32" ht="18.600000000000001" customHeight="1" x14ac:dyDescent="0.25">
      <c r="A28" s="23">
        <f t="shared" si="28"/>
        <v>21</v>
      </c>
      <c r="B28" s="24" t="s">
        <v>8</v>
      </c>
      <c r="C28" s="25">
        <v>10984.7</v>
      </c>
      <c r="D28" s="26">
        <v>6666.6666599999999</v>
      </c>
      <c r="E28" s="25">
        <v>10029.200000000001</v>
      </c>
      <c r="F28" s="27">
        <v>7333.3333300000004</v>
      </c>
      <c r="G28" s="28">
        <v>1068.7</v>
      </c>
      <c r="H28" s="27">
        <v>600</v>
      </c>
      <c r="I28" s="28">
        <v>3545.5</v>
      </c>
      <c r="J28" s="27">
        <v>3125</v>
      </c>
      <c r="K28" s="25">
        <v>11031.6</v>
      </c>
      <c r="L28" s="81"/>
      <c r="M28" s="239">
        <f t="shared" si="24"/>
        <v>11031.6</v>
      </c>
      <c r="N28" s="26">
        <v>6666.6666599999999</v>
      </c>
      <c r="O28" s="25">
        <v>0</v>
      </c>
      <c r="P28" s="81">
        <v>0</v>
      </c>
      <c r="Q28" s="81">
        <f t="shared" si="29"/>
        <v>0</v>
      </c>
      <c r="R28" s="26">
        <v>4666.6666599999999</v>
      </c>
      <c r="S28" s="25">
        <v>9789.7999999999993</v>
      </c>
      <c r="T28" s="26">
        <v>8250</v>
      </c>
      <c r="U28" s="183">
        <f t="shared" si="25"/>
        <v>46449.5</v>
      </c>
      <c r="V28" s="90">
        <f t="shared" si="26"/>
        <v>37308.333310000002</v>
      </c>
      <c r="W28" s="25">
        <v>954.6</v>
      </c>
      <c r="X28" s="26">
        <v>1666.6666600000001</v>
      </c>
      <c r="Y28" s="92">
        <f t="shared" si="27"/>
        <v>47404.1</v>
      </c>
      <c r="Z28" s="94">
        <f t="shared" si="27"/>
        <v>38974.999970000004</v>
      </c>
      <c r="AA28" s="45" t="s">
        <v>122</v>
      </c>
      <c r="AB28" s="30">
        <v>21</v>
      </c>
      <c r="AC28" s="31" t="s">
        <v>7</v>
      </c>
      <c r="AD28" s="32"/>
      <c r="AF28" s="221">
        <f t="shared" si="3"/>
        <v>37614.300000000003</v>
      </c>
    </row>
    <row r="29" spans="1:32" ht="18.600000000000001" customHeight="1" x14ac:dyDescent="0.25">
      <c r="A29" s="23">
        <f t="shared" si="28"/>
        <v>22</v>
      </c>
      <c r="B29" s="24" t="s">
        <v>9</v>
      </c>
      <c r="C29" s="25">
        <v>8877.6</v>
      </c>
      <c r="D29" s="26">
        <v>6666.6666599999999</v>
      </c>
      <c r="E29" s="25">
        <v>8300.2999999999993</v>
      </c>
      <c r="F29" s="27">
        <v>7333.3333300000004</v>
      </c>
      <c r="G29" s="28">
        <v>773.7</v>
      </c>
      <c r="H29" s="27">
        <v>600</v>
      </c>
      <c r="I29" s="28">
        <v>0</v>
      </c>
      <c r="J29" s="27">
        <v>0</v>
      </c>
      <c r="K29" s="25">
        <v>6551.2</v>
      </c>
      <c r="L29" s="81"/>
      <c r="M29" s="239">
        <f t="shared" si="24"/>
        <v>6551.2</v>
      </c>
      <c r="N29" s="26">
        <v>6666.6666599999999</v>
      </c>
      <c r="O29" s="25">
        <v>0</v>
      </c>
      <c r="P29" s="81">
        <v>0</v>
      </c>
      <c r="Q29" s="81">
        <f t="shared" si="29"/>
        <v>0</v>
      </c>
      <c r="R29" s="26">
        <v>4666.6666599999999</v>
      </c>
      <c r="S29" s="25">
        <v>3124.9</v>
      </c>
      <c r="T29" s="26">
        <v>8250</v>
      </c>
      <c r="U29" s="183">
        <f t="shared" si="25"/>
        <v>27627.700000000004</v>
      </c>
      <c r="V29" s="90">
        <f t="shared" si="26"/>
        <v>34183.333310000002</v>
      </c>
      <c r="W29" s="25">
        <v>544.5</v>
      </c>
      <c r="X29" s="26">
        <v>1666.6666600000001</v>
      </c>
      <c r="Y29" s="92">
        <f t="shared" si="27"/>
        <v>28172.200000000004</v>
      </c>
      <c r="Z29" s="94">
        <f t="shared" si="27"/>
        <v>35849.999970000004</v>
      </c>
      <c r="AA29" s="29" t="s">
        <v>190</v>
      </c>
      <c r="AB29" s="30">
        <v>20</v>
      </c>
      <c r="AC29" s="31" t="s">
        <v>7</v>
      </c>
      <c r="AD29" s="32"/>
      <c r="AF29" s="221">
        <f t="shared" si="3"/>
        <v>25047.300000000003</v>
      </c>
    </row>
    <row r="30" spans="1:32" ht="18.600000000000001" customHeight="1" x14ac:dyDescent="0.25">
      <c r="A30" s="33" t="s">
        <v>10</v>
      </c>
      <c r="B30" s="34">
        <f>SUM(B22+1)</f>
        <v>38</v>
      </c>
      <c r="C30" s="35">
        <f t="shared" ref="C30:Z30" si="30">SUM(C23:C29)</f>
        <v>54952.200000000004</v>
      </c>
      <c r="D30" s="36">
        <f t="shared" si="30"/>
        <v>46666.666620000004</v>
      </c>
      <c r="E30" s="35">
        <f t="shared" si="30"/>
        <v>25551.600000000002</v>
      </c>
      <c r="F30" s="37">
        <f t="shared" si="30"/>
        <v>51333.333310000002</v>
      </c>
      <c r="G30" s="38">
        <f t="shared" si="30"/>
        <v>3077.7</v>
      </c>
      <c r="H30" s="37">
        <f t="shared" si="30"/>
        <v>4200</v>
      </c>
      <c r="I30" s="38">
        <f>SUM(I23:I29)</f>
        <v>3545.5</v>
      </c>
      <c r="J30" s="37">
        <f>SUM(J23:J29)</f>
        <v>6250</v>
      </c>
      <c r="K30" s="35">
        <f t="shared" si="30"/>
        <v>45116.2</v>
      </c>
      <c r="L30" s="82">
        <f t="shared" si="30"/>
        <v>0</v>
      </c>
      <c r="M30" s="297">
        <f t="shared" si="30"/>
        <v>45116.2</v>
      </c>
      <c r="N30" s="36">
        <f t="shared" si="30"/>
        <v>46666.666620000004</v>
      </c>
      <c r="O30" s="35">
        <f t="shared" ref="O30:R30" si="31">SUM(O23:O29)</f>
        <v>6757.5999999999995</v>
      </c>
      <c r="P30" s="82">
        <f>SUM(P23:P29)</f>
        <v>23151.9</v>
      </c>
      <c r="Q30" s="35">
        <f>SUM(Q23:Q29)</f>
        <v>29909.5</v>
      </c>
      <c r="R30" s="36">
        <f t="shared" si="31"/>
        <v>32666.666619999996</v>
      </c>
      <c r="S30" s="35">
        <f t="shared" si="30"/>
        <v>59805.1</v>
      </c>
      <c r="T30" s="36">
        <f t="shared" si="30"/>
        <v>57750</v>
      </c>
      <c r="U30" s="35">
        <f t="shared" si="30"/>
        <v>221957.80000000002</v>
      </c>
      <c r="V30" s="36">
        <f t="shared" si="30"/>
        <v>245533.33317000006</v>
      </c>
      <c r="W30" s="35">
        <f t="shared" si="30"/>
        <v>2450.5</v>
      </c>
      <c r="X30" s="36">
        <f t="shared" si="30"/>
        <v>11666.666620000002</v>
      </c>
      <c r="Y30" s="35">
        <f t="shared" si="30"/>
        <v>224408.30000000002</v>
      </c>
      <c r="Z30" s="36">
        <f t="shared" si="30"/>
        <v>257199.99979000003</v>
      </c>
      <c r="AA30" s="39" t="s">
        <v>11</v>
      </c>
      <c r="AB30" s="40">
        <f>SUM(AB23:AB29)/7</f>
        <v>16.571428571428573</v>
      </c>
      <c r="AC30" s="41" t="s">
        <v>7</v>
      </c>
      <c r="AD30" s="42"/>
      <c r="AF30" s="221"/>
    </row>
    <row r="31" spans="1:32" ht="18.600000000000001" customHeight="1" x14ac:dyDescent="0.25">
      <c r="A31" s="44">
        <f>SUM(A29+1)</f>
        <v>23</v>
      </c>
      <c r="B31" s="15" t="s">
        <v>12</v>
      </c>
      <c r="C31" s="16">
        <v>6269.6</v>
      </c>
      <c r="D31" s="17">
        <v>6666.6666599999999</v>
      </c>
      <c r="E31" s="16">
        <v>126.1</v>
      </c>
      <c r="F31" s="18">
        <v>7333.3333300000004</v>
      </c>
      <c r="G31" s="19">
        <v>163</v>
      </c>
      <c r="H31" s="18">
        <v>600</v>
      </c>
      <c r="I31" s="19">
        <v>0</v>
      </c>
      <c r="J31" s="18">
        <v>0</v>
      </c>
      <c r="K31" s="16">
        <v>368.5</v>
      </c>
      <c r="L31" s="80"/>
      <c r="M31" s="238">
        <f t="shared" ref="M31:M36" si="32">K31+L31</f>
        <v>368.5</v>
      </c>
      <c r="N31" s="17">
        <v>6666.6666599999999</v>
      </c>
      <c r="O31" s="16">
        <v>22.6</v>
      </c>
      <c r="P31" s="250">
        <v>1760</v>
      </c>
      <c r="Q31" s="226">
        <f>O31+P31</f>
        <v>1782.6</v>
      </c>
      <c r="R31" s="17">
        <v>4666.6666599999999</v>
      </c>
      <c r="S31" s="16">
        <v>3990.9</v>
      </c>
      <c r="T31" s="17">
        <v>8250</v>
      </c>
      <c r="U31" s="91">
        <f t="shared" ref="U31:U39" si="33">SUM(C31+E31+G31+I31+M31+Q31+S31)</f>
        <v>12700.7</v>
      </c>
      <c r="V31" s="89">
        <f t="shared" ref="V31:V36" si="34">SUM(D31+F31+H31+J31+N31+R31+T31)</f>
        <v>34183.333310000002</v>
      </c>
      <c r="W31" s="16">
        <v>0</v>
      </c>
      <c r="X31" s="17">
        <v>1666.6666600000001</v>
      </c>
      <c r="Y31" s="109">
        <f t="shared" ref="Y31:Z34" si="35">SUM(U31+W31)</f>
        <v>12700.7</v>
      </c>
      <c r="Z31" s="110">
        <f t="shared" si="35"/>
        <v>35849.999970000004</v>
      </c>
      <c r="AA31" s="45" t="s">
        <v>59</v>
      </c>
      <c r="AB31" s="46">
        <v>15</v>
      </c>
      <c r="AC31" s="21" t="s">
        <v>7</v>
      </c>
      <c r="AD31" s="22"/>
      <c r="AF31" s="221">
        <f t="shared" si="3"/>
        <v>6949.8000000000011</v>
      </c>
    </row>
    <row r="32" spans="1:32" ht="18.600000000000001" customHeight="1" x14ac:dyDescent="0.25">
      <c r="A32" s="44">
        <f t="shared" ref="A32:A37" si="36">SUM(A31+1)</f>
        <v>24</v>
      </c>
      <c r="B32" s="15" t="s">
        <v>13</v>
      </c>
      <c r="C32" s="16">
        <v>10663.6</v>
      </c>
      <c r="D32" s="17">
        <v>6666.6666599999999</v>
      </c>
      <c r="E32" s="16">
        <v>579.70000000000005</v>
      </c>
      <c r="F32" s="18">
        <v>7333.3333300000004</v>
      </c>
      <c r="G32" s="19">
        <v>316.60000000000002</v>
      </c>
      <c r="H32" s="18">
        <v>600</v>
      </c>
      <c r="I32" s="19">
        <v>0</v>
      </c>
      <c r="J32" s="18">
        <v>0</v>
      </c>
      <c r="K32" s="16">
        <v>1260</v>
      </c>
      <c r="L32" s="80"/>
      <c r="M32" s="238">
        <f t="shared" si="32"/>
        <v>1260</v>
      </c>
      <c r="N32" s="17">
        <v>6666.6666599999999</v>
      </c>
      <c r="O32" s="16">
        <v>41.5</v>
      </c>
      <c r="P32" s="250">
        <v>1928</v>
      </c>
      <c r="Q32" s="226">
        <f t="shared" ref="Q32:Q36" si="37">O32+P32</f>
        <v>1969.5</v>
      </c>
      <c r="R32" s="17">
        <v>4666.6666599999999</v>
      </c>
      <c r="S32" s="16">
        <v>6602.75</v>
      </c>
      <c r="T32" s="17">
        <v>8250</v>
      </c>
      <c r="U32" s="91">
        <f t="shared" si="33"/>
        <v>21392.15</v>
      </c>
      <c r="V32" s="89">
        <f>SUM(D32+F32+H32+J32+N32+R32+T32)</f>
        <v>34183.333310000002</v>
      </c>
      <c r="W32" s="16">
        <v>0</v>
      </c>
      <c r="X32" s="17">
        <v>1666.6666600000001</v>
      </c>
      <c r="Y32" s="109">
        <f t="shared" si="35"/>
        <v>21392.15</v>
      </c>
      <c r="Z32" s="110">
        <f t="shared" si="35"/>
        <v>35849.999970000004</v>
      </c>
      <c r="AA32" s="45" t="s">
        <v>117</v>
      </c>
      <c r="AB32" s="46">
        <v>17</v>
      </c>
      <c r="AC32" s="21" t="s">
        <v>7</v>
      </c>
      <c r="AD32" s="22"/>
      <c r="AF32" s="392">
        <f t="shared" si="3"/>
        <v>12861.400000000001</v>
      </c>
    </row>
    <row r="33" spans="1:32" ht="18.600000000000001" customHeight="1" x14ac:dyDescent="0.25">
      <c r="A33" s="44">
        <f t="shared" si="36"/>
        <v>25</v>
      </c>
      <c r="B33" s="15" t="s">
        <v>14</v>
      </c>
      <c r="C33" s="16">
        <v>5078.8</v>
      </c>
      <c r="D33" s="17">
        <v>6666.6666599999999</v>
      </c>
      <c r="E33" s="16">
        <v>2056</v>
      </c>
      <c r="F33" s="18">
        <v>7333.3333300000004</v>
      </c>
      <c r="G33" s="19">
        <v>358.1</v>
      </c>
      <c r="H33" s="18">
        <v>600</v>
      </c>
      <c r="I33" s="19">
        <v>1959</v>
      </c>
      <c r="J33" s="18">
        <v>0</v>
      </c>
      <c r="K33" s="16">
        <v>2319</v>
      </c>
      <c r="L33" s="80"/>
      <c r="M33" s="238">
        <f t="shared" si="32"/>
        <v>2319</v>
      </c>
      <c r="N33" s="17">
        <v>6666.6666599999999</v>
      </c>
      <c r="O33" s="20">
        <v>734.6</v>
      </c>
      <c r="P33" s="250">
        <v>1447</v>
      </c>
      <c r="Q33" s="226">
        <f t="shared" si="37"/>
        <v>2181.6</v>
      </c>
      <c r="R33" s="17">
        <v>4666.6666599999999</v>
      </c>
      <c r="S33" s="16">
        <v>5888.15</v>
      </c>
      <c r="T33" s="17">
        <v>8250</v>
      </c>
      <c r="U33" s="91">
        <f t="shared" si="33"/>
        <v>19840.650000000001</v>
      </c>
      <c r="V33" s="89">
        <f t="shared" si="34"/>
        <v>34183.333310000002</v>
      </c>
      <c r="W33" s="16">
        <v>0</v>
      </c>
      <c r="X33" s="17">
        <v>1666.6666600000001</v>
      </c>
      <c r="Y33" s="109">
        <f t="shared" si="35"/>
        <v>19840.650000000001</v>
      </c>
      <c r="Z33" s="110">
        <f t="shared" si="35"/>
        <v>35849.999970000004</v>
      </c>
      <c r="AA33" s="45" t="s">
        <v>138</v>
      </c>
      <c r="AB33" s="46">
        <v>18</v>
      </c>
      <c r="AC33" s="21" t="s">
        <v>7</v>
      </c>
      <c r="AD33" s="22"/>
      <c r="AF33" s="221">
        <f t="shared" si="3"/>
        <v>12505.500000000002</v>
      </c>
    </row>
    <row r="34" spans="1:32" ht="18.600000000000001" customHeight="1" x14ac:dyDescent="0.25">
      <c r="A34" s="44">
        <f t="shared" si="36"/>
        <v>26</v>
      </c>
      <c r="B34" s="15" t="s">
        <v>15</v>
      </c>
      <c r="C34" s="16">
        <v>8066.7</v>
      </c>
      <c r="D34" s="17">
        <v>6666.6666599999999</v>
      </c>
      <c r="E34" s="16">
        <v>0</v>
      </c>
      <c r="F34" s="18">
        <v>7333.3333300000004</v>
      </c>
      <c r="G34" s="19">
        <v>0</v>
      </c>
      <c r="H34" s="18">
        <v>600</v>
      </c>
      <c r="I34" s="19">
        <v>0</v>
      </c>
      <c r="J34" s="18">
        <v>0</v>
      </c>
      <c r="K34" s="16">
        <v>1077.2</v>
      </c>
      <c r="L34" s="80"/>
      <c r="M34" s="238">
        <f t="shared" si="32"/>
        <v>1077.2</v>
      </c>
      <c r="N34" s="17">
        <v>6666.6666599999999</v>
      </c>
      <c r="O34" s="20">
        <v>1543.8</v>
      </c>
      <c r="P34" s="328">
        <v>10142</v>
      </c>
      <c r="Q34" s="226">
        <f t="shared" si="37"/>
        <v>11685.8</v>
      </c>
      <c r="R34" s="17">
        <v>4666.6666599999999</v>
      </c>
      <c r="S34" s="16">
        <v>6490.1</v>
      </c>
      <c r="T34" s="17">
        <v>8250</v>
      </c>
      <c r="U34" s="91">
        <f t="shared" si="33"/>
        <v>27319.799999999996</v>
      </c>
      <c r="V34" s="89">
        <f t="shared" si="34"/>
        <v>34183.333310000002</v>
      </c>
      <c r="W34" s="16">
        <v>0</v>
      </c>
      <c r="X34" s="17">
        <v>1666.6666600000001</v>
      </c>
      <c r="Y34" s="109">
        <f t="shared" si="35"/>
        <v>27319.799999999996</v>
      </c>
      <c r="Z34" s="110">
        <f t="shared" si="35"/>
        <v>35849.999970000004</v>
      </c>
      <c r="AA34" s="45" t="s">
        <v>159</v>
      </c>
      <c r="AB34" s="46">
        <v>15</v>
      </c>
      <c r="AC34" s="21" t="s">
        <v>7</v>
      </c>
      <c r="AD34" s="22"/>
      <c r="AF34" s="221">
        <f t="shared" si="3"/>
        <v>10687.699999999999</v>
      </c>
    </row>
    <row r="35" spans="1:32" ht="18.600000000000001" customHeight="1" x14ac:dyDescent="0.25">
      <c r="A35" s="44">
        <f t="shared" si="36"/>
        <v>27</v>
      </c>
      <c r="B35" s="15" t="s">
        <v>6</v>
      </c>
      <c r="C35" s="16">
        <v>11592</v>
      </c>
      <c r="D35" s="17">
        <v>6666.6666599999999</v>
      </c>
      <c r="E35" s="16">
        <v>17</v>
      </c>
      <c r="F35" s="18">
        <v>7333.3333300000004</v>
      </c>
      <c r="G35" s="19">
        <v>0</v>
      </c>
      <c r="H35" s="18">
        <v>600</v>
      </c>
      <c r="I35" s="19">
        <v>3595</v>
      </c>
      <c r="J35" s="18">
        <v>3125</v>
      </c>
      <c r="K35" s="16">
        <v>15645.6</v>
      </c>
      <c r="L35" s="80"/>
      <c r="M35" s="238">
        <f t="shared" si="32"/>
        <v>15645.6</v>
      </c>
      <c r="N35" s="17">
        <v>6666.6666599999999</v>
      </c>
      <c r="O35" s="20">
        <v>275.7</v>
      </c>
      <c r="P35" s="250">
        <v>4186</v>
      </c>
      <c r="Q35" s="226">
        <f t="shared" si="37"/>
        <v>4461.7</v>
      </c>
      <c r="R35" s="17">
        <v>4666.6666599999999</v>
      </c>
      <c r="S35" s="16">
        <v>7880.1</v>
      </c>
      <c r="T35" s="17">
        <v>8250</v>
      </c>
      <c r="U35" s="91">
        <f t="shared" si="33"/>
        <v>43191.399999999994</v>
      </c>
      <c r="V35" s="89">
        <f t="shared" si="34"/>
        <v>37308.333310000002</v>
      </c>
      <c r="W35" s="16">
        <v>0</v>
      </c>
      <c r="X35" s="17">
        <v>1666.6666600000001</v>
      </c>
      <c r="Y35" s="109">
        <f>SUM(U35+W35)</f>
        <v>43191.399999999994</v>
      </c>
      <c r="Z35" s="110">
        <f t="shared" ref="Z35" si="38">SUM(V35+X35)</f>
        <v>38974.999970000004</v>
      </c>
      <c r="AA35" s="45" t="s">
        <v>191</v>
      </c>
      <c r="AB35" s="46">
        <v>15</v>
      </c>
      <c r="AC35" s="21" t="s">
        <v>7</v>
      </c>
      <c r="AD35" s="22"/>
      <c r="AF35" s="221">
        <f t="shared" si="3"/>
        <v>31125.3</v>
      </c>
    </row>
    <row r="36" spans="1:32" ht="18.600000000000001" customHeight="1" x14ac:dyDescent="0.25">
      <c r="A36" s="23">
        <f t="shared" si="36"/>
        <v>28</v>
      </c>
      <c r="B36" s="24" t="s">
        <v>8</v>
      </c>
      <c r="C36" s="25">
        <v>12788.4</v>
      </c>
      <c r="D36" s="26">
        <v>6666.6666599999999</v>
      </c>
      <c r="E36" s="25">
        <v>0</v>
      </c>
      <c r="F36" s="27">
        <v>7333.3333300000004</v>
      </c>
      <c r="G36" s="28">
        <v>0</v>
      </c>
      <c r="H36" s="27">
        <v>600</v>
      </c>
      <c r="I36" s="28">
        <v>0</v>
      </c>
      <c r="J36" s="27">
        <v>3125</v>
      </c>
      <c r="K36" s="25">
        <v>20883.400000000001</v>
      </c>
      <c r="L36" s="81"/>
      <c r="M36" s="239">
        <f t="shared" si="32"/>
        <v>20883.400000000001</v>
      </c>
      <c r="N36" s="26">
        <v>6666.6666599999999</v>
      </c>
      <c r="O36" s="25">
        <v>0</v>
      </c>
      <c r="P36" s="81">
        <v>0</v>
      </c>
      <c r="Q36" s="239">
        <f t="shared" si="37"/>
        <v>0</v>
      </c>
      <c r="R36" s="26">
        <v>4666.6666599999999</v>
      </c>
      <c r="S36" s="25">
        <v>10821.1</v>
      </c>
      <c r="T36" s="26">
        <v>8250</v>
      </c>
      <c r="U36" s="183">
        <f t="shared" si="33"/>
        <v>44492.9</v>
      </c>
      <c r="V36" s="90">
        <f t="shared" si="34"/>
        <v>37308.333310000002</v>
      </c>
      <c r="W36" s="25">
        <v>0</v>
      </c>
      <c r="X36" s="26">
        <v>1666.6666600000001</v>
      </c>
      <c r="Y36" s="92">
        <f t="shared" ref="Y36" si="39">SUM(U36+W36)</f>
        <v>44492.9</v>
      </c>
      <c r="Z36" s="234">
        <f t="shared" ref="Z36" si="40">SUM(V36+X36)</f>
        <v>38974.999970000004</v>
      </c>
      <c r="AA36" s="29" t="s">
        <v>59</v>
      </c>
      <c r="AB36" s="30">
        <v>11</v>
      </c>
      <c r="AC36" s="31" t="s">
        <v>7</v>
      </c>
      <c r="AD36" s="32"/>
      <c r="AF36" s="221">
        <f t="shared" si="3"/>
        <v>33671.800000000003</v>
      </c>
    </row>
    <row r="37" spans="1:32" ht="18.600000000000001" customHeight="1" x14ac:dyDescent="0.25">
      <c r="A37" s="23">
        <f t="shared" si="36"/>
        <v>29</v>
      </c>
      <c r="B37" s="24" t="s">
        <v>126</v>
      </c>
      <c r="C37" s="25">
        <v>10226.6</v>
      </c>
      <c r="D37" s="26">
        <v>6666.6666599999999</v>
      </c>
      <c r="E37" s="25">
        <v>238.5</v>
      </c>
      <c r="F37" s="27">
        <v>7333.3333300000004</v>
      </c>
      <c r="G37" s="28">
        <v>300.89999999999998</v>
      </c>
      <c r="H37" s="27">
        <v>600</v>
      </c>
      <c r="I37" s="28">
        <v>0</v>
      </c>
      <c r="J37" s="27">
        <v>0</v>
      </c>
      <c r="K37" s="25">
        <v>5183</v>
      </c>
      <c r="L37" s="81"/>
      <c r="M37" s="239">
        <f>K37+L37</f>
        <v>5183</v>
      </c>
      <c r="N37" s="26">
        <v>6666.6666599999999</v>
      </c>
      <c r="O37" s="25">
        <v>125.5</v>
      </c>
      <c r="P37" s="81">
        <v>0</v>
      </c>
      <c r="Q37" s="239">
        <f t="shared" ref="Q37" si="41">O37+P37</f>
        <v>125.5</v>
      </c>
      <c r="R37" s="26">
        <v>4666.6666599999999</v>
      </c>
      <c r="S37" s="452">
        <v>3629.2</v>
      </c>
      <c r="T37" s="239">
        <v>8250</v>
      </c>
      <c r="U37" s="183">
        <f t="shared" si="33"/>
        <v>19703.7</v>
      </c>
      <c r="V37" s="90">
        <f t="shared" ref="V37" si="42">SUM(D37+F37+H37+J37+N37+R37+T37)</f>
        <v>34183.333310000002</v>
      </c>
      <c r="W37" s="25">
        <v>0</v>
      </c>
      <c r="X37" s="239">
        <v>1666.6666600000001</v>
      </c>
      <c r="Y37" s="92">
        <f t="shared" ref="Y37" si="43">SUM(U37+W37)</f>
        <v>19703.7</v>
      </c>
      <c r="Z37" s="234">
        <f t="shared" ref="Z37" si="44">SUM(V37+X37)</f>
        <v>35849.999970000004</v>
      </c>
      <c r="AA37" s="29" t="s">
        <v>58</v>
      </c>
      <c r="AB37" s="30">
        <v>11</v>
      </c>
      <c r="AC37" s="31" t="s">
        <v>7</v>
      </c>
      <c r="AD37" s="32"/>
      <c r="AF37" s="221">
        <f>C37+E37+G37+I37+K37+O37+W37</f>
        <v>16074.5</v>
      </c>
    </row>
    <row r="38" spans="1:32" ht="18.600000000000001" customHeight="1" x14ac:dyDescent="0.25">
      <c r="A38" s="33" t="s">
        <v>10</v>
      </c>
      <c r="B38" s="34">
        <f>SUM(B30+1)</f>
        <v>39</v>
      </c>
      <c r="C38" s="266">
        <f>SUM(C31:C37)</f>
        <v>64685.7</v>
      </c>
      <c r="D38" s="36">
        <f t="shared" ref="D38:Z38" si="45">SUM(D31:D37)</f>
        <v>46666.666620000004</v>
      </c>
      <c r="E38" s="35">
        <f t="shared" si="45"/>
        <v>3017.3</v>
      </c>
      <c r="F38" s="82">
        <f t="shared" si="45"/>
        <v>51333.333310000002</v>
      </c>
      <c r="G38" s="35">
        <f t="shared" si="45"/>
        <v>1138.5999999999999</v>
      </c>
      <c r="H38" s="82">
        <f t="shared" si="45"/>
        <v>4200</v>
      </c>
      <c r="I38" s="35">
        <f t="shared" si="45"/>
        <v>5554</v>
      </c>
      <c r="J38" s="82">
        <f t="shared" si="45"/>
        <v>6250</v>
      </c>
      <c r="K38" s="35">
        <f t="shared" si="45"/>
        <v>46736.7</v>
      </c>
      <c r="L38" s="82">
        <f t="shared" ref="L38" si="46">SUM(L31:L37)</f>
        <v>0</v>
      </c>
      <c r="M38" s="82">
        <f t="shared" ref="M38" si="47">SUM(M31:M37)</f>
        <v>46736.7</v>
      </c>
      <c r="N38" s="82">
        <f t="shared" si="45"/>
        <v>46666.666620000004</v>
      </c>
      <c r="O38" s="35">
        <f t="shared" si="45"/>
        <v>2743.7</v>
      </c>
      <c r="P38" s="38">
        <f t="shared" si="45"/>
        <v>19463</v>
      </c>
      <c r="Q38" s="82">
        <f>SUM(Q31:Q37)</f>
        <v>22206.7</v>
      </c>
      <c r="R38" s="82">
        <f t="shared" si="45"/>
        <v>32666.666619999996</v>
      </c>
      <c r="S38" s="35">
        <f>SUM(S31:S37)</f>
        <v>45302.299999999996</v>
      </c>
      <c r="T38" s="82">
        <f t="shared" si="45"/>
        <v>57750</v>
      </c>
      <c r="U38" s="35">
        <f t="shared" si="45"/>
        <v>188641.30000000002</v>
      </c>
      <c r="V38" s="82">
        <f t="shared" si="45"/>
        <v>245533.33317000006</v>
      </c>
      <c r="W38" s="261">
        <f t="shared" si="45"/>
        <v>0</v>
      </c>
      <c r="X38" s="35">
        <f t="shared" si="45"/>
        <v>11666.666620000002</v>
      </c>
      <c r="Y38" s="35">
        <f t="shared" si="45"/>
        <v>188641.30000000002</v>
      </c>
      <c r="Z38" s="36">
        <f t="shared" si="45"/>
        <v>257199.99979000003</v>
      </c>
      <c r="AA38" s="39" t="s">
        <v>11</v>
      </c>
      <c r="AB38" s="40">
        <f>SUM(AB31:AB34)/4</f>
        <v>16.25</v>
      </c>
      <c r="AC38" s="41" t="s">
        <v>7</v>
      </c>
      <c r="AD38" s="42"/>
      <c r="AF38" s="221"/>
    </row>
    <row r="39" spans="1:32" ht="18.600000000000001" customHeight="1" x14ac:dyDescent="0.25">
      <c r="A39" s="47">
        <f>SUM(A37+1)</f>
        <v>30</v>
      </c>
      <c r="B39" s="458" t="s">
        <v>12</v>
      </c>
      <c r="C39" s="285">
        <v>7249</v>
      </c>
      <c r="D39" s="286">
        <v>6666.6666599999999</v>
      </c>
      <c r="E39" s="285">
        <v>711.9</v>
      </c>
      <c r="F39" s="286">
        <v>7333.3333300000004</v>
      </c>
      <c r="G39" s="285">
        <v>258.5</v>
      </c>
      <c r="H39" s="286">
        <v>600</v>
      </c>
      <c r="I39" s="285">
        <v>5709.5</v>
      </c>
      <c r="J39" s="286">
        <v>0</v>
      </c>
      <c r="K39" s="285">
        <v>0</v>
      </c>
      <c r="L39" s="286"/>
      <c r="M39" s="286">
        <f>K39+L39</f>
        <v>0</v>
      </c>
      <c r="N39" s="286">
        <v>6666.6666599999999</v>
      </c>
      <c r="O39" s="285">
        <v>692.4</v>
      </c>
      <c r="P39" s="286">
        <v>4448</v>
      </c>
      <c r="Q39" s="286">
        <f t="shared" ref="Q39" si="48">O39+P39</f>
        <v>5140.3999999999996</v>
      </c>
      <c r="R39" s="286">
        <v>4666.6666599999999</v>
      </c>
      <c r="S39" s="285">
        <v>6631.2</v>
      </c>
      <c r="T39" s="499">
        <v>8250</v>
      </c>
      <c r="U39" s="285">
        <f t="shared" si="33"/>
        <v>25700.5</v>
      </c>
      <c r="V39" s="286">
        <f>SUM(D39+F39+H39+J39+N39+R39+T39)</f>
        <v>34183.333310000002</v>
      </c>
      <c r="W39" s="285">
        <v>0</v>
      </c>
      <c r="X39" s="286">
        <v>1666.6666600000001</v>
      </c>
      <c r="Y39" s="267">
        <f t="shared" ref="Y39" si="49">SUM(U39+W39)</f>
        <v>25700.5</v>
      </c>
      <c r="Z39" s="500">
        <f>SUM(V39+X39)</f>
        <v>35849.999970000004</v>
      </c>
      <c r="AA39" s="501" t="s">
        <v>58</v>
      </c>
      <c r="AB39" s="502">
        <v>14</v>
      </c>
      <c r="AC39" s="459" t="s">
        <v>7</v>
      </c>
      <c r="AD39" s="229"/>
      <c r="AF39" s="221">
        <f>C39+E39+G39+I39+K39+O39+W39</f>
        <v>14621.3</v>
      </c>
    </row>
    <row r="40" spans="1:32" ht="18.600000000000001" customHeight="1" thickBot="1" x14ac:dyDescent="0.3">
      <c r="A40" s="453" t="s">
        <v>10</v>
      </c>
      <c r="B40" s="444">
        <f>SUM(39+1)</f>
        <v>40</v>
      </c>
      <c r="C40" s="272">
        <f>SUM(C39)</f>
        <v>7249</v>
      </c>
      <c r="D40" s="273">
        <f t="shared" ref="D40:Z40" si="50">SUM(D39)</f>
        <v>6666.6666599999999</v>
      </c>
      <c r="E40" s="54">
        <f t="shared" si="50"/>
        <v>711.9</v>
      </c>
      <c r="F40" s="273">
        <f t="shared" si="50"/>
        <v>7333.3333300000004</v>
      </c>
      <c r="G40" s="54">
        <f t="shared" si="50"/>
        <v>258.5</v>
      </c>
      <c r="H40" s="273">
        <f t="shared" si="50"/>
        <v>600</v>
      </c>
      <c r="I40" s="54">
        <f t="shared" si="50"/>
        <v>5709.5</v>
      </c>
      <c r="J40" s="273">
        <f t="shared" si="50"/>
        <v>0</v>
      </c>
      <c r="K40" s="54">
        <f t="shared" si="50"/>
        <v>0</v>
      </c>
      <c r="L40" s="454">
        <f t="shared" ref="L40" si="51">SUM(L39)</f>
        <v>0</v>
      </c>
      <c r="M40" s="454">
        <f t="shared" ref="M40" si="52">SUM(M39)</f>
        <v>0</v>
      </c>
      <c r="N40" s="273">
        <f t="shared" si="50"/>
        <v>6666.6666599999999</v>
      </c>
      <c r="O40" s="54">
        <f t="shared" si="50"/>
        <v>692.4</v>
      </c>
      <c r="P40" s="454">
        <f t="shared" si="50"/>
        <v>4448</v>
      </c>
      <c r="Q40" s="454">
        <f t="shared" si="50"/>
        <v>5140.3999999999996</v>
      </c>
      <c r="R40" s="273">
        <f t="shared" si="50"/>
        <v>4666.6666599999999</v>
      </c>
      <c r="S40" s="54">
        <f t="shared" si="50"/>
        <v>6631.2</v>
      </c>
      <c r="T40" s="273">
        <f t="shared" si="50"/>
        <v>8250</v>
      </c>
      <c r="U40" s="272">
        <f t="shared" si="50"/>
        <v>25700.5</v>
      </c>
      <c r="V40" s="273">
        <f t="shared" si="50"/>
        <v>34183.333310000002</v>
      </c>
      <c r="W40" s="272">
        <f t="shared" si="50"/>
        <v>0</v>
      </c>
      <c r="X40" s="273">
        <f t="shared" si="50"/>
        <v>1666.6666600000001</v>
      </c>
      <c r="Y40" s="272">
        <f t="shared" si="50"/>
        <v>25700.5</v>
      </c>
      <c r="Z40" s="118">
        <f t="shared" si="50"/>
        <v>35849.999970000004</v>
      </c>
      <c r="AA40" s="455"/>
      <c r="AB40" s="456"/>
      <c r="AC40" s="457"/>
      <c r="AD40" s="445"/>
      <c r="AF40" s="221">
        <f>SUM(AF5:AF39)</f>
        <v>636839.62000000011</v>
      </c>
    </row>
    <row r="41" spans="1:32" ht="19.149999999999999" customHeight="1" x14ac:dyDescent="0.25">
      <c r="A41" s="175" t="s">
        <v>16</v>
      </c>
      <c r="B41" s="127"/>
      <c r="C41" s="115">
        <f>SUM(C6+C14+C22+C30+C38+C40)</f>
        <v>237704.37</v>
      </c>
      <c r="D41" s="116">
        <f t="shared" ref="D41:Z41" si="53">SUM(D6+D14+D22+D30+D38+D40)</f>
        <v>199999.99980000002</v>
      </c>
      <c r="E41" s="115">
        <f t="shared" si="53"/>
        <v>110609.75</v>
      </c>
      <c r="F41" s="116">
        <f t="shared" si="53"/>
        <v>219999.9999</v>
      </c>
      <c r="G41" s="115">
        <f t="shared" si="53"/>
        <v>11830.4</v>
      </c>
      <c r="H41" s="116">
        <f t="shared" si="53"/>
        <v>18000</v>
      </c>
      <c r="I41" s="115">
        <f t="shared" si="53"/>
        <v>28675</v>
      </c>
      <c r="J41" s="116">
        <f t="shared" si="53"/>
        <v>25000</v>
      </c>
      <c r="K41" s="115">
        <f t="shared" si="53"/>
        <v>207098</v>
      </c>
      <c r="L41" s="116">
        <f t="shared" ref="L41" si="54">SUM(L6+L14+L22+L30+L38+L40)</f>
        <v>0</v>
      </c>
      <c r="M41" s="116">
        <f t="shared" ref="M41" si="55">SUM(M6+M14+M22+M30+M38+M40)</f>
        <v>207098</v>
      </c>
      <c r="N41" s="116">
        <f t="shared" si="53"/>
        <v>199999.99980000002</v>
      </c>
      <c r="O41" s="115">
        <f>SUM(O6+O14+O22+O30+O38+O40)</f>
        <v>22347.300000000003</v>
      </c>
      <c r="P41" s="115">
        <f>SUM(P6+P14+P22+P30+P38+P40)</f>
        <v>95323.9</v>
      </c>
      <c r="Q41" s="244">
        <f t="shared" si="53"/>
        <v>117671.2</v>
      </c>
      <c r="R41" s="116">
        <f t="shared" si="53"/>
        <v>139999.99979999999</v>
      </c>
      <c r="S41" s="115">
        <f>SUM(S6+S14+S22+S30+S38+S40)</f>
        <v>223136.5</v>
      </c>
      <c r="T41" s="116">
        <f t="shared" si="53"/>
        <v>247500</v>
      </c>
      <c r="U41" s="115">
        <f t="shared" si="53"/>
        <v>936725.22000000009</v>
      </c>
      <c r="V41" s="116">
        <f t="shared" si="53"/>
        <v>1050499.9993</v>
      </c>
      <c r="W41" s="115">
        <f t="shared" si="53"/>
        <v>18574.800000000003</v>
      </c>
      <c r="X41" s="116">
        <f t="shared" si="53"/>
        <v>49999.999800000012</v>
      </c>
      <c r="Y41" s="115">
        <f t="shared" si="53"/>
        <v>955300.02000000014</v>
      </c>
      <c r="Z41" s="116">
        <f t="shared" si="53"/>
        <v>1100499.9991000001</v>
      </c>
      <c r="AA41" s="126" t="s">
        <v>16</v>
      </c>
      <c r="AB41" s="101"/>
      <c r="AC41" s="102"/>
      <c r="AD41" s="103"/>
    </row>
    <row r="42" spans="1:32" ht="19.5" customHeight="1" thickBot="1" x14ac:dyDescent="0.3">
      <c r="A42" s="63" t="s">
        <v>28</v>
      </c>
      <c r="B42" s="64"/>
      <c r="C42" s="65">
        <f>C41/30</f>
        <v>7923.4790000000003</v>
      </c>
      <c r="D42" s="66">
        <f t="shared" ref="D42:N42" si="56">D41/30</f>
        <v>6666.6666600000008</v>
      </c>
      <c r="E42" s="65">
        <f t="shared" si="56"/>
        <v>3686.9916666666668</v>
      </c>
      <c r="F42" s="66">
        <f t="shared" si="56"/>
        <v>7333.3333299999995</v>
      </c>
      <c r="G42" s="65">
        <f t="shared" si="56"/>
        <v>394.34666666666664</v>
      </c>
      <c r="H42" s="66">
        <f t="shared" si="56"/>
        <v>600</v>
      </c>
      <c r="I42" s="65">
        <f t="shared" si="56"/>
        <v>955.83333333333337</v>
      </c>
      <c r="J42" s="66">
        <f t="shared" si="56"/>
        <v>833.33333333333337</v>
      </c>
      <c r="K42" s="65">
        <f t="shared" si="56"/>
        <v>6903.2666666666664</v>
      </c>
      <c r="L42" s="83">
        <f t="shared" si="56"/>
        <v>0</v>
      </c>
      <c r="M42" s="240">
        <f t="shared" si="56"/>
        <v>6903.2666666666664</v>
      </c>
      <c r="N42" s="66">
        <f t="shared" si="56"/>
        <v>6666.6666600000008</v>
      </c>
      <c r="O42" s="251"/>
      <c r="P42" s="363">
        <v>123</v>
      </c>
      <c r="Q42" s="363"/>
      <c r="R42" s="362">
        <f>SUM(Q41-R41)</f>
        <v>-22328.799799999993</v>
      </c>
      <c r="S42" s="65">
        <f t="shared" ref="S42:Z42" si="57">S41/30</f>
        <v>7437.8833333333332</v>
      </c>
      <c r="T42" s="66">
        <f t="shared" si="57"/>
        <v>8250</v>
      </c>
      <c r="U42" s="65">
        <f t="shared" si="57"/>
        <v>31224.174000000003</v>
      </c>
      <c r="V42" s="66">
        <f t="shared" si="57"/>
        <v>35016.666643333338</v>
      </c>
      <c r="W42" s="65">
        <f t="shared" si="57"/>
        <v>619.16000000000008</v>
      </c>
      <c r="X42" s="66">
        <f t="shared" si="57"/>
        <v>1666.6666600000003</v>
      </c>
      <c r="Y42" s="65">
        <f t="shared" si="57"/>
        <v>31843.334000000006</v>
      </c>
      <c r="Z42" s="66">
        <f t="shared" si="57"/>
        <v>36683.33330333334</v>
      </c>
      <c r="AA42" s="69" t="s">
        <v>17</v>
      </c>
      <c r="AB42" s="98"/>
      <c r="AC42" s="99"/>
      <c r="AD42" s="100"/>
    </row>
    <row r="43" spans="1:32" ht="20.100000000000001" customHeight="1" x14ac:dyDescent="0.25">
      <c r="A43" s="72" t="s">
        <v>18</v>
      </c>
      <c r="B43" s="73"/>
      <c r="C43" s="74">
        <f>SUM(C41-D41)</f>
        <v>37704.370199999976</v>
      </c>
      <c r="D43" s="75"/>
      <c r="E43" s="74">
        <f>SUM(E41-F41)</f>
        <v>-109390.2499</v>
      </c>
      <c r="F43" s="75"/>
      <c r="G43" s="74">
        <f>SUM(G41-H41)</f>
        <v>-6169.6</v>
      </c>
      <c r="H43" s="75"/>
      <c r="I43" s="74">
        <f>SUM(I41-J41)</f>
        <v>3675</v>
      </c>
      <c r="J43" s="75"/>
      <c r="K43" s="460"/>
      <c r="L43" s="133"/>
      <c r="M43" s="291">
        <f>SUM(M41-N41)</f>
        <v>7098.0001999999804</v>
      </c>
      <c r="N43" s="133"/>
      <c r="O43" s="74"/>
      <c r="P43" s="246"/>
      <c r="Q43" s="246">
        <f>SUM(Q41-R41)</f>
        <v>-22328.799799999993</v>
      </c>
      <c r="R43" s="133"/>
      <c r="S43" s="74">
        <f>SUM(S41-T41)</f>
        <v>-24363.5</v>
      </c>
      <c r="T43" s="75"/>
      <c r="U43" s="96">
        <f>SUM(U41-V41)</f>
        <v>-113774.77929999994</v>
      </c>
      <c r="V43" s="75"/>
      <c r="W43" s="74">
        <f>SUM(W41-X41)</f>
        <v>-31425.199800000009</v>
      </c>
      <c r="X43" s="75"/>
      <c r="Y43" s="111">
        <f>SUM(Y41-Z41)</f>
        <v>-145199.9791</v>
      </c>
      <c r="Z43" s="112"/>
      <c r="AC43" s="2"/>
      <c r="AD43" s="2"/>
    </row>
    <row r="44" spans="1:32" ht="20.100000000000001" customHeight="1" thickBot="1" x14ac:dyDescent="0.3">
      <c r="A44" s="76" t="s">
        <v>19</v>
      </c>
      <c r="B44" s="77"/>
      <c r="C44" s="95">
        <f>SUM(100/D41*C41)</f>
        <v>118.85218511885216</v>
      </c>
      <c r="D44" s="78"/>
      <c r="E44" s="95">
        <f>SUM(100/F41*E41)</f>
        <v>50.277159113762345</v>
      </c>
      <c r="F44" s="78"/>
      <c r="G44" s="95">
        <f>SUM(100/H41*G41)</f>
        <v>65.724444444444444</v>
      </c>
      <c r="H44" s="78"/>
      <c r="I44" s="95">
        <f>SUM(100/J41*I41)</f>
        <v>114.7</v>
      </c>
      <c r="J44" s="78"/>
      <c r="K44" s="95"/>
      <c r="L44" s="257"/>
      <c r="M44" s="247">
        <f>SUM(100/N41*M41)</f>
        <v>103.54900010354898</v>
      </c>
      <c r="N44" s="257"/>
      <c r="O44" s="95"/>
      <c r="P44" s="247"/>
      <c r="Q44" s="247">
        <f>SUM(100/R41*Q41)</f>
        <v>84.05085726292981</v>
      </c>
      <c r="R44" s="257"/>
      <c r="S44" s="95">
        <f>SUM(100/T41*S41)</f>
        <v>90.156161616161612</v>
      </c>
      <c r="T44" s="78"/>
      <c r="U44" s="97">
        <f>SUM(100/V41*U41)</f>
        <v>89.169464124149101</v>
      </c>
      <c r="V44" s="78"/>
      <c r="W44" s="95">
        <f>SUM(100/X41*W41)</f>
        <v>37.149600148598395</v>
      </c>
      <c r="X44" s="78"/>
      <c r="Y44" s="113">
        <f>SUM(100/Z41*Y41)</f>
        <v>86.805999162312943</v>
      </c>
      <c r="Z44" s="114"/>
      <c r="AC44" s="2"/>
      <c r="AD44" s="2"/>
    </row>
    <row r="46" spans="1:32" x14ac:dyDescent="0.25">
      <c r="A46" s="393"/>
      <c r="B46" s="230"/>
      <c r="C46" s="230"/>
      <c r="D46" s="230"/>
      <c r="E46" s="390"/>
      <c r="F46" s="230"/>
      <c r="G46" s="360"/>
      <c r="H46" s="360"/>
      <c r="I46" s="360"/>
      <c r="J46" s="360"/>
      <c r="K46" s="230"/>
      <c r="L46" s="230"/>
      <c r="M46" s="230"/>
      <c r="N46" s="230"/>
      <c r="O46" s="390"/>
      <c r="P46" s="230"/>
      <c r="Q46" s="230"/>
      <c r="T46" s="230"/>
      <c r="U46" s="230"/>
      <c r="V46" s="230"/>
      <c r="W46" s="230"/>
    </row>
    <row r="47" spans="1:32" x14ac:dyDescent="0.25">
      <c r="A47" s="393"/>
      <c r="B47" s="230"/>
      <c r="C47" s="230"/>
      <c r="D47" s="230"/>
      <c r="E47" s="230"/>
      <c r="F47" s="230"/>
      <c r="G47" s="360"/>
      <c r="H47" s="360"/>
      <c r="I47" s="360"/>
      <c r="J47" s="360"/>
      <c r="K47" s="230"/>
      <c r="L47" s="230"/>
      <c r="M47" s="230"/>
      <c r="N47" s="230"/>
      <c r="O47" s="230"/>
      <c r="P47" s="230"/>
      <c r="Q47" s="230"/>
      <c r="T47" s="230"/>
      <c r="U47" s="230"/>
      <c r="V47" s="230"/>
      <c r="W47" s="230"/>
    </row>
    <row r="52" spans="19:19" x14ac:dyDescent="0.25">
      <c r="S52" s="221"/>
    </row>
  </sheetData>
  <customSheetViews>
    <customSheetView guid="{512075D7-6EE7-4EEF-842F-09AF15E6D8B5}" scale="70" showPageBreaks="1" fitToPage="1" printArea="1" topLeftCell="I1">
      <pane ySplit="4" topLeftCell="A5" activePane="bottomLeft" state="frozen"/>
      <selection pane="bottomLeft" activeCell="S12" sqref="S12"/>
      <pageMargins left="0.59055118110236227" right="0.59055118110236227" top="1.1811023622047245" bottom="0.59055118110236227" header="0.11811023622047245" footer="0.31496062992125984"/>
      <pageSetup paperSize="9" scale="36" orientation="landscape" horizontalDpi="4294967293" verticalDpi="4294967293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 topLeftCell="I1">
      <pane ySplit="4" topLeftCell="A5" activePane="bottomLeft" state="frozen"/>
      <selection pane="bottomLeft" activeCell="S12" sqref="S12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112" showPageBreaks="1" fitToPage="1" printArea="1" topLeftCell="L1">
      <pane ySplit="4" topLeftCell="A29" activePane="bottomLeft" state="frozen"/>
      <selection pane="bottomLeft" activeCell="AF5" sqref="AF5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70" showPageBreaks="1" fitToPage="1" printArea="1" topLeftCell="B1">
      <pane ySplit="4" topLeftCell="A11" activePane="bottomLeft" state="frozen"/>
      <selection pane="bottomLeft" activeCell="AA37" sqref="AA37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showPageBreaks="1" fitToPage="1" printArea="1">
      <pane ySplit="4" topLeftCell="A5" activePane="bottomLeft" state="frozen"/>
      <selection pane="bottomLeft" activeCell="A39" sqref="A39:XFD39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 topLeftCell="J1">
      <pane ySplit="4" topLeftCell="A23" activePane="bottomLeft" state="frozen"/>
      <selection pane="bottomLeft" activeCell="M41" sqref="M41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80" showPageBreaks="1" fitToPage="1" printArea="1">
      <pane ySplit="4" topLeftCell="A23" activePane="bottomLeft" state="frozen"/>
      <selection pane="bottomLeft" activeCell="Q22" sqref="Q22"/>
      <pageMargins left="0.59055118110236227" right="0.59055118110236227" top="1.1811023622047245" bottom="0.59055118110236227" header="0.11811023622047245" footer="0.31496062992125984"/>
      <pageSetup paperSize="9" scale="41" orientation="landscape" horizontalDpi="4294967293" verticalDpi="4294967293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5" activePane="bottomLeft" state="frozen"/>
      <selection pane="bottomLeft" activeCell="N11" sqref="N11"/>
      <pageMargins left="0.59055118110236227" right="0.59055118110236227" top="1.1811023622047245" bottom="0.59055118110236227" header="0.11811023622047245" footer="0.31496062992125984"/>
      <pageSetup paperSize="9" scale="47" orientation="landscape" horizontalDpi="4294967293" verticalDpi="4294967293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90" showPageBreaks="1" fitToPage="1" printArea="1">
      <pane ySplit="4" topLeftCell="A5" activePane="bottomLeft" state="frozen"/>
      <selection pane="bottomLeft" activeCell="N11" sqref="N11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8" activePane="bottomLeft" state="frozen"/>
      <selection pane="bottomLeft" activeCell="W15" sqref="W15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5" activePane="bottomLeft" state="frozen"/>
      <selection pane="bottomLeft" activeCell="P36" sqref="P36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I3:J3"/>
    <mergeCell ref="O3:R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6" orientation="landscape" horizontalDpi="4294967293" verticalDpi="4294967293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F48"/>
  <sheetViews>
    <sheetView topLeftCell="F1" zoomScale="70" zoomScaleNormal="90" workbookViewId="0">
      <pane ySplit="4" topLeftCell="A11" activePane="bottomLeft" state="frozen"/>
      <selection activeCell="F1" sqref="F1"/>
      <selection pane="bottomLeft" activeCell="Y48" sqref="Y48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8.28515625" style="2" bestFit="1" customWidth="1"/>
    <col min="4" max="4" width="19" style="2" customWidth="1"/>
    <col min="5" max="5" width="18.28515625" style="2" bestFit="1" customWidth="1"/>
    <col min="6" max="6" width="20.28515625" style="2" customWidth="1"/>
    <col min="7" max="7" width="21" style="6" bestFit="1" customWidth="1"/>
    <col min="8" max="8" width="17.28515625" style="6" customWidth="1"/>
    <col min="9" max="9" width="17.7109375" style="6" customWidth="1"/>
    <col min="10" max="10" width="20.28515625" style="6" customWidth="1"/>
    <col min="11" max="11" width="15" style="2" customWidth="1"/>
    <col min="12" max="12" width="10.28515625" style="2" bestFit="1" customWidth="1"/>
    <col min="13" max="13" width="15" style="2" bestFit="1" customWidth="1"/>
    <col min="14" max="14" width="16.28515625" style="2" customWidth="1"/>
    <col min="15" max="15" width="20.85546875" style="2" customWidth="1"/>
    <col min="16" max="16" width="18.140625" style="2" customWidth="1"/>
    <col min="17" max="17" width="21.140625" style="2" customWidth="1"/>
    <col min="18" max="18" width="17.5703125" style="2" customWidth="1"/>
    <col min="19" max="19" width="22.5703125" style="2" customWidth="1"/>
    <col min="20" max="20" width="17.28515625" style="2" customWidth="1"/>
    <col min="21" max="21" width="23" style="2" customWidth="1"/>
    <col min="22" max="22" width="14.5703125" style="2" bestFit="1" customWidth="1"/>
    <col min="23" max="23" width="15.42578125" style="2" bestFit="1" customWidth="1"/>
    <col min="24" max="24" width="9.7109375" style="2" customWidth="1"/>
    <col min="25" max="25" width="15.85546875" style="4" bestFit="1" customWidth="1"/>
    <col min="26" max="26" width="18.140625" style="4" customWidth="1"/>
    <col min="27" max="27" width="29.42578125" style="2" bestFit="1" customWidth="1"/>
    <col min="28" max="31" width="11.42578125" style="2"/>
    <col min="32" max="32" width="35.28515625" style="2" bestFit="1" customWidth="1"/>
    <col min="33" max="16384" width="11.42578125" style="2"/>
  </cols>
  <sheetData>
    <row r="1" spans="1:32" ht="34.15" customHeight="1" x14ac:dyDescent="0.25">
      <c r="A1" s="104" t="s">
        <v>55</v>
      </c>
      <c r="G1" s="2"/>
      <c r="H1" s="521">
        <v>45566</v>
      </c>
      <c r="I1" s="521"/>
      <c r="J1" s="521"/>
      <c r="K1" s="521"/>
      <c r="L1" s="435"/>
      <c r="M1" s="435"/>
      <c r="P1" s="230"/>
      <c r="Y1" s="2"/>
      <c r="Z1" s="2"/>
      <c r="AC1" s="4"/>
      <c r="AD1" s="4"/>
    </row>
    <row r="2" spans="1:32" ht="21" thickBot="1" x14ac:dyDescent="0.3">
      <c r="A2" s="105"/>
      <c r="P2" s="230"/>
      <c r="Y2" s="2"/>
      <c r="Z2" s="2"/>
      <c r="AC2" s="4"/>
      <c r="AD2" s="4"/>
    </row>
    <row r="3" spans="1:32" s="8" customFormat="1" ht="36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3" t="s">
        <v>53</v>
      </c>
      <c r="J3" s="514"/>
      <c r="K3" s="513" t="s">
        <v>25</v>
      </c>
      <c r="L3" s="515"/>
      <c r="M3" s="515"/>
      <c r="N3" s="514"/>
      <c r="O3" s="513" t="s">
        <v>30</v>
      </c>
      <c r="P3" s="526"/>
      <c r="Q3" s="526"/>
      <c r="R3" s="527"/>
      <c r="S3" s="513" t="s">
        <v>2</v>
      </c>
      <c r="T3" s="514"/>
      <c r="U3" s="528" t="s">
        <v>71</v>
      </c>
      <c r="V3" s="529"/>
      <c r="W3" s="513" t="s">
        <v>26</v>
      </c>
      <c r="X3" s="514"/>
      <c r="Y3" s="524" t="s">
        <v>27</v>
      </c>
      <c r="Z3" s="525"/>
      <c r="AA3" s="513" t="s">
        <v>0</v>
      </c>
      <c r="AB3" s="515"/>
      <c r="AC3" s="515"/>
      <c r="AD3" s="514"/>
      <c r="AF3" s="356" t="s">
        <v>80</v>
      </c>
    </row>
    <row r="4" spans="1:32" s="4" customFormat="1" ht="18.600000000000001" customHeight="1" x14ac:dyDescent="0.25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43" t="s">
        <v>69</v>
      </c>
      <c r="M4" s="449" t="s">
        <v>70</v>
      </c>
      <c r="N4" s="256" t="s">
        <v>21</v>
      </c>
      <c r="O4" s="11" t="s">
        <v>68</v>
      </c>
      <c r="P4" s="237" t="s">
        <v>69</v>
      </c>
      <c r="Q4" s="243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19" t="s">
        <v>4</v>
      </c>
      <c r="AC4" s="520"/>
      <c r="AD4" s="503" t="s">
        <v>5</v>
      </c>
      <c r="AE4" s="504"/>
    </row>
    <row r="5" spans="1:32" ht="18.600000000000001" customHeight="1" x14ac:dyDescent="0.25">
      <c r="A5" s="47">
        <v>1</v>
      </c>
      <c r="B5" s="15" t="s">
        <v>13</v>
      </c>
      <c r="C5" s="16">
        <v>7579.1</v>
      </c>
      <c r="D5" s="217">
        <v>9354.8387000000002</v>
      </c>
      <c r="E5" s="20">
        <v>0</v>
      </c>
      <c r="F5" s="218">
        <v>2580.64516</v>
      </c>
      <c r="G5" s="226">
        <v>20.8</v>
      </c>
      <c r="H5" s="218">
        <v>322.580645</v>
      </c>
      <c r="I5" s="226">
        <v>0</v>
      </c>
      <c r="J5" s="218">
        <v>0</v>
      </c>
      <c r="K5" s="20">
        <v>702</v>
      </c>
      <c r="L5" s="226"/>
      <c r="M5" s="122">
        <f>K5+L5</f>
        <v>702</v>
      </c>
      <c r="N5" s="218">
        <v>3870.96774</v>
      </c>
      <c r="O5" s="20">
        <v>574.79999999999995</v>
      </c>
      <c r="P5" s="250">
        <v>4378</v>
      </c>
      <c r="Q5" s="19">
        <f t="shared" ref="Q5:Q10" si="0">SUM(O5:P5)</f>
        <v>4952.8</v>
      </c>
      <c r="R5" s="217">
        <v>2580.64516</v>
      </c>
      <c r="S5" s="20">
        <v>4612.3999999999996</v>
      </c>
      <c r="T5" s="217">
        <v>4929.0322580000002</v>
      </c>
      <c r="U5" s="219">
        <f>SUM(C5+E5+G5+I5+K5+L5+O5+P5+S5)</f>
        <v>17867.099999999999</v>
      </c>
      <c r="V5" s="220">
        <f t="shared" ref="V5:V10" si="1">SUM(D5+F5+H5+R5+J5+N5+T5)</f>
        <v>23638.709663000001</v>
      </c>
      <c r="W5" s="16">
        <v>0</v>
      </c>
      <c r="X5" s="17">
        <v>0</v>
      </c>
      <c r="Y5" s="109">
        <f t="shared" ref="Y5:Z6" si="2">SUM(U5+W5)</f>
        <v>17867.099999999999</v>
      </c>
      <c r="Z5" s="110">
        <f t="shared" si="2"/>
        <v>23638.709663000001</v>
      </c>
      <c r="AA5" s="45" t="s">
        <v>58</v>
      </c>
      <c r="AB5" s="46">
        <v>13</v>
      </c>
      <c r="AC5" s="21" t="s">
        <v>7</v>
      </c>
      <c r="AD5" s="22"/>
      <c r="AF5" s="221">
        <f>C5+E5+G5+I5+K5+O5+W5</f>
        <v>8876.7000000000007</v>
      </c>
    </row>
    <row r="6" spans="1:32" ht="18.600000000000001" customHeight="1" x14ac:dyDescent="0.25">
      <c r="A6" s="47">
        <v>2</v>
      </c>
      <c r="B6" s="15" t="s">
        <v>14</v>
      </c>
      <c r="C6" s="16">
        <v>7401.9</v>
      </c>
      <c r="D6" s="217">
        <v>9354.8387000000002</v>
      </c>
      <c r="E6" s="20">
        <v>15.3</v>
      </c>
      <c r="F6" s="218">
        <v>2580.64516</v>
      </c>
      <c r="G6" s="226">
        <v>82.6</v>
      </c>
      <c r="H6" s="218">
        <v>322.580645</v>
      </c>
      <c r="I6" s="226">
        <v>0</v>
      </c>
      <c r="J6" s="218">
        <v>0</v>
      </c>
      <c r="K6" s="20">
        <v>2207</v>
      </c>
      <c r="L6" s="226"/>
      <c r="M6" s="122">
        <f t="shared" ref="M6:M10" si="3">K6+L6</f>
        <v>2207</v>
      </c>
      <c r="N6" s="218">
        <v>3870.96774</v>
      </c>
      <c r="O6" s="20">
        <v>22.6</v>
      </c>
      <c r="P6" s="328">
        <v>1785</v>
      </c>
      <c r="Q6" s="19">
        <f t="shared" si="0"/>
        <v>1807.6</v>
      </c>
      <c r="R6" s="217">
        <v>2580.64516</v>
      </c>
      <c r="S6" s="20">
        <v>6263.1</v>
      </c>
      <c r="T6" s="217">
        <v>4929.0322580000002</v>
      </c>
      <c r="U6" s="219">
        <f>SUM(C6+E6+G6+I6+K6+L6+O6+P6+S6)</f>
        <v>17777.5</v>
      </c>
      <c r="V6" s="220">
        <f t="shared" si="1"/>
        <v>23638.709663000001</v>
      </c>
      <c r="W6" s="16">
        <v>0</v>
      </c>
      <c r="X6" s="17">
        <v>0</v>
      </c>
      <c r="Y6" s="109">
        <f t="shared" si="2"/>
        <v>17777.5</v>
      </c>
      <c r="Z6" s="110">
        <f t="shared" si="2"/>
        <v>23638.709663000001</v>
      </c>
      <c r="AA6" s="45" t="s">
        <v>60</v>
      </c>
      <c r="AB6" s="46">
        <v>11</v>
      </c>
      <c r="AC6" s="21" t="s">
        <v>7</v>
      </c>
      <c r="AD6" s="22"/>
      <c r="AF6" s="221">
        <f t="shared" ref="AF6:AF41" si="4">C6+E6+G6+I6+K6+O6+W6</f>
        <v>9729.4</v>
      </c>
    </row>
    <row r="7" spans="1:32" ht="18.600000000000001" customHeight="1" x14ac:dyDescent="0.25">
      <c r="A7" s="47">
        <f>SUM(A6+1)</f>
        <v>3</v>
      </c>
      <c r="B7" s="15" t="s">
        <v>15</v>
      </c>
      <c r="C7" s="16">
        <v>8008.9</v>
      </c>
      <c r="D7" s="217">
        <v>9354.8387000000002</v>
      </c>
      <c r="E7" s="20">
        <v>0</v>
      </c>
      <c r="F7" s="218">
        <v>2580.64516</v>
      </c>
      <c r="G7" s="226">
        <v>6</v>
      </c>
      <c r="H7" s="218">
        <v>322.580645</v>
      </c>
      <c r="I7" s="226">
        <v>0</v>
      </c>
      <c r="J7" s="218">
        <v>0</v>
      </c>
      <c r="K7" s="20">
        <v>344.1</v>
      </c>
      <c r="L7" s="226"/>
      <c r="M7" s="122">
        <f t="shared" si="3"/>
        <v>344.1</v>
      </c>
      <c r="N7" s="218">
        <v>3870.96774</v>
      </c>
      <c r="O7" s="20">
        <v>281.89999999999998</v>
      </c>
      <c r="P7" s="250">
        <v>2258</v>
      </c>
      <c r="Q7" s="19">
        <f t="shared" si="0"/>
        <v>2539.9</v>
      </c>
      <c r="R7" s="217">
        <v>2580.64516</v>
      </c>
      <c r="S7" s="20">
        <v>5123</v>
      </c>
      <c r="T7" s="217">
        <v>4929.0322580000002</v>
      </c>
      <c r="U7" s="219">
        <f>SUM(C7+E7+G7+I7+K7+Q7+S7+L7)</f>
        <v>16021.9</v>
      </c>
      <c r="V7" s="220">
        <f t="shared" si="1"/>
        <v>23638.709663000001</v>
      </c>
      <c r="W7" s="16">
        <v>0</v>
      </c>
      <c r="X7" s="17">
        <v>0</v>
      </c>
      <c r="Y7" s="109">
        <f t="shared" ref="Y7:Z10" si="5">SUM(U7+W7)</f>
        <v>16021.9</v>
      </c>
      <c r="Z7" s="110">
        <f t="shared" si="5"/>
        <v>23638.709663000001</v>
      </c>
      <c r="AA7" s="45" t="s">
        <v>81</v>
      </c>
      <c r="AB7" s="46">
        <v>11</v>
      </c>
      <c r="AC7" s="21" t="s">
        <v>7</v>
      </c>
      <c r="AD7" s="22"/>
      <c r="AF7" s="221">
        <f t="shared" si="4"/>
        <v>8640.9</v>
      </c>
    </row>
    <row r="8" spans="1:32" ht="18.600000000000001" customHeight="1" x14ac:dyDescent="0.25">
      <c r="A8" s="47">
        <f t="shared" ref="A8:A10" si="6">SUM(A7+1)</f>
        <v>4</v>
      </c>
      <c r="B8" s="52" t="s">
        <v>6</v>
      </c>
      <c r="C8" s="16">
        <v>13702</v>
      </c>
      <c r="D8" s="217">
        <v>9354.8387000000002</v>
      </c>
      <c r="E8" s="20">
        <v>0</v>
      </c>
      <c r="F8" s="218">
        <v>2580.64516</v>
      </c>
      <c r="G8" s="226">
        <v>42.2</v>
      </c>
      <c r="H8" s="218">
        <v>322.580645</v>
      </c>
      <c r="I8" s="226">
        <v>0</v>
      </c>
      <c r="J8" s="218">
        <v>0</v>
      </c>
      <c r="K8" s="20">
        <v>4935.3999999999996</v>
      </c>
      <c r="L8" s="226"/>
      <c r="M8" s="122">
        <f t="shared" si="3"/>
        <v>4935.3999999999996</v>
      </c>
      <c r="N8" s="218">
        <v>3870.96774</v>
      </c>
      <c r="O8" s="20">
        <v>30</v>
      </c>
      <c r="P8" s="250">
        <v>1229</v>
      </c>
      <c r="Q8" s="19">
        <f>SUM(O8:P8)</f>
        <v>1259</v>
      </c>
      <c r="R8" s="217">
        <v>2580.64516</v>
      </c>
      <c r="S8" s="20">
        <v>9724.7999999999993</v>
      </c>
      <c r="T8" s="217">
        <v>4929.0322580000002</v>
      </c>
      <c r="U8" s="219">
        <f>SUM(C8,E8,G8,I8,K8,S8,Q8)</f>
        <v>29663.399999999998</v>
      </c>
      <c r="V8" s="220">
        <f t="shared" si="1"/>
        <v>23638.709663000001</v>
      </c>
      <c r="W8" s="16">
        <v>0</v>
      </c>
      <c r="X8" s="17">
        <v>0</v>
      </c>
      <c r="Y8" s="109">
        <f t="shared" si="5"/>
        <v>29663.399999999998</v>
      </c>
      <c r="Z8" s="110">
        <f t="shared" si="5"/>
        <v>23638.709663000001</v>
      </c>
      <c r="AA8" s="45" t="s">
        <v>81</v>
      </c>
      <c r="AB8" s="46">
        <v>8</v>
      </c>
      <c r="AC8" s="21" t="s">
        <v>7</v>
      </c>
      <c r="AD8" s="22"/>
      <c r="AF8" s="221">
        <f t="shared" si="4"/>
        <v>18709.599999999999</v>
      </c>
    </row>
    <row r="9" spans="1:32" ht="18.600000000000001" customHeight="1" x14ac:dyDescent="0.25">
      <c r="A9" s="23">
        <f t="shared" si="6"/>
        <v>5</v>
      </c>
      <c r="B9" s="24" t="s">
        <v>8</v>
      </c>
      <c r="C9" s="25">
        <v>16558.400000000001</v>
      </c>
      <c r="D9" s="26">
        <v>9354.8387000000002</v>
      </c>
      <c r="E9" s="25">
        <v>0</v>
      </c>
      <c r="F9" s="27">
        <v>2580.64516</v>
      </c>
      <c r="G9" s="28">
        <v>237.3</v>
      </c>
      <c r="H9" s="27">
        <v>322.580645</v>
      </c>
      <c r="I9" s="28">
        <v>3408</v>
      </c>
      <c r="J9" s="27">
        <v>0</v>
      </c>
      <c r="K9" s="25">
        <v>15960.4</v>
      </c>
      <c r="L9" s="28"/>
      <c r="M9" s="81">
        <f t="shared" si="3"/>
        <v>15960.4</v>
      </c>
      <c r="N9" s="27">
        <v>3870.96774</v>
      </c>
      <c r="O9" s="25">
        <v>0</v>
      </c>
      <c r="P9" s="28">
        <v>0</v>
      </c>
      <c r="Q9" s="81">
        <f t="shared" si="0"/>
        <v>0</v>
      </c>
      <c r="R9" s="26">
        <v>2580.64516</v>
      </c>
      <c r="S9" s="25">
        <v>11255</v>
      </c>
      <c r="T9" s="26">
        <v>4929.0322580000002</v>
      </c>
      <c r="U9" s="183">
        <f t="shared" ref="U9:U10" si="7">SUM(C9+E9+G9+I9+K9+Q9+S9)</f>
        <v>47419.1</v>
      </c>
      <c r="V9" s="90">
        <f t="shared" si="1"/>
        <v>23638.709663000001</v>
      </c>
      <c r="W9" s="25">
        <v>0</v>
      </c>
      <c r="X9" s="26">
        <v>0</v>
      </c>
      <c r="Y9" s="92">
        <f t="shared" si="5"/>
        <v>47419.1</v>
      </c>
      <c r="Z9" s="94">
        <f t="shared" si="5"/>
        <v>23638.709663000001</v>
      </c>
      <c r="AA9" s="29" t="s">
        <v>60</v>
      </c>
      <c r="AB9" s="30">
        <v>12</v>
      </c>
      <c r="AC9" s="31" t="s">
        <v>7</v>
      </c>
      <c r="AD9" s="32"/>
      <c r="AF9" s="221">
        <f t="shared" si="4"/>
        <v>36164.1</v>
      </c>
    </row>
    <row r="10" spans="1:32" ht="18.600000000000001" customHeight="1" x14ac:dyDescent="0.25">
      <c r="A10" s="23">
        <f t="shared" si="6"/>
        <v>6</v>
      </c>
      <c r="B10" s="24" t="s">
        <v>9</v>
      </c>
      <c r="C10" s="25">
        <v>14575</v>
      </c>
      <c r="D10" s="26">
        <v>9354.8387000000002</v>
      </c>
      <c r="E10" s="25">
        <v>514.79999999999995</v>
      </c>
      <c r="F10" s="27">
        <v>2580.64516</v>
      </c>
      <c r="G10" s="28">
        <v>260.8</v>
      </c>
      <c r="H10" s="27">
        <v>322.580645</v>
      </c>
      <c r="I10" s="28">
        <v>177</v>
      </c>
      <c r="J10" s="27">
        <v>0</v>
      </c>
      <c r="K10" s="25">
        <v>5798.1</v>
      </c>
      <c r="L10" s="28"/>
      <c r="M10" s="81">
        <f t="shared" si="3"/>
        <v>5798.1</v>
      </c>
      <c r="N10" s="27">
        <v>3870.96774</v>
      </c>
      <c r="O10" s="25">
        <v>0</v>
      </c>
      <c r="P10" s="28">
        <v>0</v>
      </c>
      <c r="Q10" s="81">
        <f t="shared" si="0"/>
        <v>0</v>
      </c>
      <c r="R10" s="26">
        <v>2580.64516</v>
      </c>
      <c r="S10" s="25">
        <v>2554.8000000000002</v>
      </c>
      <c r="T10" s="26">
        <v>4929.0322580000002</v>
      </c>
      <c r="U10" s="183">
        <f t="shared" si="7"/>
        <v>23880.499999999996</v>
      </c>
      <c r="V10" s="90">
        <f t="shared" si="1"/>
        <v>23638.709663000001</v>
      </c>
      <c r="W10" s="25">
        <v>0</v>
      </c>
      <c r="X10" s="26">
        <v>0</v>
      </c>
      <c r="Y10" s="92">
        <f t="shared" si="5"/>
        <v>23880.499999999996</v>
      </c>
      <c r="Z10" s="94">
        <f t="shared" si="5"/>
        <v>23638.709663000001</v>
      </c>
      <c r="AA10" s="29" t="s">
        <v>81</v>
      </c>
      <c r="AB10" s="30">
        <v>12</v>
      </c>
      <c r="AC10" s="31" t="s">
        <v>7</v>
      </c>
      <c r="AD10" s="32"/>
      <c r="AF10" s="221">
        <f t="shared" si="4"/>
        <v>21325.699999999997</v>
      </c>
    </row>
    <row r="11" spans="1:32" s="43" customFormat="1" ht="18.600000000000001" customHeight="1" x14ac:dyDescent="0.25">
      <c r="A11" s="33" t="s">
        <v>10</v>
      </c>
      <c r="B11" s="34">
        <f>SUM(39+1)</f>
        <v>40</v>
      </c>
      <c r="C11" s="35">
        <f t="shared" ref="C11:K11" si="8">SUM(C5:C10)</f>
        <v>67825.3</v>
      </c>
      <c r="D11" s="82">
        <f t="shared" si="8"/>
        <v>56129.032200000001</v>
      </c>
      <c r="E11" s="35">
        <f t="shared" si="8"/>
        <v>530.09999999999991</v>
      </c>
      <c r="F11" s="82">
        <f t="shared" si="8"/>
        <v>15483.87096</v>
      </c>
      <c r="G11" s="35">
        <f t="shared" si="8"/>
        <v>649.70000000000005</v>
      </c>
      <c r="H11" s="82">
        <f t="shared" si="8"/>
        <v>1935.48387</v>
      </c>
      <c r="I11" s="35">
        <f t="shared" si="8"/>
        <v>3585</v>
      </c>
      <c r="J11" s="82">
        <f t="shared" si="8"/>
        <v>0</v>
      </c>
      <c r="K11" s="35">
        <f t="shared" si="8"/>
        <v>29947</v>
      </c>
      <c r="L11" s="38">
        <f t="shared" ref="L11:M11" si="9">SUM(L5:L10)</f>
        <v>0</v>
      </c>
      <c r="M11" s="82">
        <f t="shared" si="9"/>
        <v>29947</v>
      </c>
      <c r="N11" s="82">
        <f t="shared" ref="N11:Z11" si="10">SUM(N5:N10)</f>
        <v>23225.80644</v>
      </c>
      <c r="O11" s="35">
        <f t="shared" si="10"/>
        <v>909.3</v>
      </c>
      <c r="P11" s="38">
        <f t="shared" si="10"/>
        <v>9650</v>
      </c>
      <c r="Q11" s="37">
        <f t="shared" si="10"/>
        <v>10559.3</v>
      </c>
      <c r="R11" s="36">
        <f t="shared" si="10"/>
        <v>15483.87096</v>
      </c>
      <c r="S11" s="35">
        <f t="shared" si="10"/>
        <v>39533.100000000006</v>
      </c>
      <c r="T11" s="35">
        <f t="shared" si="10"/>
        <v>29574.193547999999</v>
      </c>
      <c r="U11" s="35">
        <f t="shared" si="10"/>
        <v>152629.5</v>
      </c>
      <c r="V11" s="36">
        <f t="shared" si="10"/>
        <v>141832.25797800001</v>
      </c>
      <c r="W11" s="35">
        <f t="shared" si="10"/>
        <v>0</v>
      </c>
      <c r="X11" s="36">
        <f t="shared" si="10"/>
        <v>0</v>
      </c>
      <c r="Y11" s="35">
        <f t="shared" si="10"/>
        <v>152629.5</v>
      </c>
      <c r="Z11" s="36">
        <f t="shared" si="10"/>
        <v>141832.25797800001</v>
      </c>
      <c r="AA11" s="39" t="s">
        <v>11</v>
      </c>
      <c r="AB11" s="40">
        <f>SUM(AB5:AB10)/7</f>
        <v>9.5714285714285712</v>
      </c>
      <c r="AC11" s="41" t="s">
        <v>7</v>
      </c>
      <c r="AD11" s="42"/>
      <c r="AF11" s="221"/>
    </row>
    <row r="12" spans="1:32" ht="18.600000000000001" customHeight="1" x14ac:dyDescent="0.25">
      <c r="A12" s="44">
        <f>SUM(A10+1)</f>
        <v>7</v>
      </c>
      <c r="B12" s="15" t="s">
        <v>12</v>
      </c>
      <c r="C12" s="49">
        <v>6048.1</v>
      </c>
      <c r="D12" s="217">
        <v>9354.8387000000002</v>
      </c>
      <c r="E12" s="233">
        <v>1737.8</v>
      </c>
      <c r="F12" s="218">
        <v>2580.64516</v>
      </c>
      <c r="G12" s="226">
        <v>461.4</v>
      </c>
      <c r="H12" s="218">
        <v>322.580645</v>
      </c>
      <c r="I12" s="226">
        <v>0</v>
      </c>
      <c r="J12" s="218">
        <v>0</v>
      </c>
      <c r="K12" s="20">
        <v>0</v>
      </c>
      <c r="L12" s="226"/>
      <c r="M12" s="122">
        <f t="shared" ref="M12:M18" si="11">K12+L12</f>
        <v>0</v>
      </c>
      <c r="N12" s="218">
        <v>3870.96774</v>
      </c>
      <c r="O12" s="20">
        <v>0</v>
      </c>
      <c r="P12" s="122">
        <v>0</v>
      </c>
      <c r="Q12" s="19">
        <f>SUM(O12:P12)</f>
        <v>0</v>
      </c>
      <c r="R12" s="217">
        <v>2580.64516</v>
      </c>
      <c r="S12" s="20">
        <v>3376.8</v>
      </c>
      <c r="T12" s="217">
        <v>4929.0322580000002</v>
      </c>
      <c r="U12" s="219">
        <f t="shared" ref="U12:U18" si="12">SUM(C12+E12+G12+I12+M12+Q12+S12)</f>
        <v>11624.100000000002</v>
      </c>
      <c r="V12" s="220">
        <f t="shared" ref="V12:V18" si="13">SUM(D12+F12+H12+R12+J12+N12+T12)</f>
        <v>23638.709663000001</v>
      </c>
      <c r="W12" s="16">
        <v>0</v>
      </c>
      <c r="X12" s="17">
        <v>0</v>
      </c>
      <c r="Y12" s="109">
        <f t="shared" ref="Y12:Z18" si="14">SUM(U12+W12)</f>
        <v>11624.100000000002</v>
      </c>
      <c r="Z12" s="110">
        <f t="shared" si="14"/>
        <v>23638.709663000001</v>
      </c>
      <c r="AA12" s="45" t="s">
        <v>192</v>
      </c>
      <c r="AB12" s="46">
        <v>18</v>
      </c>
      <c r="AC12" s="21" t="s">
        <v>7</v>
      </c>
      <c r="AD12" s="22"/>
      <c r="AF12" s="221">
        <f t="shared" si="4"/>
        <v>8247.3000000000011</v>
      </c>
    </row>
    <row r="13" spans="1:32" ht="18.600000000000001" customHeight="1" x14ac:dyDescent="0.25">
      <c r="A13" s="47">
        <f t="shared" ref="A13:A18" si="15">SUM(A12+1)</f>
        <v>8</v>
      </c>
      <c r="B13" s="15" t="s">
        <v>13</v>
      </c>
      <c r="C13" s="16">
        <v>8475.7999999999993</v>
      </c>
      <c r="D13" s="217">
        <v>9354.8387000000002</v>
      </c>
      <c r="E13" s="20">
        <v>0</v>
      </c>
      <c r="F13" s="218">
        <v>2580.64516</v>
      </c>
      <c r="G13" s="226">
        <v>74</v>
      </c>
      <c r="H13" s="218">
        <v>322.580645</v>
      </c>
      <c r="I13" s="226">
        <v>0</v>
      </c>
      <c r="J13" s="218">
        <v>0</v>
      </c>
      <c r="K13" s="20">
        <v>1450</v>
      </c>
      <c r="L13" s="226"/>
      <c r="M13" s="122">
        <f t="shared" si="11"/>
        <v>1450</v>
      </c>
      <c r="N13" s="218">
        <v>3870.96774</v>
      </c>
      <c r="O13" s="20">
        <v>0</v>
      </c>
      <c r="P13" s="122">
        <v>0</v>
      </c>
      <c r="Q13" s="19">
        <f t="shared" ref="Q13:Q18" si="16">SUM(O13:P13)</f>
        <v>0</v>
      </c>
      <c r="R13" s="217">
        <v>2580.64516</v>
      </c>
      <c r="S13" s="20">
        <v>3515.3</v>
      </c>
      <c r="T13" s="217">
        <v>4929.0322580000002</v>
      </c>
      <c r="U13" s="219">
        <f t="shared" si="12"/>
        <v>13515.099999999999</v>
      </c>
      <c r="V13" s="220">
        <f t="shared" si="13"/>
        <v>23638.709663000001</v>
      </c>
      <c r="W13" s="16">
        <v>0</v>
      </c>
      <c r="X13" s="17">
        <v>0</v>
      </c>
      <c r="Y13" s="109">
        <f t="shared" si="14"/>
        <v>13515.099999999999</v>
      </c>
      <c r="Z13" s="110">
        <f t="shared" si="14"/>
        <v>23638.709663000001</v>
      </c>
      <c r="AA13" s="45" t="s">
        <v>159</v>
      </c>
      <c r="AB13" s="46">
        <v>12</v>
      </c>
      <c r="AC13" s="21" t="s">
        <v>7</v>
      </c>
      <c r="AD13" s="22"/>
      <c r="AF13" s="221">
        <f t="shared" si="4"/>
        <v>9999.7999999999993</v>
      </c>
    </row>
    <row r="14" spans="1:32" ht="18.600000000000001" customHeight="1" x14ac:dyDescent="0.25">
      <c r="A14" s="47">
        <f t="shared" si="15"/>
        <v>9</v>
      </c>
      <c r="B14" s="15" t="s">
        <v>14</v>
      </c>
      <c r="C14" s="16">
        <v>10914.5</v>
      </c>
      <c r="D14" s="217">
        <v>9354.8387000000002</v>
      </c>
      <c r="E14" s="20">
        <v>1418.7</v>
      </c>
      <c r="F14" s="218">
        <v>2580.64516</v>
      </c>
      <c r="G14" s="226">
        <v>261</v>
      </c>
      <c r="H14" s="218">
        <v>322.580645</v>
      </c>
      <c r="I14" s="226">
        <v>0</v>
      </c>
      <c r="J14" s="218">
        <v>0</v>
      </c>
      <c r="K14" s="20">
        <v>0</v>
      </c>
      <c r="L14" s="226"/>
      <c r="M14" s="122">
        <f t="shared" si="11"/>
        <v>0</v>
      </c>
      <c r="N14" s="218">
        <v>3870.96774</v>
      </c>
      <c r="O14" s="20">
        <v>175</v>
      </c>
      <c r="P14" s="122">
        <v>825</v>
      </c>
      <c r="Q14" s="19">
        <f t="shared" si="16"/>
        <v>1000</v>
      </c>
      <c r="R14" s="217">
        <v>2580.64516</v>
      </c>
      <c r="S14" s="20">
        <v>7125.3</v>
      </c>
      <c r="T14" s="217">
        <v>4929.0322580000002</v>
      </c>
      <c r="U14" s="219">
        <f t="shared" si="12"/>
        <v>20719.5</v>
      </c>
      <c r="V14" s="220">
        <f t="shared" si="13"/>
        <v>23638.709663000001</v>
      </c>
      <c r="W14" s="16">
        <v>0</v>
      </c>
      <c r="X14" s="17">
        <v>0</v>
      </c>
      <c r="Y14" s="109">
        <f t="shared" si="14"/>
        <v>20719.5</v>
      </c>
      <c r="Z14" s="110">
        <f t="shared" si="14"/>
        <v>23638.709663000001</v>
      </c>
      <c r="AA14" s="45" t="s">
        <v>138</v>
      </c>
      <c r="AB14" s="46">
        <v>12</v>
      </c>
      <c r="AC14" s="21" t="s">
        <v>7</v>
      </c>
      <c r="AD14" s="22"/>
      <c r="AF14" s="221">
        <f t="shared" si="4"/>
        <v>12769.2</v>
      </c>
    </row>
    <row r="15" spans="1:32" ht="18.600000000000001" customHeight="1" x14ac:dyDescent="0.25">
      <c r="A15" s="47">
        <f t="shared" si="15"/>
        <v>10</v>
      </c>
      <c r="B15" s="15" t="s">
        <v>15</v>
      </c>
      <c r="C15" s="16">
        <v>12029.7</v>
      </c>
      <c r="D15" s="217">
        <v>9354.8387000000002</v>
      </c>
      <c r="E15" s="20">
        <v>15</v>
      </c>
      <c r="F15" s="218">
        <v>2580.64516</v>
      </c>
      <c r="G15" s="226">
        <v>52.1</v>
      </c>
      <c r="H15" s="218">
        <v>322.580645</v>
      </c>
      <c r="I15" s="226">
        <v>0</v>
      </c>
      <c r="J15" s="218">
        <v>0</v>
      </c>
      <c r="K15" s="20">
        <v>0</v>
      </c>
      <c r="L15" s="226"/>
      <c r="M15" s="122">
        <f t="shared" si="11"/>
        <v>0</v>
      </c>
      <c r="N15" s="218">
        <v>3870.96774</v>
      </c>
      <c r="O15" s="20">
        <v>108.5</v>
      </c>
      <c r="P15" s="122">
        <v>4782</v>
      </c>
      <c r="Q15" s="19">
        <f t="shared" si="16"/>
        <v>4890.5</v>
      </c>
      <c r="R15" s="217">
        <v>2580.64516</v>
      </c>
      <c r="S15" s="20">
        <v>6790.9</v>
      </c>
      <c r="T15" s="217">
        <v>4929.0322580000002</v>
      </c>
      <c r="U15" s="219">
        <f t="shared" si="12"/>
        <v>23778.200000000004</v>
      </c>
      <c r="V15" s="220">
        <f t="shared" si="13"/>
        <v>23638.709663000001</v>
      </c>
      <c r="W15" s="16">
        <v>0</v>
      </c>
      <c r="X15" s="17">
        <v>0</v>
      </c>
      <c r="Y15" s="109">
        <f t="shared" si="14"/>
        <v>23778.200000000004</v>
      </c>
      <c r="Z15" s="110">
        <f t="shared" si="14"/>
        <v>23638.709663000001</v>
      </c>
      <c r="AA15" s="45" t="s">
        <v>138</v>
      </c>
      <c r="AB15" s="46">
        <v>15</v>
      </c>
      <c r="AC15" s="21" t="s">
        <v>7</v>
      </c>
      <c r="AD15" s="22"/>
      <c r="AF15" s="221">
        <f t="shared" si="4"/>
        <v>12205.300000000001</v>
      </c>
    </row>
    <row r="16" spans="1:32" ht="18.600000000000001" customHeight="1" x14ac:dyDescent="0.25">
      <c r="A16" s="47">
        <f t="shared" si="15"/>
        <v>11</v>
      </c>
      <c r="B16" s="52" t="s">
        <v>6</v>
      </c>
      <c r="C16" s="16">
        <v>12329.7</v>
      </c>
      <c r="D16" s="217">
        <v>9354.8387000000002</v>
      </c>
      <c r="E16" s="20">
        <v>563.70000000000005</v>
      </c>
      <c r="F16" s="218">
        <v>2580.64516</v>
      </c>
      <c r="G16" s="226">
        <v>338.8</v>
      </c>
      <c r="H16" s="218">
        <v>322.580645</v>
      </c>
      <c r="I16" s="226">
        <v>0</v>
      </c>
      <c r="J16" s="218">
        <v>0</v>
      </c>
      <c r="K16" s="20">
        <v>0</v>
      </c>
      <c r="L16" s="226"/>
      <c r="M16" s="122">
        <f t="shared" si="11"/>
        <v>0</v>
      </c>
      <c r="N16" s="218">
        <v>3870.96774</v>
      </c>
      <c r="O16" s="20">
        <v>914.4</v>
      </c>
      <c r="P16" s="122">
        <v>2899</v>
      </c>
      <c r="Q16" s="19">
        <f t="shared" si="16"/>
        <v>3813.4</v>
      </c>
      <c r="R16" s="217">
        <v>2580.64516</v>
      </c>
      <c r="S16" s="20">
        <v>4659.8999999999996</v>
      </c>
      <c r="T16" s="217">
        <v>4929.0322580000002</v>
      </c>
      <c r="U16" s="219">
        <f t="shared" si="12"/>
        <v>21705.5</v>
      </c>
      <c r="V16" s="220">
        <f t="shared" si="13"/>
        <v>23638.709663000001</v>
      </c>
      <c r="W16" s="16">
        <v>0</v>
      </c>
      <c r="X16" s="17">
        <v>0</v>
      </c>
      <c r="Y16" s="109">
        <f t="shared" si="14"/>
        <v>21705.5</v>
      </c>
      <c r="Z16" s="110">
        <f t="shared" si="14"/>
        <v>23638.709663000001</v>
      </c>
      <c r="AA16" s="45" t="s">
        <v>60</v>
      </c>
      <c r="AB16" s="46">
        <v>12</v>
      </c>
      <c r="AC16" s="21" t="s">
        <v>7</v>
      </c>
      <c r="AD16" s="22"/>
      <c r="AF16" s="221">
        <f t="shared" si="4"/>
        <v>14146.6</v>
      </c>
    </row>
    <row r="17" spans="1:32" ht="18.600000000000001" customHeight="1" x14ac:dyDescent="0.25">
      <c r="A17" s="23">
        <f t="shared" si="15"/>
        <v>12</v>
      </c>
      <c r="B17" s="24" t="s">
        <v>8</v>
      </c>
      <c r="C17" s="25">
        <v>17698.2</v>
      </c>
      <c r="D17" s="26">
        <v>9354.8387000000002</v>
      </c>
      <c r="E17" s="25">
        <v>159.80000000000001</v>
      </c>
      <c r="F17" s="27">
        <v>2580.64516</v>
      </c>
      <c r="G17" s="28">
        <v>251.4</v>
      </c>
      <c r="H17" s="27">
        <v>322.580645</v>
      </c>
      <c r="I17" s="28">
        <v>0</v>
      </c>
      <c r="J17" s="27">
        <v>0</v>
      </c>
      <c r="K17" s="25">
        <v>13636</v>
      </c>
      <c r="L17" s="28"/>
      <c r="M17" s="81">
        <f t="shared" si="11"/>
        <v>13636</v>
      </c>
      <c r="N17" s="27">
        <v>3870.96774</v>
      </c>
      <c r="O17" s="25">
        <v>0</v>
      </c>
      <c r="P17" s="81">
        <v>0</v>
      </c>
      <c r="Q17" s="28">
        <f t="shared" si="16"/>
        <v>0</v>
      </c>
      <c r="R17" s="26">
        <v>2580.64516</v>
      </c>
      <c r="S17" s="25">
        <v>10563.6</v>
      </c>
      <c r="T17" s="26">
        <v>4929.0322580000002</v>
      </c>
      <c r="U17" s="183">
        <f t="shared" si="12"/>
        <v>42309</v>
      </c>
      <c r="V17" s="90">
        <f t="shared" si="13"/>
        <v>23638.709663000001</v>
      </c>
      <c r="W17" s="25">
        <v>0</v>
      </c>
      <c r="X17" s="26">
        <v>0</v>
      </c>
      <c r="Y17" s="92">
        <f t="shared" si="14"/>
        <v>42309</v>
      </c>
      <c r="Z17" s="94">
        <f t="shared" si="14"/>
        <v>23638.709663000001</v>
      </c>
      <c r="AA17" s="29" t="s">
        <v>60</v>
      </c>
      <c r="AB17" s="30">
        <v>12</v>
      </c>
      <c r="AC17" s="31" t="s">
        <v>7</v>
      </c>
      <c r="AD17" s="32"/>
      <c r="AF17" s="221">
        <f t="shared" si="4"/>
        <v>31745.4</v>
      </c>
    </row>
    <row r="18" spans="1:32" ht="18.600000000000001" customHeight="1" x14ac:dyDescent="0.25">
      <c r="A18" s="23">
        <f t="shared" si="15"/>
        <v>13</v>
      </c>
      <c r="B18" s="53" t="s">
        <v>9</v>
      </c>
      <c r="C18" s="25">
        <v>16764.5</v>
      </c>
      <c r="D18" s="26">
        <v>9354.8387000000002</v>
      </c>
      <c r="E18" s="25">
        <v>141.80000000000001</v>
      </c>
      <c r="F18" s="27">
        <v>2580.64516</v>
      </c>
      <c r="G18" s="28">
        <v>207.2</v>
      </c>
      <c r="H18" s="27">
        <v>322.580645</v>
      </c>
      <c r="I18" s="28">
        <v>668</v>
      </c>
      <c r="J18" s="27">
        <v>0</v>
      </c>
      <c r="K18" s="25">
        <v>3477.2</v>
      </c>
      <c r="L18" s="28"/>
      <c r="M18" s="81">
        <f t="shared" si="11"/>
        <v>3477.2</v>
      </c>
      <c r="N18" s="27">
        <v>3870.96774</v>
      </c>
      <c r="O18" s="25">
        <v>0</v>
      </c>
      <c r="P18" s="81">
        <v>0</v>
      </c>
      <c r="Q18" s="28">
        <f t="shared" si="16"/>
        <v>0</v>
      </c>
      <c r="R18" s="26">
        <v>2580.64516</v>
      </c>
      <c r="S18" s="25">
        <v>4839.1000000000004</v>
      </c>
      <c r="T18" s="26">
        <v>4929.0322580000002</v>
      </c>
      <c r="U18" s="183">
        <f t="shared" si="12"/>
        <v>26097.800000000003</v>
      </c>
      <c r="V18" s="90">
        <f t="shared" si="13"/>
        <v>23638.709663000001</v>
      </c>
      <c r="W18" s="25">
        <v>0</v>
      </c>
      <c r="X18" s="26">
        <v>0</v>
      </c>
      <c r="Y18" s="92">
        <f t="shared" si="14"/>
        <v>26097.800000000003</v>
      </c>
      <c r="Z18" s="94">
        <f t="shared" si="14"/>
        <v>23638.709663000001</v>
      </c>
      <c r="AA18" s="29" t="s">
        <v>60</v>
      </c>
      <c r="AB18" s="30">
        <v>17</v>
      </c>
      <c r="AC18" s="31" t="s">
        <v>7</v>
      </c>
      <c r="AD18" s="32"/>
      <c r="AF18" s="221">
        <f t="shared" si="4"/>
        <v>21258.7</v>
      </c>
    </row>
    <row r="19" spans="1:32" s="43" customFormat="1" ht="18.600000000000001" customHeight="1" x14ac:dyDescent="0.25">
      <c r="A19" s="33" t="s">
        <v>10</v>
      </c>
      <c r="B19" s="34">
        <f>SUM(B11+1)</f>
        <v>41</v>
      </c>
      <c r="C19" s="35">
        <f>SUM(C12:C18)</f>
        <v>84260.5</v>
      </c>
      <c r="D19" s="36">
        <f>SUM(D12:D18)</f>
        <v>65483.870900000002</v>
      </c>
      <c r="E19" s="35">
        <f t="shared" ref="E19:N19" si="17">SUM(E12:E18)</f>
        <v>4036.8</v>
      </c>
      <c r="F19" s="36">
        <f t="shared" si="17"/>
        <v>18064.51612</v>
      </c>
      <c r="G19" s="35">
        <f t="shared" si="17"/>
        <v>1645.9</v>
      </c>
      <c r="H19" s="36">
        <f t="shared" si="17"/>
        <v>2258.064515</v>
      </c>
      <c r="I19" s="35">
        <f t="shared" si="17"/>
        <v>668</v>
      </c>
      <c r="J19" s="36">
        <f t="shared" si="17"/>
        <v>0</v>
      </c>
      <c r="K19" s="35">
        <f t="shared" si="17"/>
        <v>18563.2</v>
      </c>
      <c r="L19" s="38">
        <f t="shared" si="17"/>
        <v>0</v>
      </c>
      <c r="M19" s="82">
        <f t="shared" si="17"/>
        <v>18563.2</v>
      </c>
      <c r="N19" s="37">
        <f t="shared" si="17"/>
        <v>27096.77418</v>
      </c>
      <c r="O19" s="35">
        <f t="shared" ref="O19:T19" si="18">SUM(O12:O18)</f>
        <v>1197.9000000000001</v>
      </c>
      <c r="P19" s="38">
        <f>SUM(P12:P18)</f>
        <v>8506</v>
      </c>
      <c r="Q19" s="82">
        <f t="shared" si="18"/>
        <v>9703.9</v>
      </c>
      <c r="R19" s="36">
        <f>SUM(R12:R18)</f>
        <v>18064.51612</v>
      </c>
      <c r="S19" s="35">
        <f>SUM(S12:S18)</f>
        <v>40870.9</v>
      </c>
      <c r="T19" s="36">
        <f t="shared" si="18"/>
        <v>34503.225806000002</v>
      </c>
      <c r="U19" s="35">
        <f t="shared" ref="U19:Z19" si="19">SUM(U12:U18)</f>
        <v>159749.20000000001</v>
      </c>
      <c r="V19" s="36">
        <f t="shared" si="19"/>
        <v>165470.967641</v>
      </c>
      <c r="W19" s="35">
        <f t="shared" si="19"/>
        <v>0</v>
      </c>
      <c r="X19" s="36">
        <f t="shared" si="19"/>
        <v>0</v>
      </c>
      <c r="Y19" s="35">
        <f t="shared" si="19"/>
        <v>159749.20000000001</v>
      </c>
      <c r="Z19" s="36">
        <f t="shared" si="19"/>
        <v>165470.967641</v>
      </c>
      <c r="AA19" s="39" t="s">
        <v>11</v>
      </c>
      <c r="AB19" s="40">
        <f>SUM(AB12:AB18)/7</f>
        <v>14</v>
      </c>
      <c r="AC19" s="41" t="s">
        <v>7</v>
      </c>
      <c r="AD19" s="42"/>
      <c r="AF19" s="221"/>
    </row>
    <row r="20" spans="1:32" ht="18.600000000000001" customHeight="1" x14ac:dyDescent="0.25">
      <c r="A20" s="44">
        <f>SUM(A18+1)</f>
        <v>14</v>
      </c>
      <c r="B20" s="15" t="s">
        <v>12</v>
      </c>
      <c r="C20" s="16">
        <v>6732.7</v>
      </c>
      <c r="D20" s="217">
        <v>9354.8387000000002</v>
      </c>
      <c r="E20" s="20">
        <v>293.60000000000002</v>
      </c>
      <c r="F20" s="218">
        <v>2580.64516</v>
      </c>
      <c r="G20" s="226">
        <v>121.6</v>
      </c>
      <c r="H20" s="218">
        <v>322.580645</v>
      </c>
      <c r="I20" s="226">
        <v>0</v>
      </c>
      <c r="J20" s="218">
        <v>0</v>
      </c>
      <c r="K20" s="20">
        <v>1684.3</v>
      </c>
      <c r="L20" s="226"/>
      <c r="M20" s="122">
        <f t="shared" ref="M20:M26" si="20">K20+L20</f>
        <v>1684.3</v>
      </c>
      <c r="N20" s="218">
        <v>3870.96774</v>
      </c>
      <c r="O20" s="20">
        <v>172</v>
      </c>
      <c r="P20" s="250">
        <v>1195</v>
      </c>
      <c r="Q20" s="19">
        <f>SUM(O20:P20)</f>
        <v>1367</v>
      </c>
      <c r="R20" s="217">
        <v>2580.64516</v>
      </c>
      <c r="S20" s="20">
        <v>4438.2</v>
      </c>
      <c r="T20" s="217">
        <v>4929.0322580000002</v>
      </c>
      <c r="U20" s="219">
        <f t="shared" ref="U20:U26" si="21">SUM(C20+E20+G20+I20+M20+Q20+S20)</f>
        <v>14637.400000000001</v>
      </c>
      <c r="V20" s="220">
        <f t="shared" ref="V20:V26" si="22">SUM(D20+F20+H20+R20+J20+N20+T20)</f>
        <v>23638.709663000001</v>
      </c>
      <c r="W20" s="16">
        <v>0</v>
      </c>
      <c r="X20" s="17">
        <v>0</v>
      </c>
      <c r="Y20" s="109">
        <f t="shared" ref="Y20:Z26" si="23">SUM(U20+W20)</f>
        <v>14637.400000000001</v>
      </c>
      <c r="Z20" s="110">
        <f t="shared" si="23"/>
        <v>23638.709663000001</v>
      </c>
      <c r="AA20" s="50" t="s">
        <v>58</v>
      </c>
      <c r="AB20" s="51">
        <v>16</v>
      </c>
      <c r="AC20" s="21" t="s">
        <v>7</v>
      </c>
      <c r="AD20" s="22"/>
      <c r="AF20" s="221">
        <f t="shared" si="4"/>
        <v>9004.2000000000007</v>
      </c>
    </row>
    <row r="21" spans="1:32" ht="18.600000000000001" customHeight="1" x14ac:dyDescent="0.25">
      <c r="A21" s="47">
        <f t="shared" ref="A21:A26" si="24">SUM(A20+1)</f>
        <v>15</v>
      </c>
      <c r="B21" s="15" t="s">
        <v>13</v>
      </c>
      <c r="C21" s="16">
        <v>7058.4</v>
      </c>
      <c r="D21" s="217">
        <v>9354.8387000000002</v>
      </c>
      <c r="E21" s="20">
        <v>0</v>
      </c>
      <c r="F21" s="218">
        <v>2580.64516</v>
      </c>
      <c r="G21" s="226">
        <v>40.9</v>
      </c>
      <c r="H21" s="218">
        <v>322.580645</v>
      </c>
      <c r="I21" s="226">
        <v>0</v>
      </c>
      <c r="J21" s="218">
        <v>0</v>
      </c>
      <c r="K21" s="20">
        <v>12565.6</v>
      </c>
      <c r="L21" s="226"/>
      <c r="M21" s="122">
        <f t="shared" si="20"/>
        <v>12565.6</v>
      </c>
      <c r="N21" s="218">
        <v>3870.96774</v>
      </c>
      <c r="O21" s="20">
        <v>1322.6</v>
      </c>
      <c r="P21" s="250">
        <v>955</v>
      </c>
      <c r="Q21" s="19">
        <f t="shared" ref="Q21:Q26" si="25">SUM(O21:P21)</f>
        <v>2277.6</v>
      </c>
      <c r="R21" s="217">
        <v>2580.64516</v>
      </c>
      <c r="S21" s="20">
        <v>4789</v>
      </c>
      <c r="T21" s="217">
        <v>4929.0322580000002</v>
      </c>
      <c r="U21" s="219">
        <f t="shared" si="21"/>
        <v>26731.5</v>
      </c>
      <c r="V21" s="220">
        <f t="shared" si="22"/>
        <v>23638.709663000001</v>
      </c>
      <c r="W21" s="16">
        <v>0</v>
      </c>
      <c r="X21" s="17">
        <v>0</v>
      </c>
      <c r="Y21" s="109">
        <f t="shared" si="23"/>
        <v>26731.5</v>
      </c>
      <c r="Z21" s="110">
        <f t="shared" si="23"/>
        <v>23638.709663000001</v>
      </c>
      <c r="AA21" s="45" t="s">
        <v>159</v>
      </c>
      <c r="AB21" s="46">
        <v>12</v>
      </c>
      <c r="AC21" s="21" t="s">
        <v>7</v>
      </c>
      <c r="AD21" s="22"/>
      <c r="AF21" s="221">
        <f t="shared" si="4"/>
        <v>20987.5</v>
      </c>
    </row>
    <row r="22" spans="1:32" ht="18.600000000000001" customHeight="1" x14ac:dyDescent="0.25">
      <c r="A22" s="47">
        <f t="shared" si="24"/>
        <v>16</v>
      </c>
      <c r="B22" s="15" t="s">
        <v>14</v>
      </c>
      <c r="C22" s="16">
        <v>3877.6</v>
      </c>
      <c r="D22" s="217">
        <v>9354.8387000000002</v>
      </c>
      <c r="E22" s="20">
        <v>113.9</v>
      </c>
      <c r="F22" s="218">
        <v>2580.64516</v>
      </c>
      <c r="G22" s="226">
        <v>171.4</v>
      </c>
      <c r="H22" s="218">
        <v>322.580645</v>
      </c>
      <c r="I22" s="226">
        <v>0</v>
      </c>
      <c r="J22" s="218">
        <v>0</v>
      </c>
      <c r="K22" s="20">
        <v>270</v>
      </c>
      <c r="L22" s="226"/>
      <c r="M22" s="122">
        <f t="shared" si="20"/>
        <v>270</v>
      </c>
      <c r="N22" s="218">
        <v>3870.96774</v>
      </c>
      <c r="O22" s="20">
        <v>1059.5</v>
      </c>
      <c r="P22" s="250">
        <v>5053.5</v>
      </c>
      <c r="Q22" s="19">
        <f t="shared" si="25"/>
        <v>6113</v>
      </c>
      <c r="R22" s="217">
        <v>2580.64516</v>
      </c>
      <c r="S22" s="20">
        <v>6126</v>
      </c>
      <c r="T22" s="217">
        <v>4929.0322580000002</v>
      </c>
      <c r="U22" s="219">
        <f t="shared" si="21"/>
        <v>16671.900000000001</v>
      </c>
      <c r="V22" s="220">
        <f t="shared" si="22"/>
        <v>23638.709663000001</v>
      </c>
      <c r="W22" s="16">
        <v>0</v>
      </c>
      <c r="X22" s="17">
        <v>0</v>
      </c>
      <c r="Y22" s="109">
        <f t="shared" si="23"/>
        <v>16671.900000000001</v>
      </c>
      <c r="Z22" s="110">
        <f t="shared" si="23"/>
        <v>23638.709663000001</v>
      </c>
      <c r="AA22" s="45" t="s">
        <v>57</v>
      </c>
      <c r="AB22" s="46">
        <v>15</v>
      </c>
      <c r="AC22" s="21" t="s">
        <v>7</v>
      </c>
      <c r="AD22" s="22"/>
      <c r="AF22" s="221">
        <f t="shared" si="4"/>
        <v>5492.4</v>
      </c>
    </row>
    <row r="23" spans="1:32" ht="18.600000000000001" customHeight="1" x14ac:dyDescent="0.25">
      <c r="A23" s="47">
        <f t="shared" si="24"/>
        <v>17</v>
      </c>
      <c r="B23" s="15" t="s">
        <v>15</v>
      </c>
      <c r="C23" s="16">
        <v>4452.3999999999996</v>
      </c>
      <c r="D23" s="217">
        <v>9354.8387000000002</v>
      </c>
      <c r="E23" s="20">
        <v>220</v>
      </c>
      <c r="F23" s="218">
        <v>2580.64516</v>
      </c>
      <c r="G23" s="226">
        <v>206.5</v>
      </c>
      <c r="H23" s="218">
        <v>322.580645</v>
      </c>
      <c r="I23" s="226">
        <v>0</v>
      </c>
      <c r="J23" s="218">
        <v>0</v>
      </c>
      <c r="K23" s="20">
        <v>0</v>
      </c>
      <c r="L23" s="226"/>
      <c r="M23" s="122">
        <f t="shared" si="20"/>
        <v>0</v>
      </c>
      <c r="N23" s="218">
        <v>3870.96774</v>
      </c>
      <c r="O23" s="20">
        <v>2041.1</v>
      </c>
      <c r="P23" s="122">
        <v>6961</v>
      </c>
      <c r="Q23" s="19">
        <f t="shared" si="25"/>
        <v>9002.1</v>
      </c>
      <c r="R23" s="217">
        <v>2580.64516</v>
      </c>
      <c r="S23" s="20">
        <v>6082.9</v>
      </c>
      <c r="T23" s="217">
        <v>4929.0322580000002</v>
      </c>
      <c r="U23" s="219">
        <f t="shared" si="21"/>
        <v>19963.900000000001</v>
      </c>
      <c r="V23" s="220">
        <f t="shared" si="22"/>
        <v>23638.709663000001</v>
      </c>
      <c r="W23" s="16">
        <v>0</v>
      </c>
      <c r="X23" s="17">
        <v>0</v>
      </c>
      <c r="Y23" s="109">
        <f t="shared" si="23"/>
        <v>19963.900000000001</v>
      </c>
      <c r="Z23" s="110">
        <f t="shared" si="23"/>
        <v>23638.709663000001</v>
      </c>
      <c r="AA23" s="45" t="s">
        <v>160</v>
      </c>
      <c r="AB23" s="46">
        <v>16</v>
      </c>
      <c r="AC23" s="21" t="s">
        <v>7</v>
      </c>
      <c r="AD23" s="22"/>
      <c r="AF23" s="221">
        <f t="shared" si="4"/>
        <v>6920</v>
      </c>
    </row>
    <row r="24" spans="1:32" ht="18.600000000000001" customHeight="1" x14ac:dyDescent="0.25">
      <c r="A24" s="47">
        <f t="shared" si="24"/>
        <v>18</v>
      </c>
      <c r="B24" s="15" t="s">
        <v>6</v>
      </c>
      <c r="C24" s="16">
        <v>12204.5</v>
      </c>
      <c r="D24" s="217">
        <v>9354.8387000000002</v>
      </c>
      <c r="E24" s="20">
        <v>0</v>
      </c>
      <c r="F24" s="218">
        <v>2580.64516</v>
      </c>
      <c r="G24" s="226">
        <v>58.3</v>
      </c>
      <c r="H24" s="218">
        <v>322.580645</v>
      </c>
      <c r="I24" s="226">
        <v>0</v>
      </c>
      <c r="J24" s="218">
        <v>0</v>
      </c>
      <c r="K24" s="20">
        <v>16268.4</v>
      </c>
      <c r="L24" s="226"/>
      <c r="M24" s="122">
        <f t="shared" si="20"/>
        <v>16268.4</v>
      </c>
      <c r="N24" s="218">
        <v>3870.96774</v>
      </c>
      <c r="O24" s="20">
        <v>0</v>
      </c>
      <c r="P24" s="122">
        <v>2961</v>
      </c>
      <c r="Q24" s="19">
        <f t="shared" si="25"/>
        <v>2961</v>
      </c>
      <c r="R24" s="217">
        <v>2580.64516</v>
      </c>
      <c r="S24" s="20">
        <v>5769.2</v>
      </c>
      <c r="T24" s="217">
        <v>4929.0322580000002</v>
      </c>
      <c r="U24" s="219">
        <f t="shared" si="21"/>
        <v>37261.399999999994</v>
      </c>
      <c r="V24" s="220">
        <f t="shared" si="22"/>
        <v>23638.709663000001</v>
      </c>
      <c r="W24" s="16">
        <v>0</v>
      </c>
      <c r="X24" s="17">
        <v>0</v>
      </c>
      <c r="Y24" s="109">
        <f t="shared" si="23"/>
        <v>37261.399999999994</v>
      </c>
      <c r="Z24" s="110">
        <f t="shared" si="23"/>
        <v>23638.709663000001</v>
      </c>
      <c r="AA24" s="45" t="s">
        <v>193</v>
      </c>
      <c r="AB24" s="46">
        <v>15</v>
      </c>
      <c r="AC24" s="21" t="s">
        <v>7</v>
      </c>
      <c r="AD24" s="22"/>
      <c r="AF24" s="221">
        <f t="shared" si="4"/>
        <v>28531.199999999997</v>
      </c>
    </row>
    <row r="25" spans="1:32" ht="18.600000000000001" customHeight="1" x14ac:dyDescent="0.25">
      <c r="A25" s="23">
        <f t="shared" si="24"/>
        <v>19</v>
      </c>
      <c r="B25" s="24" t="s">
        <v>8</v>
      </c>
      <c r="C25" s="25">
        <v>12971.4</v>
      </c>
      <c r="D25" s="26">
        <v>9354.8387000000002</v>
      </c>
      <c r="E25" s="25">
        <v>38</v>
      </c>
      <c r="F25" s="27">
        <v>2580.64516</v>
      </c>
      <c r="G25" s="28">
        <v>193.9</v>
      </c>
      <c r="H25" s="27">
        <v>322.580645</v>
      </c>
      <c r="I25" s="28">
        <v>0</v>
      </c>
      <c r="J25" s="27">
        <v>0</v>
      </c>
      <c r="K25" s="25">
        <v>11772.8</v>
      </c>
      <c r="L25" s="28"/>
      <c r="M25" s="81">
        <f t="shared" si="20"/>
        <v>11772.8</v>
      </c>
      <c r="N25" s="27">
        <v>3870.96774</v>
      </c>
      <c r="O25" s="25">
        <v>0</v>
      </c>
      <c r="P25" s="28">
        <v>0</v>
      </c>
      <c r="Q25" s="28">
        <f t="shared" si="25"/>
        <v>0</v>
      </c>
      <c r="R25" s="26">
        <v>2580.64516</v>
      </c>
      <c r="S25" s="25">
        <v>5792.4</v>
      </c>
      <c r="T25" s="26">
        <v>4929.0322580000002</v>
      </c>
      <c r="U25" s="183">
        <f t="shared" si="21"/>
        <v>30768.5</v>
      </c>
      <c r="V25" s="90">
        <f t="shared" si="22"/>
        <v>23638.709663000001</v>
      </c>
      <c r="W25" s="25">
        <v>0</v>
      </c>
      <c r="X25" s="26">
        <v>0</v>
      </c>
      <c r="Y25" s="92">
        <f t="shared" si="23"/>
        <v>30768.5</v>
      </c>
      <c r="Z25" s="94">
        <f t="shared" si="23"/>
        <v>23638.709663000001</v>
      </c>
      <c r="AA25" s="29" t="s">
        <v>162</v>
      </c>
      <c r="AB25" s="30">
        <v>14</v>
      </c>
      <c r="AC25" s="31" t="s">
        <v>7</v>
      </c>
      <c r="AD25" s="32"/>
      <c r="AF25" s="221">
        <f t="shared" si="4"/>
        <v>24976.1</v>
      </c>
    </row>
    <row r="26" spans="1:32" ht="18.600000000000001" customHeight="1" x14ac:dyDescent="0.25">
      <c r="A26" s="23">
        <f t="shared" si="24"/>
        <v>20</v>
      </c>
      <c r="B26" s="24" t="s">
        <v>9</v>
      </c>
      <c r="C26" s="25">
        <v>12676.2</v>
      </c>
      <c r="D26" s="26">
        <v>9354.8387000000002</v>
      </c>
      <c r="E26" s="25">
        <v>1846.3</v>
      </c>
      <c r="F26" s="27">
        <v>2580.64516</v>
      </c>
      <c r="G26" s="28">
        <v>478.7</v>
      </c>
      <c r="H26" s="27">
        <v>322.580645</v>
      </c>
      <c r="I26" s="28">
        <v>0</v>
      </c>
      <c r="J26" s="27">
        <v>0</v>
      </c>
      <c r="K26" s="25">
        <v>4263.2</v>
      </c>
      <c r="L26" s="28"/>
      <c r="M26" s="81">
        <f t="shared" si="20"/>
        <v>4263.2</v>
      </c>
      <c r="N26" s="27">
        <v>3870.96774</v>
      </c>
      <c r="O26" s="25">
        <v>0</v>
      </c>
      <c r="P26" s="28">
        <v>0</v>
      </c>
      <c r="Q26" s="28">
        <f t="shared" si="25"/>
        <v>0</v>
      </c>
      <c r="R26" s="26">
        <v>2580.64516</v>
      </c>
      <c r="S26" s="25">
        <v>3077.4</v>
      </c>
      <c r="T26" s="26">
        <v>4929.0322580000002</v>
      </c>
      <c r="U26" s="183">
        <f t="shared" si="21"/>
        <v>22341.800000000003</v>
      </c>
      <c r="V26" s="90">
        <f t="shared" si="22"/>
        <v>23638.709663000001</v>
      </c>
      <c r="W26" s="25">
        <v>0</v>
      </c>
      <c r="X26" s="26">
        <v>0</v>
      </c>
      <c r="Y26" s="92">
        <f t="shared" si="23"/>
        <v>22341.800000000003</v>
      </c>
      <c r="Z26" s="94">
        <f t="shared" si="23"/>
        <v>23638.709663000001</v>
      </c>
      <c r="AA26" s="29" t="s">
        <v>58</v>
      </c>
      <c r="AB26" s="30">
        <v>15</v>
      </c>
      <c r="AC26" s="31" t="s">
        <v>7</v>
      </c>
      <c r="AD26" s="32"/>
      <c r="AF26" s="221">
        <f t="shared" si="4"/>
        <v>19264.400000000001</v>
      </c>
    </row>
    <row r="27" spans="1:32" ht="18.600000000000001" customHeight="1" x14ac:dyDescent="0.25">
      <c r="A27" s="33" t="s">
        <v>10</v>
      </c>
      <c r="B27" s="34">
        <f>SUM(B19+1)</f>
        <v>42</v>
      </c>
      <c r="C27" s="35">
        <f>SUM(C20:C26)</f>
        <v>59973.2</v>
      </c>
      <c r="D27" s="82">
        <f>SUM(D20:D26)</f>
        <v>65483.870900000002</v>
      </c>
      <c r="E27" s="35">
        <f t="shared" ref="E27:N27" si="26">SUM(E20:E26)</f>
        <v>2511.8000000000002</v>
      </c>
      <c r="F27" s="82">
        <f t="shared" si="26"/>
        <v>18064.51612</v>
      </c>
      <c r="G27" s="35">
        <f t="shared" si="26"/>
        <v>1271.3</v>
      </c>
      <c r="H27" s="82">
        <f t="shared" si="26"/>
        <v>2258.064515</v>
      </c>
      <c r="I27" s="35">
        <f t="shared" si="26"/>
        <v>0</v>
      </c>
      <c r="J27" s="82">
        <f t="shared" si="26"/>
        <v>0</v>
      </c>
      <c r="K27" s="35">
        <f t="shared" si="26"/>
        <v>46824.299999999996</v>
      </c>
      <c r="L27" s="38">
        <f>SUM(L20:L26)</f>
        <v>0</v>
      </c>
      <c r="M27" s="82">
        <f>SUM(M20:M26)</f>
        <v>46824.299999999996</v>
      </c>
      <c r="N27" s="82">
        <f t="shared" si="26"/>
        <v>27096.77418</v>
      </c>
      <c r="O27" s="35">
        <f t="shared" ref="O27:T27" si="27">SUM(O20:O26)</f>
        <v>4595.2</v>
      </c>
      <c r="P27" s="38">
        <f>SUM(P20:P26)</f>
        <v>17125.5</v>
      </c>
      <c r="Q27" s="82">
        <f>SUM(Q20:Q26)</f>
        <v>21720.7</v>
      </c>
      <c r="R27" s="36">
        <f>SUM(R20:R26)</f>
        <v>18064.51612</v>
      </c>
      <c r="S27" s="82">
        <f>SUM(S20:S26)</f>
        <v>36075.1</v>
      </c>
      <c r="T27" s="36">
        <f t="shared" si="27"/>
        <v>34503.225806000002</v>
      </c>
      <c r="U27" s="35">
        <f t="shared" ref="U27:Z27" si="28">SUM(U20:U26)</f>
        <v>168376.40000000002</v>
      </c>
      <c r="V27" s="36">
        <f t="shared" si="28"/>
        <v>165470.967641</v>
      </c>
      <c r="W27" s="35">
        <f t="shared" si="28"/>
        <v>0</v>
      </c>
      <c r="X27" s="36">
        <f t="shared" si="28"/>
        <v>0</v>
      </c>
      <c r="Y27" s="35">
        <f t="shared" si="28"/>
        <v>168376.40000000002</v>
      </c>
      <c r="Z27" s="36">
        <f t="shared" si="28"/>
        <v>165470.967641</v>
      </c>
      <c r="AA27" s="39" t="s">
        <v>11</v>
      </c>
      <c r="AB27" s="40">
        <f>SUM(AB20:AB26)/7</f>
        <v>14.714285714285714</v>
      </c>
      <c r="AC27" s="41" t="s">
        <v>7</v>
      </c>
      <c r="AD27" s="42"/>
      <c r="AF27" s="221"/>
    </row>
    <row r="28" spans="1:32" ht="18.600000000000001" customHeight="1" x14ac:dyDescent="0.25">
      <c r="A28" s="44">
        <f>SUM(A26+1)</f>
        <v>21</v>
      </c>
      <c r="B28" s="15" t="s">
        <v>12</v>
      </c>
      <c r="C28" s="16">
        <v>4724.3999999999996</v>
      </c>
      <c r="D28" s="217">
        <v>9354.8387000000002</v>
      </c>
      <c r="E28" s="20">
        <v>2247.3000000000002</v>
      </c>
      <c r="F28" s="218">
        <v>2580.64516</v>
      </c>
      <c r="G28" s="226">
        <v>372</v>
      </c>
      <c r="H28" s="218">
        <v>322.580645</v>
      </c>
      <c r="I28" s="226">
        <v>0</v>
      </c>
      <c r="J28" s="218">
        <v>0</v>
      </c>
      <c r="K28" s="20">
        <v>0</v>
      </c>
      <c r="L28" s="226"/>
      <c r="M28" s="122">
        <f t="shared" ref="M28:M34" si="29">K28+L28</f>
        <v>0</v>
      </c>
      <c r="N28" s="218">
        <v>3870.96774</v>
      </c>
      <c r="O28" s="20">
        <v>27</v>
      </c>
      <c r="P28" s="122">
        <v>1158</v>
      </c>
      <c r="Q28" s="19">
        <f>SUM(O28:P28)</f>
        <v>1185</v>
      </c>
      <c r="R28" s="217">
        <v>2580.64516</v>
      </c>
      <c r="S28" s="20">
        <v>2526.9</v>
      </c>
      <c r="T28" s="217">
        <v>4929.0322580000002</v>
      </c>
      <c r="U28" s="219">
        <f t="shared" ref="U28:U39" si="30">SUM(C28+E28+G28+I28+M28+Q28+S28)</f>
        <v>11055.6</v>
      </c>
      <c r="V28" s="220">
        <f t="shared" ref="V28:V34" si="31">SUM(D28+F28+H28+R28+J28+N28+T28)</f>
        <v>23638.709663000001</v>
      </c>
      <c r="W28" s="16">
        <v>0</v>
      </c>
      <c r="X28" s="17">
        <v>0</v>
      </c>
      <c r="Y28" s="109">
        <f t="shared" ref="Y28:Z34" si="32">SUM(U28+W28)</f>
        <v>11055.6</v>
      </c>
      <c r="Z28" s="110">
        <f t="shared" si="32"/>
        <v>23638.709663000001</v>
      </c>
      <c r="AA28" s="50" t="s">
        <v>58</v>
      </c>
      <c r="AB28" s="51">
        <v>17</v>
      </c>
      <c r="AC28" s="21" t="s">
        <v>7</v>
      </c>
      <c r="AD28" s="22"/>
      <c r="AF28" s="221">
        <f t="shared" si="4"/>
        <v>7370.7</v>
      </c>
    </row>
    <row r="29" spans="1:32" ht="18.600000000000001" customHeight="1" x14ac:dyDescent="0.25">
      <c r="A29" s="47">
        <f t="shared" ref="A29:A34" si="33">SUM(A28+1)</f>
        <v>22</v>
      </c>
      <c r="B29" s="15" t="s">
        <v>13</v>
      </c>
      <c r="C29" s="16">
        <v>5794.5</v>
      </c>
      <c r="D29" s="217">
        <v>9354.8387000000002</v>
      </c>
      <c r="E29" s="20">
        <v>347</v>
      </c>
      <c r="F29" s="218">
        <v>2580.64516</v>
      </c>
      <c r="G29" s="226">
        <v>201.5</v>
      </c>
      <c r="H29" s="218">
        <v>322.580645</v>
      </c>
      <c r="I29" s="226">
        <v>0</v>
      </c>
      <c r="J29" s="218">
        <v>0</v>
      </c>
      <c r="K29" s="20">
        <v>0</v>
      </c>
      <c r="L29" s="226"/>
      <c r="M29" s="122">
        <f t="shared" si="29"/>
        <v>0</v>
      </c>
      <c r="N29" s="218">
        <v>3870.96774</v>
      </c>
      <c r="O29" s="20">
        <v>2032</v>
      </c>
      <c r="P29" s="122">
        <v>5198</v>
      </c>
      <c r="Q29" s="19">
        <f t="shared" ref="Q29:Q34" si="34">SUM(O29:P29)</f>
        <v>7230</v>
      </c>
      <c r="R29" s="217">
        <v>2580.64516</v>
      </c>
      <c r="S29" s="20">
        <v>5254.9</v>
      </c>
      <c r="T29" s="217">
        <v>4929.0322580000002</v>
      </c>
      <c r="U29" s="219">
        <f t="shared" si="30"/>
        <v>18827.900000000001</v>
      </c>
      <c r="V29" s="220">
        <f t="shared" si="31"/>
        <v>23638.709663000001</v>
      </c>
      <c r="W29" s="16">
        <v>0</v>
      </c>
      <c r="X29" s="17">
        <v>0</v>
      </c>
      <c r="Y29" s="109">
        <f t="shared" si="32"/>
        <v>18827.900000000001</v>
      </c>
      <c r="Z29" s="110">
        <f t="shared" si="32"/>
        <v>23638.709663000001</v>
      </c>
      <c r="AA29" s="45" t="s">
        <v>57</v>
      </c>
      <c r="AB29" s="46">
        <v>14</v>
      </c>
      <c r="AC29" s="21" t="s">
        <v>7</v>
      </c>
      <c r="AD29" s="22"/>
      <c r="AF29" s="221">
        <f t="shared" si="4"/>
        <v>8375</v>
      </c>
    </row>
    <row r="30" spans="1:32" ht="18.600000000000001" customHeight="1" x14ac:dyDescent="0.25">
      <c r="A30" s="47">
        <f t="shared" si="33"/>
        <v>23</v>
      </c>
      <c r="B30" s="15" t="s">
        <v>14</v>
      </c>
      <c r="C30" s="16">
        <v>6332.8</v>
      </c>
      <c r="D30" s="217">
        <v>9354.8387000000002</v>
      </c>
      <c r="E30" s="20">
        <v>0</v>
      </c>
      <c r="F30" s="218">
        <v>2580.64516</v>
      </c>
      <c r="G30" s="226">
        <v>40.799999999999997</v>
      </c>
      <c r="H30" s="218">
        <v>322.580645</v>
      </c>
      <c r="I30" s="226">
        <v>0</v>
      </c>
      <c r="J30" s="218">
        <v>0</v>
      </c>
      <c r="K30" s="20">
        <v>6428.5</v>
      </c>
      <c r="L30" s="226"/>
      <c r="M30" s="122">
        <f t="shared" si="29"/>
        <v>6428.5</v>
      </c>
      <c r="N30" s="218">
        <v>3870.96774</v>
      </c>
      <c r="O30" s="20">
        <v>1398.6</v>
      </c>
      <c r="P30" s="122">
        <v>2985</v>
      </c>
      <c r="Q30" s="19">
        <f t="shared" si="34"/>
        <v>4383.6000000000004</v>
      </c>
      <c r="R30" s="217">
        <v>2580.64516</v>
      </c>
      <c r="S30" s="20">
        <v>4679.8999999999996</v>
      </c>
      <c r="T30" s="217">
        <v>4929.0322580000002</v>
      </c>
      <c r="U30" s="219">
        <f t="shared" si="30"/>
        <v>21865.599999999999</v>
      </c>
      <c r="V30" s="220">
        <f>SUM(D30+F30+H30+R30+J30+N30+T30)</f>
        <v>23638.709663000001</v>
      </c>
      <c r="W30" s="16">
        <v>0</v>
      </c>
      <c r="X30" s="17">
        <v>0</v>
      </c>
      <c r="Y30" s="109">
        <f t="shared" si="32"/>
        <v>21865.599999999999</v>
      </c>
      <c r="Z30" s="110">
        <f t="shared" si="32"/>
        <v>23638.709663000001</v>
      </c>
      <c r="AA30" s="45" t="s">
        <v>159</v>
      </c>
      <c r="AB30" s="46">
        <v>12</v>
      </c>
      <c r="AC30" s="21" t="s">
        <v>7</v>
      </c>
      <c r="AD30" s="22"/>
      <c r="AF30" s="221">
        <f t="shared" si="4"/>
        <v>14200.7</v>
      </c>
    </row>
    <row r="31" spans="1:32" ht="18.600000000000001" customHeight="1" x14ac:dyDescent="0.25">
      <c r="A31" s="47">
        <f t="shared" si="33"/>
        <v>24</v>
      </c>
      <c r="B31" s="15" t="s">
        <v>15</v>
      </c>
      <c r="C31" s="16">
        <v>4057.6</v>
      </c>
      <c r="D31" s="217">
        <v>9354.8387000000002</v>
      </c>
      <c r="E31" s="20">
        <v>58.3</v>
      </c>
      <c r="F31" s="218">
        <v>2580.64516</v>
      </c>
      <c r="G31" s="226">
        <v>142.69999999999999</v>
      </c>
      <c r="H31" s="218">
        <v>322.580645</v>
      </c>
      <c r="I31" s="226">
        <v>0</v>
      </c>
      <c r="J31" s="218">
        <v>0</v>
      </c>
      <c r="K31" s="20">
        <v>0</v>
      </c>
      <c r="L31" s="226"/>
      <c r="M31" s="122">
        <f t="shared" si="29"/>
        <v>0</v>
      </c>
      <c r="N31" s="218">
        <v>3870.96774</v>
      </c>
      <c r="O31" s="20">
        <v>3659.6</v>
      </c>
      <c r="P31" s="122">
        <v>9053.7999999999993</v>
      </c>
      <c r="Q31" s="19">
        <f t="shared" si="34"/>
        <v>12713.4</v>
      </c>
      <c r="R31" s="217">
        <v>2580.64516</v>
      </c>
      <c r="S31" s="20">
        <v>10582.3</v>
      </c>
      <c r="T31" s="217">
        <v>4929.0322580000002</v>
      </c>
      <c r="U31" s="219">
        <f t="shared" si="30"/>
        <v>27554.3</v>
      </c>
      <c r="V31" s="220">
        <f t="shared" si="31"/>
        <v>23638.709663000001</v>
      </c>
      <c r="W31" s="16">
        <v>0</v>
      </c>
      <c r="X31" s="17">
        <v>0</v>
      </c>
      <c r="Y31" s="109">
        <f t="shared" si="32"/>
        <v>27554.3</v>
      </c>
      <c r="Z31" s="110">
        <f t="shared" si="32"/>
        <v>23638.709663000001</v>
      </c>
      <c r="AA31" s="45" t="s">
        <v>57</v>
      </c>
      <c r="AB31" s="46">
        <v>12</v>
      </c>
      <c r="AC31" s="21" t="s">
        <v>7</v>
      </c>
      <c r="AD31" s="22"/>
      <c r="AF31" s="221">
        <f t="shared" si="4"/>
        <v>7918.1999999999989</v>
      </c>
    </row>
    <row r="32" spans="1:32" ht="18.600000000000001" customHeight="1" x14ac:dyDescent="0.25">
      <c r="A32" s="47">
        <f t="shared" si="33"/>
        <v>25</v>
      </c>
      <c r="B32" s="15" t="s">
        <v>6</v>
      </c>
      <c r="C32" s="16">
        <v>9961.9</v>
      </c>
      <c r="D32" s="217">
        <v>9354.8387000000002</v>
      </c>
      <c r="E32" s="20">
        <v>5.3</v>
      </c>
      <c r="F32" s="218">
        <v>2580.64516</v>
      </c>
      <c r="G32" s="226">
        <v>22.4</v>
      </c>
      <c r="H32" s="218">
        <v>322.580645</v>
      </c>
      <c r="I32" s="226">
        <v>0</v>
      </c>
      <c r="J32" s="218">
        <v>0</v>
      </c>
      <c r="K32" s="20">
        <v>6722.6</v>
      </c>
      <c r="L32" s="226"/>
      <c r="M32" s="122">
        <f t="shared" si="29"/>
        <v>6722.6</v>
      </c>
      <c r="N32" s="218">
        <v>3870.96774</v>
      </c>
      <c r="O32" s="20">
        <v>427</v>
      </c>
      <c r="P32" s="122">
        <v>6252</v>
      </c>
      <c r="Q32" s="19">
        <f t="shared" si="34"/>
        <v>6679</v>
      </c>
      <c r="R32" s="217">
        <v>2580.64516</v>
      </c>
      <c r="S32" s="20">
        <v>8757.6</v>
      </c>
      <c r="T32" s="217">
        <v>4929.0322580000002</v>
      </c>
      <c r="U32" s="219">
        <f t="shared" si="30"/>
        <v>32148.799999999996</v>
      </c>
      <c r="V32" s="220">
        <f t="shared" si="31"/>
        <v>23638.709663000001</v>
      </c>
      <c r="W32" s="16">
        <v>0</v>
      </c>
      <c r="X32" s="17">
        <v>0</v>
      </c>
      <c r="Y32" s="109">
        <f t="shared" si="32"/>
        <v>32148.799999999996</v>
      </c>
      <c r="Z32" s="110">
        <f t="shared" si="32"/>
        <v>23638.709663000001</v>
      </c>
      <c r="AA32" s="45" t="s">
        <v>57</v>
      </c>
      <c r="AB32" s="46">
        <v>12</v>
      </c>
      <c r="AC32" s="21" t="s">
        <v>7</v>
      </c>
      <c r="AD32" s="22"/>
      <c r="AF32" s="221">
        <f t="shared" si="4"/>
        <v>17139.199999999997</v>
      </c>
    </row>
    <row r="33" spans="1:32" ht="18.600000000000001" customHeight="1" x14ac:dyDescent="0.25">
      <c r="A33" s="23">
        <f t="shared" si="33"/>
        <v>26</v>
      </c>
      <c r="B33" s="24" t="s">
        <v>8</v>
      </c>
      <c r="C33" s="25">
        <v>14253.7</v>
      </c>
      <c r="D33" s="26">
        <v>9354.8387000000002</v>
      </c>
      <c r="E33" s="25">
        <v>102</v>
      </c>
      <c r="F33" s="27">
        <v>2580.64516</v>
      </c>
      <c r="G33" s="28">
        <v>35.4</v>
      </c>
      <c r="H33" s="27">
        <v>322.580645</v>
      </c>
      <c r="I33" s="28">
        <v>0</v>
      </c>
      <c r="J33" s="27">
        <v>0</v>
      </c>
      <c r="K33" s="25">
        <v>9279.1</v>
      </c>
      <c r="L33" s="28"/>
      <c r="M33" s="81">
        <f t="shared" si="29"/>
        <v>9279.1</v>
      </c>
      <c r="N33" s="27">
        <v>3870.96774</v>
      </c>
      <c r="O33" s="25">
        <v>672.4</v>
      </c>
      <c r="P33" s="28">
        <v>3460.2</v>
      </c>
      <c r="Q33" s="28">
        <f t="shared" si="34"/>
        <v>4132.5999999999995</v>
      </c>
      <c r="R33" s="26">
        <v>2580.64516</v>
      </c>
      <c r="S33" s="25">
        <v>5391.85</v>
      </c>
      <c r="T33" s="26">
        <v>4929.0322580000002</v>
      </c>
      <c r="U33" s="183">
        <f t="shared" si="30"/>
        <v>33194.65</v>
      </c>
      <c r="V33" s="90">
        <f t="shared" si="31"/>
        <v>23638.709663000001</v>
      </c>
      <c r="W33" s="25">
        <v>0</v>
      </c>
      <c r="X33" s="26">
        <v>0</v>
      </c>
      <c r="Y33" s="92">
        <f t="shared" si="32"/>
        <v>33194.65</v>
      </c>
      <c r="Z33" s="94">
        <f t="shared" si="32"/>
        <v>23638.709663000001</v>
      </c>
      <c r="AA33" s="29" t="s">
        <v>166</v>
      </c>
      <c r="AB33" s="30">
        <v>12</v>
      </c>
      <c r="AC33" s="31" t="s">
        <v>7</v>
      </c>
      <c r="AD33" s="32"/>
      <c r="AF33" s="221">
        <f t="shared" si="4"/>
        <v>24342.600000000002</v>
      </c>
    </row>
    <row r="34" spans="1:32" ht="18.600000000000001" customHeight="1" x14ac:dyDescent="0.25">
      <c r="A34" s="23">
        <f t="shared" si="33"/>
        <v>27</v>
      </c>
      <c r="B34" s="24" t="s">
        <v>9</v>
      </c>
      <c r="C34" s="25">
        <v>8541</v>
      </c>
      <c r="D34" s="26">
        <v>9354.8387000000002</v>
      </c>
      <c r="E34" s="25">
        <v>3172.8</v>
      </c>
      <c r="F34" s="27">
        <v>2580.64516</v>
      </c>
      <c r="G34" s="28">
        <v>663.8</v>
      </c>
      <c r="H34" s="27">
        <v>322.580645</v>
      </c>
      <c r="I34" s="28">
        <v>0</v>
      </c>
      <c r="J34" s="27">
        <v>0</v>
      </c>
      <c r="K34" s="25">
        <v>9916.9</v>
      </c>
      <c r="L34" s="28"/>
      <c r="M34" s="81">
        <f t="shared" si="29"/>
        <v>9916.9</v>
      </c>
      <c r="N34" s="27">
        <v>3870.96774</v>
      </c>
      <c r="O34" s="25">
        <v>0</v>
      </c>
      <c r="P34" s="28">
        <v>0</v>
      </c>
      <c r="Q34" s="28">
        <f t="shared" si="34"/>
        <v>0</v>
      </c>
      <c r="R34" s="26">
        <v>2580.64516</v>
      </c>
      <c r="S34" s="25">
        <v>2136.9</v>
      </c>
      <c r="T34" s="26">
        <v>4929.0322580000002</v>
      </c>
      <c r="U34" s="183">
        <f t="shared" si="30"/>
        <v>24431.4</v>
      </c>
      <c r="V34" s="90">
        <f t="shared" si="31"/>
        <v>23638.709663000001</v>
      </c>
      <c r="W34" s="25">
        <v>0</v>
      </c>
      <c r="X34" s="26">
        <v>0</v>
      </c>
      <c r="Y34" s="92">
        <f t="shared" si="32"/>
        <v>24431.4</v>
      </c>
      <c r="Z34" s="94">
        <f t="shared" si="32"/>
        <v>23638.709663000001</v>
      </c>
      <c r="AA34" s="29" t="s">
        <v>58</v>
      </c>
      <c r="AB34" s="30">
        <v>15</v>
      </c>
      <c r="AC34" s="31" t="s">
        <v>7</v>
      </c>
      <c r="AD34" s="32"/>
      <c r="AF34" s="221">
        <f t="shared" si="4"/>
        <v>22294.5</v>
      </c>
    </row>
    <row r="35" spans="1:32" ht="18.600000000000001" customHeight="1" x14ac:dyDescent="0.25">
      <c r="A35" s="33" t="s">
        <v>10</v>
      </c>
      <c r="B35" s="34">
        <f>SUM(B27+1)</f>
        <v>43</v>
      </c>
      <c r="C35" s="35">
        <f t="shared" ref="C35:Z35" si="35">SUM(C28:C34)</f>
        <v>53665.899999999994</v>
      </c>
      <c r="D35" s="36">
        <f t="shared" si="35"/>
        <v>65483.870900000002</v>
      </c>
      <c r="E35" s="35">
        <f>SUM(E28:E34)</f>
        <v>5932.7000000000007</v>
      </c>
      <c r="F35" s="36">
        <f t="shared" si="35"/>
        <v>18064.51612</v>
      </c>
      <c r="G35" s="35">
        <f t="shared" si="35"/>
        <v>1478.6</v>
      </c>
      <c r="H35" s="36">
        <f t="shared" si="35"/>
        <v>2258.064515</v>
      </c>
      <c r="I35" s="35">
        <f>SUM(I28:I34)</f>
        <v>0</v>
      </c>
      <c r="J35" s="36">
        <f>SUM(J28:J34)</f>
        <v>0</v>
      </c>
      <c r="K35" s="35">
        <f t="shared" si="35"/>
        <v>32347.1</v>
      </c>
      <c r="L35" s="38">
        <f t="shared" ref="L35:M35" si="36">SUM(L28:L34)</f>
        <v>0</v>
      </c>
      <c r="M35" s="82">
        <f t="shared" si="36"/>
        <v>32347.1</v>
      </c>
      <c r="N35" s="37">
        <f t="shared" si="35"/>
        <v>27096.77418</v>
      </c>
      <c r="O35" s="35">
        <f>SUM(O28:O34)</f>
        <v>8216.6</v>
      </c>
      <c r="P35" s="82">
        <f>SUM(P28:P34)</f>
        <v>28107</v>
      </c>
      <c r="Q35" s="38">
        <f>SUM(Q28:Q34)</f>
        <v>36323.599999999999</v>
      </c>
      <c r="R35" s="82">
        <f>SUM(R28:R34)</f>
        <v>18064.51612</v>
      </c>
      <c r="S35" s="35">
        <f t="shared" si="35"/>
        <v>39330.35</v>
      </c>
      <c r="T35" s="36">
        <f t="shared" si="35"/>
        <v>34503.225806000002</v>
      </c>
      <c r="U35" s="35">
        <f t="shared" si="30"/>
        <v>169078.25</v>
      </c>
      <c r="V35" s="36">
        <f t="shared" si="35"/>
        <v>165470.967641</v>
      </c>
      <c r="W35" s="35">
        <f t="shared" si="35"/>
        <v>0</v>
      </c>
      <c r="X35" s="36">
        <f t="shared" si="35"/>
        <v>0</v>
      </c>
      <c r="Y35" s="35">
        <f t="shared" si="35"/>
        <v>169078.24999999997</v>
      </c>
      <c r="Z35" s="36">
        <f t="shared" si="35"/>
        <v>165470.967641</v>
      </c>
      <c r="AA35" s="39" t="s">
        <v>11</v>
      </c>
      <c r="AB35" s="40">
        <f>SUM(AB28:AB34)/7</f>
        <v>13.428571428571429</v>
      </c>
      <c r="AC35" s="41" t="s">
        <v>7</v>
      </c>
      <c r="AD35" s="42"/>
      <c r="AF35" s="221"/>
    </row>
    <row r="36" spans="1:32" ht="18.600000000000001" customHeight="1" x14ac:dyDescent="0.25">
      <c r="A36" s="47">
        <f>SUM(A34+1)</f>
        <v>28</v>
      </c>
      <c r="B36" s="225" t="s">
        <v>12</v>
      </c>
      <c r="C36" s="16">
        <v>5580.5</v>
      </c>
      <c r="D36" s="217">
        <v>9354.8387000000002</v>
      </c>
      <c r="E36" s="16">
        <v>1566.1</v>
      </c>
      <c r="F36" s="217">
        <v>2580.64516</v>
      </c>
      <c r="G36" s="16">
        <v>406.2</v>
      </c>
      <c r="H36" s="218">
        <v>322.580645</v>
      </c>
      <c r="I36" s="122">
        <v>0</v>
      </c>
      <c r="J36" s="218">
        <v>0</v>
      </c>
      <c r="K36" s="16">
        <v>0</v>
      </c>
      <c r="L36" s="19"/>
      <c r="M36" s="80">
        <f t="shared" ref="M36:M39" si="37">K36+L36</f>
        <v>0</v>
      </c>
      <c r="N36" s="218">
        <v>3870.96774</v>
      </c>
      <c r="O36" s="16">
        <v>985.1</v>
      </c>
      <c r="P36" s="441">
        <v>7427</v>
      </c>
      <c r="Q36" s="19">
        <f>SUM(O36:P36)</f>
        <v>8412.1</v>
      </c>
      <c r="R36" s="217">
        <v>2580.64516</v>
      </c>
      <c r="S36" s="20">
        <v>9030.2000000000007</v>
      </c>
      <c r="T36" s="217">
        <v>4929.0322580000002</v>
      </c>
      <c r="U36" s="219">
        <f>SUM(C36+E36+G36+I36+M36+Q36+S36)</f>
        <v>24995.100000000002</v>
      </c>
      <c r="V36" s="220">
        <f>SUM(D36+F36+H36+R36+J36+N36+T36)</f>
        <v>23638.709663000001</v>
      </c>
      <c r="W36" s="20">
        <v>0</v>
      </c>
      <c r="X36" s="364">
        <v>0</v>
      </c>
      <c r="Y36" s="109">
        <f t="shared" ref="Y36" si="38">SUM(U36+W36)</f>
        <v>24995.100000000002</v>
      </c>
      <c r="Z36" s="365">
        <f t="shared" ref="Z36" si="39">SUM(V36+X36)</f>
        <v>23638.709663000001</v>
      </c>
      <c r="AA36" s="395" t="s">
        <v>58</v>
      </c>
      <c r="AB36" s="394">
        <v>16</v>
      </c>
      <c r="AC36" s="228" t="s">
        <v>7</v>
      </c>
      <c r="AD36" s="229"/>
      <c r="AF36" s="221">
        <f t="shared" si="4"/>
        <v>8537.9</v>
      </c>
    </row>
    <row r="37" spans="1:32" ht="18.600000000000001" customHeight="1" x14ac:dyDescent="0.25">
      <c r="A37" s="47">
        <f>SUM(A36+1)</f>
        <v>29</v>
      </c>
      <c r="B37" s="225" t="s">
        <v>98</v>
      </c>
      <c r="C37" s="16">
        <v>5707.6</v>
      </c>
      <c r="D37" s="217">
        <v>9354.8387000000002</v>
      </c>
      <c r="E37" s="16">
        <v>426.4</v>
      </c>
      <c r="F37" s="218">
        <v>2580.64516</v>
      </c>
      <c r="G37" s="80">
        <v>189.3</v>
      </c>
      <c r="H37" s="218">
        <v>322.580645</v>
      </c>
      <c r="I37" s="122">
        <v>0</v>
      </c>
      <c r="J37" s="218">
        <v>0</v>
      </c>
      <c r="K37" s="16">
        <v>355.2</v>
      </c>
      <c r="L37" s="19"/>
      <c r="M37" s="80">
        <f t="shared" si="37"/>
        <v>355.2</v>
      </c>
      <c r="N37" s="218">
        <v>3870.96774</v>
      </c>
      <c r="O37" s="16">
        <v>1558.9</v>
      </c>
      <c r="P37" s="441">
        <v>6752.5</v>
      </c>
      <c r="Q37" s="19">
        <f t="shared" ref="Q37:Q38" si="40">SUM(O37:P37)</f>
        <v>8311.4</v>
      </c>
      <c r="R37" s="217">
        <v>2580.64516</v>
      </c>
      <c r="S37" s="20">
        <v>7158.3</v>
      </c>
      <c r="T37" s="217">
        <v>4929.0322580000002</v>
      </c>
      <c r="U37" s="219">
        <f t="shared" si="30"/>
        <v>22148.2</v>
      </c>
      <c r="V37" s="220">
        <f t="shared" ref="V37:V38" si="41">SUM(D37+F37+H37+R37+J37+N37+T37)</f>
        <v>23638.709663000001</v>
      </c>
      <c r="W37" s="20">
        <v>0</v>
      </c>
      <c r="X37" s="364">
        <v>0</v>
      </c>
      <c r="Y37" s="109">
        <f t="shared" ref="Y37:Y38" si="42">SUM(U37+W37)</f>
        <v>22148.2</v>
      </c>
      <c r="Z37" s="365">
        <f t="shared" ref="Z37:Z38" si="43">SUM(V37+X37)</f>
        <v>23638.709663000001</v>
      </c>
      <c r="AA37" s="461" t="s">
        <v>166</v>
      </c>
      <c r="AB37" s="394">
        <v>11</v>
      </c>
      <c r="AC37" s="228" t="s">
        <v>7</v>
      </c>
      <c r="AD37" s="229"/>
      <c r="AF37" s="221">
        <f>C37+E37+G37+I37+K37+O37+W37</f>
        <v>8237.4</v>
      </c>
    </row>
    <row r="38" spans="1:32" ht="18.600000000000001" customHeight="1" x14ac:dyDescent="0.25">
      <c r="A38" s="47">
        <f>SUM(A37+1)</f>
        <v>30</v>
      </c>
      <c r="B38" s="225" t="s">
        <v>99</v>
      </c>
      <c r="C38" s="16">
        <v>2958.9</v>
      </c>
      <c r="D38" s="217">
        <v>9354.8387000000002</v>
      </c>
      <c r="E38" s="16">
        <v>-75</v>
      </c>
      <c r="F38" s="218">
        <v>2580.64516</v>
      </c>
      <c r="G38" s="80">
        <v>18.5</v>
      </c>
      <c r="H38" s="218">
        <v>322.580645</v>
      </c>
      <c r="I38" s="122">
        <v>0</v>
      </c>
      <c r="J38" s="218">
        <v>0</v>
      </c>
      <c r="K38" s="16">
        <v>0</v>
      </c>
      <c r="L38" s="19"/>
      <c r="M38" s="80">
        <f t="shared" si="37"/>
        <v>0</v>
      </c>
      <c r="N38" s="218">
        <v>3870.96774</v>
      </c>
      <c r="O38" s="16">
        <v>2654</v>
      </c>
      <c r="P38" s="441">
        <v>11951</v>
      </c>
      <c r="Q38" s="19">
        <f t="shared" si="40"/>
        <v>14605</v>
      </c>
      <c r="R38" s="217">
        <v>2580.64516</v>
      </c>
      <c r="S38" s="20">
        <v>6944.4</v>
      </c>
      <c r="T38" s="217">
        <v>4929.0322580000002</v>
      </c>
      <c r="U38" s="219">
        <f t="shared" si="30"/>
        <v>24451.800000000003</v>
      </c>
      <c r="V38" s="220">
        <f t="shared" si="41"/>
        <v>23638.709663000001</v>
      </c>
      <c r="W38" s="20">
        <v>0</v>
      </c>
      <c r="X38" s="364">
        <v>0</v>
      </c>
      <c r="Y38" s="109">
        <f t="shared" si="42"/>
        <v>24451.800000000003</v>
      </c>
      <c r="Z38" s="365">
        <f t="shared" si="43"/>
        <v>23638.709663000001</v>
      </c>
      <c r="AA38" s="461" t="s">
        <v>166</v>
      </c>
      <c r="AB38" s="394">
        <v>10</v>
      </c>
      <c r="AC38" s="228" t="s">
        <v>7</v>
      </c>
      <c r="AD38" s="229"/>
      <c r="AF38" s="221">
        <f>C38+E38+G38+I38+K38+O38+W38</f>
        <v>5556.4</v>
      </c>
    </row>
    <row r="39" spans="1:32" ht="18.600000000000001" customHeight="1" x14ac:dyDescent="0.25">
      <c r="A39" s="47">
        <f>SUM(A38+1)</f>
        <v>31</v>
      </c>
      <c r="B39" s="225" t="s">
        <v>100</v>
      </c>
      <c r="C39" s="16">
        <v>8170</v>
      </c>
      <c r="D39" s="217">
        <v>9354.8387000000002</v>
      </c>
      <c r="E39" s="16">
        <v>0</v>
      </c>
      <c r="F39" s="218">
        <v>2580.64516</v>
      </c>
      <c r="G39" s="226">
        <v>0</v>
      </c>
      <c r="H39" s="218">
        <v>322.580645</v>
      </c>
      <c r="I39" s="226">
        <v>0</v>
      </c>
      <c r="J39" s="218">
        <v>0</v>
      </c>
      <c r="K39" s="16">
        <v>9622</v>
      </c>
      <c r="L39" s="19"/>
      <c r="M39" s="80">
        <f t="shared" si="37"/>
        <v>9622</v>
      </c>
      <c r="N39" s="218">
        <v>3870.96774</v>
      </c>
      <c r="O39" s="48">
        <v>-229.4</v>
      </c>
      <c r="P39" s="226">
        <v>2954</v>
      </c>
      <c r="Q39" s="19">
        <f>SUM(O39:P39)</f>
        <v>2724.6</v>
      </c>
      <c r="R39" s="217">
        <v>2580.64516</v>
      </c>
      <c r="S39" s="16">
        <v>2359.5</v>
      </c>
      <c r="T39" s="217">
        <v>4929.0322580000002</v>
      </c>
      <c r="U39" s="219">
        <f t="shared" si="30"/>
        <v>22876.1</v>
      </c>
      <c r="V39" s="220">
        <f t="shared" ref="V39" si="44">SUM(D39+F39+H39+R39+J39+N39+T39)</f>
        <v>23638.709663000001</v>
      </c>
      <c r="W39" s="20">
        <v>0</v>
      </c>
      <c r="X39" s="217">
        <v>0</v>
      </c>
      <c r="Y39" s="109">
        <f t="shared" ref="Y39" si="45">SUM(U39+W39)</f>
        <v>22876.1</v>
      </c>
      <c r="Z39" s="365">
        <f t="shared" ref="Z39" si="46">SUM(V39+X39)</f>
        <v>23638.709663000001</v>
      </c>
      <c r="AA39" s="16" t="s">
        <v>166</v>
      </c>
      <c r="AB39" s="51">
        <v>9</v>
      </c>
      <c r="AC39" s="228" t="s">
        <v>7</v>
      </c>
      <c r="AD39" s="229"/>
      <c r="AF39" s="221">
        <f t="shared" si="4"/>
        <v>17562.599999999999</v>
      </c>
    </row>
    <row r="40" spans="1:32" ht="18.600000000000001" customHeight="1" thickBot="1" x14ac:dyDescent="0.3">
      <c r="A40" s="33" t="s">
        <v>10</v>
      </c>
      <c r="B40" s="34">
        <v>44</v>
      </c>
      <c r="C40" s="266">
        <f>SUM(C36:C39)</f>
        <v>22417</v>
      </c>
      <c r="D40" s="118">
        <f t="shared" ref="D40:Z40" si="47">SUM(D36:D39)</f>
        <v>37419.354800000001</v>
      </c>
      <c r="E40" s="68">
        <f t="shared" si="47"/>
        <v>1917.5</v>
      </c>
      <c r="F40" s="82">
        <f t="shared" si="47"/>
        <v>10322.58064</v>
      </c>
      <c r="G40" s="68">
        <f t="shared" si="47"/>
        <v>614</v>
      </c>
      <c r="H40" s="82">
        <f t="shared" si="47"/>
        <v>1290.32258</v>
      </c>
      <c r="I40" s="68">
        <f t="shared" si="47"/>
        <v>0</v>
      </c>
      <c r="J40" s="82">
        <f t="shared" si="47"/>
        <v>0</v>
      </c>
      <c r="K40" s="35">
        <f>SUM(K36:K39)</f>
        <v>9977.2000000000007</v>
      </c>
      <c r="L40" s="38">
        <f t="shared" ref="L40:L41" si="48">SUM(L33:L39)</f>
        <v>0</v>
      </c>
      <c r="M40" s="82">
        <f>SUM(M36:M39)</f>
        <v>9977.2000000000007</v>
      </c>
      <c r="N40" s="82">
        <f t="shared" si="47"/>
        <v>15483.87096</v>
      </c>
      <c r="O40" s="35">
        <f t="shared" si="47"/>
        <v>4968.6000000000004</v>
      </c>
      <c r="P40" s="38">
        <f t="shared" si="47"/>
        <v>29084.5</v>
      </c>
      <c r="Q40" s="38">
        <f t="shared" si="47"/>
        <v>34053.1</v>
      </c>
      <c r="R40" s="82">
        <f t="shared" si="47"/>
        <v>10322.58064</v>
      </c>
      <c r="S40" s="35">
        <f t="shared" si="47"/>
        <v>25492.400000000001</v>
      </c>
      <c r="T40" s="82">
        <f t="shared" si="47"/>
        <v>19716.129032000001</v>
      </c>
      <c r="U40" s="35">
        <f t="shared" si="47"/>
        <v>94471.200000000012</v>
      </c>
      <c r="V40" s="82">
        <f t="shared" si="47"/>
        <v>94554.838652000006</v>
      </c>
      <c r="W40" s="35">
        <f t="shared" si="47"/>
        <v>0</v>
      </c>
      <c r="X40" s="82">
        <f t="shared" si="47"/>
        <v>0</v>
      </c>
      <c r="Y40" s="35">
        <f t="shared" si="47"/>
        <v>94471.200000000012</v>
      </c>
      <c r="Z40" s="35">
        <f t="shared" si="47"/>
        <v>94554.838652000006</v>
      </c>
      <c r="AA40" s="39" t="s">
        <v>11</v>
      </c>
      <c r="AB40" s="40">
        <f>SUM(AB30:AB39)/7</f>
        <v>17.489795918367346</v>
      </c>
      <c r="AC40" s="41" t="s">
        <v>7</v>
      </c>
      <c r="AD40" s="42"/>
      <c r="AF40" s="221">
        <f t="shared" si="4"/>
        <v>39894.299999999996</v>
      </c>
    </row>
    <row r="41" spans="1:32" ht="19.149999999999999" customHeight="1" x14ac:dyDescent="0.25">
      <c r="A41" s="175" t="s">
        <v>16</v>
      </c>
      <c r="B41" s="127"/>
      <c r="C41" s="115">
        <f>SUM(C11+C19+C27+C35+C40)</f>
        <v>288141.90000000002</v>
      </c>
      <c r="D41" s="116">
        <f t="shared" ref="D41:Z41" si="49">SUM(D11+D19+D27+D35+D40)</f>
        <v>289999.99970000004</v>
      </c>
      <c r="E41" s="115">
        <f t="shared" si="49"/>
        <v>14928.900000000001</v>
      </c>
      <c r="F41" s="116">
        <f t="shared" si="49"/>
        <v>79999.999960000001</v>
      </c>
      <c r="G41" s="115">
        <f t="shared" si="49"/>
        <v>5659.5</v>
      </c>
      <c r="H41" s="116">
        <f t="shared" si="49"/>
        <v>9999.9999950000001</v>
      </c>
      <c r="I41" s="115">
        <f t="shared" si="49"/>
        <v>4253</v>
      </c>
      <c r="J41" s="116">
        <f t="shared" si="49"/>
        <v>0</v>
      </c>
      <c r="K41" s="115">
        <f>SUM(K11+K19+K27+K35+K40)</f>
        <v>137658.80000000002</v>
      </c>
      <c r="L41" s="244">
        <f t="shared" si="48"/>
        <v>0</v>
      </c>
      <c r="M41" s="116">
        <f>SUM(M11+M19+M27+M35+M40)</f>
        <v>137658.80000000002</v>
      </c>
      <c r="N41" s="116">
        <f t="shared" si="49"/>
        <v>119999.99994000001</v>
      </c>
      <c r="O41" s="115">
        <f t="shared" si="49"/>
        <v>19887.599999999999</v>
      </c>
      <c r="P41" s="244">
        <f t="shared" si="49"/>
        <v>92473</v>
      </c>
      <c r="Q41" s="244">
        <f t="shared" si="49"/>
        <v>112360.6</v>
      </c>
      <c r="R41" s="116">
        <f t="shared" si="49"/>
        <v>79999.999960000001</v>
      </c>
      <c r="S41" s="115">
        <f t="shared" si="49"/>
        <v>181301.85</v>
      </c>
      <c r="T41" s="116">
        <f t="shared" si="49"/>
        <v>152799.99999800001</v>
      </c>
      <c r="U41" s="115">
        <f t="shared" si="49"/>
        <v>744304.55</v>
      </c>
      <c r="V41" s="116">
        <f t="shared" si="49"/>
        <v>732799.99955300009</v>
      </c>
      <c r="W41" s="115">
        <f t="shared" si="49"/>
        <v>0</v>
      </c>
      <c r="X41" s="116">
        <f t="shared" si="49"/>
        <v>0</v>
      </c>
      <c r="Y41" s="115">
        <f t="shared" si="49"/>
        <v>744304.55</v>
      </c>
      <c r="Z41" s="115">
        <f t="shared" si="49"/>
        <v>732799.99955300009</v>
      </c>
      <c r="AA41" s="126" t="s">
        <v>16</v>
      </c>
      <c r="AB41" s="101"/>
      <c r="AC41" s="102"/>
      <c r="AD41" s="103"/>
      <c r="AF41" s="221">
        <f t="shared" si="4"/>
        <v>470529.70000000007</v>
      </c>
    </row>
    <row r="42" spans="1:32" ht="19.5" customHeight="1" thickBot="1" x14ac:dyDescent="0.3">
      <c r="A42" s="177" t="s">
        <v>28</v>
      </c>
      <c r="B42" s="178"/>
      <c r="C42" s="65">
        <f t="shared" ref="C42:Z42" si="50">C41/31</f>
        <v>9294.9000000000015</v>
      </c>
      <c r="D42" s="66">
        <f t="shared" si="50"/>
        <v>9354.8387000000021</v>
      </c>
      <c r="E42" s="65">
        <f t="shared" si="50"/>
        <v>481.57741935483875</v>
      </c>
      <c r="F42" s="66">
        <f t="shared" si="50"/>
        <v>2580.64516</v>
      </c>
      <c r="G42" s="65">
        <f t="shared" si="50"/>
        <v>182.56451612903226</v>
      </c>
      <c r="H42" s="66">
        <f t="shared" si="50"/>
        <v>322.580645</v>
      </c>
      <c r="I42" s="65">
        <f>I41/31</f>
        <v>137.19354838709677</v>
      </c>
      <c r="J42" s="66">
        <f>J41/31</f>
        <v>0</v>
      </c>
      <c r="K42" s="65">
        <f t="shared" si="50"/>
        <v>4440.6064516129036</v>
      </c>
      <c r="L42" s="245">
        <f t="shared" si="50"/>
        <v>0</v>
      </c>
      <c r="M42" s="83">
        <f t="shared" si="50"/>
        <v>4440.6064516129036</v>
      </c>
      <c r="N42" s="67">
        <f t="shared" si="50"/>
        <v>3870.9677400000005</v>
      </c>
      <c r="O42" s="65">
        <f t="shared" ref="O42:R42" si="51">O41/31</f>
        <v>641.53548387096771</v>
      </c>
      <c r="P42" s="83">
        <f t="shared" si="51"/>
        <v>2983</v>
      </c>
      <c r="Q42" s="83">
        <f t="shared" si="51"/>
        <v>3624.5354838709677</v>
      </c>
      <c r="R42" s="67">
        <f t="shared" si="51"/>
        <v>2580.64516</v>
      </c>
      <c r="S42" s="65">
        <f t="shared" si="50"/>
        <v>5848.4467741935487</v>
      </c>
      <c r="T42" s="66">
        <f t="shared" si="50"/>
        <v>4929.0322580000002</v>
      </c>
      <c r="U42" s="65">
        <f t="shared" si="50"/>
        <v>24009.824193548389</v>
      </c>
      <c r="V42" s="66">
        <f t="shared" si="50"/>
        <v>23638.709663000001</v>
      </c>
      <c r="W42" s="65">
        <f t="shared" si="50"/>
        <v>0</v>
      </c>
      <c r="X42" s="66">
        <f t="shared" si="50"/>
        <v>0</v>
      </c>
      <c r="Y42" s="65">
        <f t="shared" si="50"/>
        <v>24009.824193548389</v>
      </c>
      <c r="Z42" s="66">
        <f t="shared" si="50"/>
        <v>23638.709663000001</v>
      </c>
      <c r="AA42" s="69" t="s">
        <v>17</v>
      </c>
      <c r="AB42" s="98"/>
      <c r="AC42" s="99"/>
      <c r="AD42" s="100"/>
    </row>
    <row r="43" spans="1:32" ht="20.100000000000001" customHeight="1" x14ac:dyDescent="0.25">
      <c r="A43" s="72" t="s">
        <v>18</v>
      </c>
      <c r="B43" s="73"/>
      <c r="C43" s="74">
        <f>SUM(C41-D41)</f>
        <v>-1858.0997000000207</v>
      </c>
      <c r="D43" s="75"/>
      <c r="E43" s="74">
        <f>SUM(E41-F41)</f>
        <v>-65071.09996</v>
      </c>
      <c r="F43" s="75"/>
      <c r="G43" s="74">
        <f>SUM(G41-H41)</f>
        <v>-4340.4999950000001</v>
      </c>
      <c r="H43" s="75"/>
      <c r="I43" s="74">
        <f>SUM(I41-J41)</f>
        <v>4253</v>
      </c>
      <c r="J43" s="75"/>
      <c r="K43" s="74"/>
      <c r="L43" s="246"/>
      <c r="M43" s="133">
        <f>SUM(M41-N41)</f>
        <v>17658.800060000009</v>
      </c>
      <c r="N43" s="446"/>
      <c r="O43" s="74"/>
      <c r="P43" s="341"/>
      <c r="Q43" s="366">
        <f>SUM(Q41-R41)</f>
        <v>32360.600040000005</v>
      </c>
      <c r="S43" s="74">
        <f>SUM(S41-T41)</f>
        <v>28501.850001999992</v>
      </c>
      <c r="T43" s="75"/>
      <c r="U43" s="96">
        <f>SUM(U41-V41)</f>
        <v>11504.550446999958</v>
      </c>
      <c r="V43" s="75"/>
      <c r="W43" s="74">
        <f>SUM(W41-X41)</f>
        <v>0</v>
      </c>
      <c r="X43" s="75"/>
      <c r="Y43" s="111">
        <f>SUM(Y41-Z41)</f>
        <v>11504.550446999958</v>
      </c>
      <c r="Z43" s="112"/>
    </row>
    <row r="44" spans="1:32" ht="20.100000000000001" customHeight="1" thickBot="1" x14ac:dyDescent="0.3">
      <c r="A44" s="76" t="s">
        <v>19</v>
      </c>
      <c r="B44" s="77"/>
      <c r="C44" s="95">
        <f>SUM(100/D41*C41)</f>
        <v>99.359275964854419</v>
      </c>
      <c r="D44" s="78"/>
      <c r="E44" s="95">
        <f t="shared" ref="E44" si="52">SUM(100/F41*E41)</f>
        <v>18.661125009330565</v>
      </c>
      <c r="F44" s="78"/>
      <c r="G44" s="95">
        <f t="shared" ref="G44" si="53">SUM(100/H41*G41)</f>
        <v>56.595000028297505</v>
      </c>
      <c r="H44" s="78"/>
      <c r="I44" s="95" t="e">
        <f t="shared" ref="I44" si="54">SUM(100/J41*I41)</f>
        <v>#DIV/0!</v>
      </c>
      <c r="J44" s="78"/>
      <c r="K44" s="95"/>
      <c r="L44" s="247"/>
      <c r="M44" s="257">
        <f>SUM(100/N41*M41)</f>
        <v>114.71566672402452</v>
      </c>
      <c r="N44" s="447"/>
      <c r="O44" s="95"/>
      <c r="P44" s="247"/>
      <c r="Q44" s="257">
        <f>SUM(100/R41*Q41)</f>
        <v>140.45075007022538</v>
      </c>
      <c r="R44" s="257"/>
      <c r="S44" s="95">
        <f>SUM(100/T41*S41)</f>
        <v>118.65304319527031</v>
      </c>
      <c r="T44" s="78"/>
      <c r="U44" s="97">
        <f>SUM(100/V41*U41)</f>
        <v>101.56994411217489</v>
      </c>
      <c r="V44" s="78"/>
      <c r="W44" s="95" t="e">
        <f>SUM(100/X41*W41)</f>
        <v>#DIV/0!</v>
      </c>
      <c r="X44" s="78"/>
      <c r="Y44" s="113">
        <f>SUM(100/Z41*Y41)</f>
        <v>101.56994411217489</v>
      </c>
      <c r="Z44" s="114"/>
    </row>
    <row r="46" spans="1:32" x14ac:dyDescent="0.25">
      <c r="A46" s="393"/>
      <c r="B46" s="230"/>
      <c r="C46" s="230"/>
      <c r="D46" s="230"/>
      <c r="E46" s="230"/>
      <c r="F46" s="230"/>
      <c r="G46" s="230"/>
      <c r="H46" s="360"/>
      <c r="I46" s="230"/>
      <c r="J46" s="36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393"/>
      <c r="Z46" s="393"/>
      <c r="AA46" s="230"/>
      <c r="AB46" s="230"/>
      <c r="AC46" s="230"/>
      <c r="AD46" s="230"/>
      <c r="AE46" s="230"/>
      <c r="AF46" s="230"/>
    </row>
    <row r="47" spans="1:32" x14ac:dyDescent="0.25">
      <c r="A47" s="393"/>
      <c r="B47" s="230"/>
      <c r="C47" s="230"/>
      <c r="D47" s="230"/>
      <c r="E47" s="230"/>
      <c r="F47" s="230"/>
      <c r="G47" s="360"/>
      <c r="H47" s="360"/>
      <c r="I47" s="360"/>
      <c r="J47" s="36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393"/>
      <c r="Z47" s="393"/>
      <c r="AA47" s="230"/>
      <c r="AB47" s="230"/>
      <c r="AC47" s="230"/>
      <c r="AD47" s="230"/>
      <c r="AE47" s="230"/>
      <c r="AF47" s="230"/>
    </row>
    <row r="48" spans="1:32" x14ac:dyDescent="0.25">
      <c r="A48" s="393"/>
      <c r="B48" s="230"/>
      <c r="C48" s="230"/>
      <c r="D48" s="230"/>
      <c r="E48" s="230"/>
      <c r="F48" s="230"/>
      <c r="G48" s="230"/>
      <c r="H48" s="360"/>
      <c r="I48" s="230"/>
      <c r="J48" s="36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393"/>
      <c r="Z48" s="393"/>
      <c r="AA48" s="230"/>
      <c r="AB48" s="230"/>
      <c r="AC48" s="230"/>
      <c r="AD48" s="230"/>
      <c r="AE48" s="230"/>
      <c r="AF48" s="230"/>
    </row>
  </sheetData>
  <customSheetViews>
    <customSheetView guid="{512075D7-6EE7-4EEF-842F-09AF15E6D8B5}" scale="70" showPageBreaks="1" fitToPage="1" printArea="1" topLeftCell="F1">
      <pane ySplit="4" topLeftCell="A11" activePane="bottomLeft" state="frozen"/>
      <selection pane="bottomLeft" activeCell="Y48" sqref="Y48"/>
      <pageMargins left="0.59055118110236227" right="0.59055118110236227" top="1.1811023622047245" bottom="0.59055118110236227" header="0.11811023622047245" footer="0.31496062992125984"/>
      <pageSetup paperSize="9" scale="30" orientation="landscape" horizontalDpi="4294967293" verticalDpi="4294967293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 topLeftCell="F1">
      <pane ySplit="4" topLeftCell="A11" activePane="bottomLeft" state="frozen"/>
      <selection pane="bottomLeft" activeCell="Y48" sqref="Y48"/>
      <pageMargins left="0.59055118110236227" right="0.59055118110236227" top="1.1811023622047245" bottom="0.59055118110236227" header="0.11811023622047245" footer="0.31496062992125984"/>
      <pageSetup paperSize="9" scale="30" orientation="landscape" horizontalDpi="4294967293" verticalDpi="4294967293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96" showPageBreaks="1" fitToPage="1" printArea="1" topLeftCell="R1">
      <pane ySplit="4" topLeftCell="A26" activePane="bottomLeft" state="frozen"/>
      <selection pane="bottomLeft" activeCell="AB24" sqref="AB24"/>
      <pageMargins left="0.59055118110236227" right="0.59055118110236227" top="1.1811023622047245" bottom="0.59055118110236227" header="0.11811023622047245" footer="0.31496062992125984"/>
      <pageSetup paperSize="9" scale="30" orientation="landscape" horizontalDpi="4294967293" verticalDpi="4294967293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showPageBreaks="1" fitToPage="1" printArea="1">
      <pane ySplit="4" topLeftCell="A5" activePane="bottomLeft" state="frozen"/>
      <selection pane="bottomLeft" activeCell="AC39" sqref="AC39"/>
      <pageMargins left="0.59055118110236227" right="0.59055118110236227" top="1.1811023622047245" bottom="0.59055118110236227" header="0.11811023622047245" footer="0.31496062992125984"/>
      <pageSetup paperSize="9" scale="30" orientation="landscape" horizontalDpi="4294967293" verticalDpi="4294967293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70" showPageBreaks="1" fitToPage="1" printArea="1">
      <pane ySplit="4" topLeftCell="A23" activePane="bottomLeft" state="frozen"/>
      <selection pane="bottomLeft" activeCell="Q40" sqref="Q40"/>
      <pageMargins left="0.59055118110236227" right="0.59055118110236227" top="1.1811023622047245" bottom="0.59055118110236227" header="0.11811023622047245" footer="0.31496062992125984"/>
      <pageSetup paperSize="9" scale="30" orientation="landscape" horizontalDpi="4294967293" verticalDpi="4294967293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70" showPageBreaks="1" fitToPage="1" printArea="1">
      <pane ySplit="4" topLeftCell="A17" activePane="bottomLeft" state="frozen"/>
      <selection pane="bottomLeft" activeCell="P32" sqref="P32"/>
      <pageMargins left="0.59055118110236227" right="0.59055118110236227" top="1.1811023622047245" bottom="0.59055118110236227" header="0.11811023622047245" footer="0.31496062992125984"/>
      <pageSetup paperSize="9" scale="30" orientation="landscape" horizontalDpi="4294967293" verticalDpi="4294967293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 topLeftCell="B1">
      <pane ySplit="4" topLeftCell="A11" activePane="bottomLeft" state="frozen"/>
      <selection pane="bottomLeft" activeCell="Q1" sqref="Q1:R1048576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5" showPageBreaks="1" fitToPage="1" printArea="1">
      <pane ySplit="4" topLeftCell="A23" activePane="bottomLeft" state="frozen"/>
      <selection pane="bottomLeft" activeCell="O45" sqref="O45"/>
      <pageMargins left="0.59055118110236227" right="0.59055118110236227" top="1.1811023622047245" bottom="0.59055118110236227" header="0.11811023622047245" footer="0.31496062992125984"/>
      <pageSetup paperSize="9" scale="47" orientation="landscape" horizontalDpi="4294967293" verticalDpi="4294967293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5" showPageBreaks="1" fitToPage="1" printArea="1">
      <pane ySplit="4" topLeftCell="A23" activePane="bottomLeft" state="frozen"/>
      <selection pane="bottomLeft" activeCell="O45" sqref="O45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5" activePane="bottomLeft" state="frozen"/>
      <selection pane="bottomLeft" activeCell="P26" sqref="P26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14" activePane="bottomLeft" state="frozen"/>
      <selection pane="bottomLeft" activeCell="P9" sqref="P9"/>
      <pageMargins left="0.59055118110236227" right="0.59055118110236227" top="1.1811023622047245" bottom="0.59055118110236227" header="0.11811023622047245" footer="0.31496062992125984"/>
      <pageSetup paperSize="9" scale="30" orientation="landscape" horizontalDpi="4294967293" verticalDpi="4294967293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I3:J3"/>
    <mergeCell ref="O3:R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0" orientation="landscape" horizontalDpi="4294967293" verticalDpi="4294967293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F48"/>
  <sheetViews>
    <sheetView tabSelected="1" zoomScale="70" zoomScaleNormal="100" workbookViewId="0">
      <pane ySplit="4" topLeftCell="A5" activePane="bottomLeft" state="frozen"/>
      <selection pane="bottomLeft" activeCell="T55" sqref="T55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4.28515625" style="2" customWidth="1"/>
    <col min="4" max="4" width="14.140625" style="2" bestFit="1" customWidth="1"/>
    <col min="5" max="5" width="11.7109375" style="2" customWidth="1"/>
    <col min="6" max="6" width="12.28515625" style="2" bestFit="1" customWidth="1"/>
    <col min="7" max="10" width="11.7109375" style="6" customWidth="1"/>
    <col min="11" max="11" width="12.85546875" style="2" bestFit="1" customWidth="1"/>
    <col min="12" max="13" width="12.85546875" style="2" customWidth="1"/>
    <col min="14" max="14" width="14.140625" style="2" bestFit="1" customWidth="1"/>
    <col min="15" max="15" width="13.140625" style="2" customWidth="1"/>
    <col min="16" max="16" width="14.140625" style="2" bestFit="1" customWidth="1"/>
    <col min="17" max="17" width="14.5703125" style="2" bestFit="1" customWidth="1"/>
    <col min="18" max="18" width="13.85546875" style="2" bestFit="1" customWidth="1"/>
    <col min="19" max="19" width="14.28515625" style="2" customWidth="1"/>
    <col min="20" max="20" width="14.140625" style="2" bestFit="1" customWidth="1"/>
    <col min="21" max="21" width="15.85546875" style="2" bestFit="1" customWidth="1"/>
    <col min="22" max="22" width="14.5703125" style="2" bestFit="1" customWidth="1"/>
    <col min="23" max="24" width="11.7109375" style="2" customWidth="1"/>
    <col min="25" max="25" width="15.85546875" style="2" bestFit="1" customWidth="1"/>
    <col min="26" max="26" width="14.5703125" style="2" bestFit="1" customWidth="1"/>
    <col min="27" max="27" width="38.140625" style="2" bestFit="1" customWidth="1"/>
    <col min="28" max="28" width="7.7109375" style="2" bestFit="1" customWidth="1"/>
    <col min="29" max="29" width="5.140625" style="4" customWidth="1"/>
    <col min="30" max="30" width="20.7109375" style="4" customWidth="1"/>
    <col min="31" max="31" width="11.42578125" style="2"/>
    <col min="32" max="32" width="19.85546875" style="2" customWidth="1"/>
    <col min="33" max="16384" width="11.42578125" style="2"/>
  </cols>
  <sheetData>
    <row r="1" spans="1:32" ht="34.15" customHeight="1" x14ac:dyDescent="0.25">
      <c r="A1" s="104" t="s">
        <v>55</v>
      </c>
      <c r="G1" s="2"/>
      <c r="H1" s="521">
        <v>45597</v>
      </c>
      <c r="I1" s="521"/>
      <c r="J1" s="521"/>
      <c r="K1" s="521"/>
      <c r="L1" s="435"/>
      <c r="M1" s="435"/>
    </row>
    <row r="2" spans="1:32" ht="21" thickBot="1" x14ac:dyDescent="0.3">
      <c r="A2" s="105"/>
    </row>
    <row r="3" spans="1:32" s="8" customFormat="1" ht="36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3" t="s">
        <v>53</v>
      </c>
      <c r="J3" s="514"/>
      <c r="K3" s="513" t="s">
        <v>25</v>
      </c>
      <c r="L3" s="515"/>
      <c r="M3" s="515"/>
      <c r="N3" s="514"/>
      <c r="O3" s="513" t="s">
        <v>30</v>
      </c>
      <c r="P3" s="515"/>
      <c r="Q3" s="526"/>
      <c r="R3" s="527"/>
      <c r="S3" s="515" t="s">
        <v>2</v>
      </c>
      <c r="T3" s="515"/>
      <c r="U3" s="522" t="s">
        <v>29</v>
      </c>
      <c r="V3" s="523"/>
      <c r="W3" s="513" t="s">
        <v>26</v>
      </c>
      <c r="X3" s="514"/>
      <c r="Y3" s="524" t="s">
        <v>27</v>
      </c>
      <c r="Z3" s="525"/>
      <c r="AA3" s="513" t="s">
        <v>0</v>
      </c>
      <c r="AB3" s="515"/>
      <c r="AC3" s="515"/>
      <c r="AD3" s="514"/>
      <c r="AF3" s="399" t="s">
        <v>80</v>
      </c>
    </row>
    <row r="4" spans="1:32" s="4" customFormat="1" ht="18.600000000000001" customHeight="1" x14ac:dyDescent="0.25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449" t="s">
        <v>69</v>
      </c>
      <c r="M4" s="237" t="s">
        <v>70</v>
      </c>
      <c r="N4" s="12" t="s">
        <v>21</v>
      </c>
      <c r="O4" s="11" t="s">
        <v>68</v>
      </c>
      <c r="P4" s="255" t="s">
        <v>69</v>
      </c>
      <c r="Q4" s="258" t="s">
        <v>70</v>
      </c>
      <c r="R4" s="256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19" t="s">
        <v>4</v>
      </c>
      <c r="AC4" s="520"/>
      <c r="AD4" s="14" t="s">
        <v>5</v>
      </c>
    </row>
    <row r="5" spans="1:32" ht="18.600000000000001" customHeight="1" x14ac:dyDescent="0.25">
      <c r="A5" s="23">
        <v>1</v>
      </c>
      <c r="B5" s="53" t="s">
        <v>6</v>
      </c>
      <c r="C5" s="25">
        <v>10031.5</v>
      </c>
      <c r="D5" s="26">
        <v>8000</v>
      </c>
      <c r="E5" s="25">
        <v>955.1</v>
      </c>
      <c r="F5" s="27">
        <v>116.66665999999999</v>
      </c>
      <c r="G5" s="28">
        <v>360.7</v>
      </c>
      <c r="H5" s="27">
        <v>50</v>
      </c>
      <c r="I5" s="28">
        <v>0</v>
      </c>
      <c r="J5" s="27"/>
      <c r="K5" s="25">
        <v>0</v>
      </c>
      <c r="L5" s="81"/>
      <c r="M5" s="239">
        <f t="shared" ref="M5:M7" si="0">K5+L5</f>
        <v>0</v>
      </c>
      <c r="N5" s="26">
        <v>3000</v>
      </c>
      <c r="O5" s="25">
        <v>0</v>
      </c>
      <c r="P5" s="26">
        <v>0</v>
      </c>
      <c r="Q5" s="26">
        <f t="shared" ref="Q5:Q41" si="1">O5+P5</f>
        <v>0</v>
      </c>
      <c r="R5" s="27">
        <v>4166.6666599999999</v>
      </c>
      <c r="S5" s="25">
        <v>5701.7</v>
      </c>
      <c r="T5" s="26">
        <v>4363.3333300000004</v>
      </c>
      <c r="U5" s="183">
        <f>SUM(C5+E5+G5+I5+M5+Q5+S5)</f>
        <v>17049</v>
      </c>
      <c r="V5" s="90">
        <f t="shared" ref="V5:V7" si="2">SUM(D5+F5+H5+J5+N5+R5+T5)</f>
        <v>19696.666649999999</v>
      </c>
      <c r="W5" s="25">
        <v>0</v>
      </c>
      <c r="X5" s="26"/>
      <c r="Y5" s="92">
        <f t="shared" ref="Y5:Y7" si="3">SUM(U5+W5)</f>
        <v>17049</v>
      </c>
      <c r="Z5" s="234">
        <f t="shared" ref="Z5:Z7" si="4">SUM(V5+X5)</f>
        <v>19696.666649999999</v>
      </c>
      <c r="AA5" s="29" t="s">
        <v>194</v>
      </c>
      <c r="AB5" s="30">
        <v>13</v>
      </c>
      <c r="AC5" s="31" t="s">
        <v>7</v>
      </c>
      <c r="AD5" s="32" t="s">
        <v>132</v>
      </c>
      <c r="AF5" s="221">
        <f t="shared" ref="AF5:AF38" si="5">C5+E5+G5+I5+K5+O5+W5</f>
        <v>11347.300000000001</v>
      </c>
    </row>
    <row r="6" spans="1:32" ht="18.600000000000001" customHeight="1" x14ac:dyDescent="0.25">
      <c r="A6" s="23">
        <f t="shared" ref="A6:A7" si="6">SUM(A5+1)</f>
        <v>2</v>
      </c>
      <c r="B6" s="24" t="s">
        <v>8</v>
      </c>
      <c r="C6" s="25">
        <v>15423.8</v>
      </c>
      <c r="D6" s="26">
        <v>8000</v>
      </c>
      <c r="E6" s="25">
        <v>0</v>
      </c>
      <c r="F6" s="27">
        <v>116.66665999999999</v>
      </c>
      <c r="G6" s="28">
        <v>11</v>
      </c>
      <c r="H6" s="27">
        <v>50</v>
      </c>
      <c r="I6" s="25">
        <v>0</v>
      </c>
      <c r="J6" s="27"/>
      <c r="K6" s="25">
        <v>10768.1</v>
      </c>
      <c r="L6" s="81"/>
      <c r="M6" s="239">
        <f t="shared" si="0"/>
        <v>10768.1</v>
      </c>
      <c r="N6" s="26">
        <v>3000</v>
      </c>
      <c r="O6" s="25">
        <v>0</v>
      </c>
      <c r="P6" s="26">
        <v>0</v>
      </c>
      <c r="Q6" s="26">
        <f t="shared" si="1"/>
        <v>0</v>
      </c>
      <c r="R6" s="27">
        <v>4166.6666599999999</v>
      </c>
      <c r="S6" s="25">
        <v>4571.5</v>
      </c>
      <c r="T6" s="26">
        <v>4363.3333300000004</v>
      </c>
      <c r="U6" s="183">
        <f t="shared" ref="U6:U7" si="7">SUM(C6+E6+G6+I6+M6+Q6+S6)</f>
        <v>30774.400000000001</v>
      </c>
      <c r="V6" s="90">
        <f t="shared" si="2"/>
        <v>19696.666649999999</v>
      </c>
      <c r="W6" s="25">
        <v>0</v>
      </c>
      <c r="X6" s="26"/>
      <c r="Y6" s="92">
        <f t="shared" si="3"/>
        <v>30774.400000000001</v>
      </c>
      <c r="Z6" s="94">
        <f t="shared" si="4"/>
        <v>19696.666649999999</v>
      </c>
      <c r="AA6" s="29" t="s">
        <v>72</v>
      </c>
      <c r="AB6" s="30">
        <v>8</v>
      </c>
      <c r="AC6" s="31" t="s">
        <v>7</v>
      </c>
      <c r="AD6" s="32"/>
      <c r="AF6" s="221">
        <f t="shared" si="5"/>
        <v>26202.9</v>
      </c>
    </row>
    <row r="7" spans="1:32" ht="18.600000000000001" customHeight="1" x14ac:dyDescent="0.25">
      <c r="A7" s="23">
        <f t="shared" si="6"/>
        <v>3</v>
      </c>
      <c r="B7" s="24" t="s">
        <v>9</v>
      </c>
      <c r="C7" s="25">
        <v>9494.2000000000007</v>
      </c>
      <c r="D7" s="26">
        <v>8000</v>
      </c>
      <c r="E7" s="25">
        <v>0</v>
      </c>
      <c r="F7" s="27">
        <v>116.66665999999999</v>
      </c>
      <c r="G7" s="28">
        <v>28</v>
      </c>
      <c r="H7" s="27">
        <v>50</v>
      </c>
      <c r="I7" s="25">
        <v>0</v>
      </c>
      <c r="J7" s="27"/>
      <c r="K7" s="25">
        <v>3375.5</v>
      </c>
      <c r="L7" s="81"/>
      <c r="M7" s="239">
        <f t="shared" si="0"/>
        <v>3375.5</v>
      </c>
      <c r="N7" s="26">
        <v>3000</v>
      </c>
      <c r="O7" s="25">
        <v>0</v>
      </c>
      <c r="P7" s="26">
        <v>0</v>
      </c>
      <c r="Q7" s="26">
        <f t="shared" si="1"/>
        <v>0</v>
      </c>
      <c r="R7" s="27">
        <v>4166.6666599999999</v>
      </c>
      <c r="S7" s="25">
        <v>1214.2</v>
      </c>
      <c r="T7" s="26">
        <v>4363.3333300000004</v>
      </c>
      <c r="U7" s="183">
        <f t="shared" si="7"/>
        <v>14111.900000000001</v>
      </c>
      <c r="V7" s="90">
        <f t="shared" si="2"/>
        <v>19696.666649999999</v>
      </c>
      <c r="W7" s="25">
        <v>0</v>
      </c>
      <c r="X7" s="26"/>
      <c r="Y7" s="92">
        <f t="shared" si="3"/>
        <v>14111.900000000001</v>
      </c>
      <c r="Z7" s="94">
        <f t="shared" si="4"/>
        <v>19696.666649999999</v>
      </c>
      <c r="AA7" s="29" t="s">
        <v>72</v>
      </c>
      <c r="AB7" s="30">
        <v>10</v>
      </c>
      <c r="AC7" s="31" t="s">
        <v>7</v>
      </c>
      <c r="AD7" s="32"/>
      <c r="AF7" s="221">
        <f t="shared" si="5"/>
        <v>12897.7</v>
      </c>
    </row>
    <row r="8" spans="1:32" ht="18.600000000000001" customHeight="1" x14ac:dyDescent="0.25">
      <c r="A8" s="33" t="s">
        <v>10</v>
      </c>
      <c r="B8" s="34">
        <v>44</v>
      </c>
      <c r="C8" s="35">
        <f t="shared" ref="C8:Z8" si="8">SUM(C5:C7)</f>
        <v>34949.5</v>
      </c>
      <c r="D8" s="37">
        <f t="shared" si="8"/>
        <v>24000</v>
      </c>
      <c r="E8" s="35">
        <f t="shared" si="8"/>
        <v>955.1</v>
      </c>
      <c r="F8" s="82">
        <f t="shared" si="8"/>
        <v>349.99997999999999</v>
      </c>
      <c r="G8" s="266">
        <f t="shared" si="8"/>
        <v>399.7</v>
      </c>
      <c r="H8" s="36">
        <f t="shared" si="8"/>
        <v>150</v>
      </c>
      <c r="I8" s="266">
        <f t="shared" si="8"/>
        <v>0</v>
      </c>
      <c r="J8" s="36">
        <f t="shared" si="8"/>
        <v>0</v>
      </c>
      <c r="K8" s="35">
        <f t="shared" si="8"/>
        <v>14143.6</v>
      </c>
      <c r="L8" s="82">
        <f t="shared" si="8"/>
        <v>0</v>
      </c>
      <c r="M8" s="38">
        <f t="shared" si="8"/>
        <v>14143.6</v>
      </c>
      <c r="N8" s="82">
        <f t="shared" si="8"/>
        <v>9000</v>
      </c>
      <c r="O8" s="35">
        <f t="shared" si="8"/>
        <v>0</v>
      </c>
      <c r="P8" s="36">
        <f t="shared" si="8"/>
        <v>0</v>
      </c>
      <c r="Q8" s="396">
        <f t="shared" si="8"/>
        <v>0</v>
      </c>
      <c r="R8" s="82">
        <f t="shared" si="8"/>
        <v>12499.999980000001</v>
      </c>
      <c r="S8" s="266">
        <f t="shared" si="8"/>
        <v>11487.400000000001</v>
      </c>
      <c r="T8" s="36">
        <f t="shared" si="8"/>
        <v>13089.99999</v>
      </c>
      <c r="U8" s="35">
        <f t="shared" si="8"/>
        <v>61935.3</v>
      </c>
      <c r="V8" s="36">
        <f t="shared" si="8"/>
        <v>59089.999949999998</v>
      </c>
      <c r="W8" s="35">
        <f t="shared" si="8"/>
        <v>0</v>
      </c>
      <c r="X8" s="36">
        <f t="shared" si="8"/>
        <v>0</v>
      </c>
      <c r="Y8" s="400">
        <f t="shared" si="8"/>
        <v>61935.3</v>
      </c>
      <c r="Z8" s="36">
        <f t="shared" si="8"/>
        <v>59089.999949999998</v>
      </c>
      <c r="AA8" s="39"/>
      <c r="AB8" s="40"/>
      <c r="AC8" s="41" t="s">
        <v>7</v>
      </c>
      <c r="AD8" s="42"/>
      <c r="AF8" s="221"/>
    </row>
    <row r="9" spans="1:32" ht="18.600000000000001" customHeight="1" x14ac:dyDescent="0.25">
      <c r="A9" s="44">
        <f>SUM(A7+1)</f>
        <v>4</v>
      </c>
      <c r="B9" s="15" t="s">
        <v>12</v>
      </c>
      <c r="C9" s="16">
        <v>3354</v>
      </c>
      <c r="D9" s="17">
        <v>8000</v>
      </c>
      <c r="E9" s="16">
        <v>0</v>
      </c>
      <c r="F9" s="18">
        <v>116.66665999999999</v>
      </c>
      <c r="G9" s="19">
        <v>0</v>
      </c>
      <c r="H9" s="18">
        <v>50</v>
      </c>
      <c r="I9" s="19">
        <v>0</v>
      </c>
      <c r="J9" s="18"/>
      <c r="K9" s="16">
        <v>2608.6</v>
      </c>
      <c r="L9" s="80"/>
      <c r="M9" s="238">
        <f t="shared" ref="M9:M15" si="9">K9+L9</f>
        <v>2608.6</v>
      </c>
      <c r="N9" s="17">
        <v>3000</v>
      </c>
      <c r="O9" s="16">
        <v>218.6</v>
      </c>
      <c r="P9" s="17">
        <v>1614</v>
      </c>
      <c r="Q9" s="17">
        <f>O9+P9</f>
        <v>1832.6</v>
      </c>
      <c r="R9" s="18">
        <v>4166.6666599999999</v>
      </c>
      <c r="S9" s="16">
        <v>4638.3999999999996</v>
      </c>
      <c r="T9" s="17">
        <v>4363.3333300000004</v>
      </c>
      <c r="U9" s="91">
        <f t="shared" ref="U9:U15" si="10">SUM(C9+E9+G9+I9+M9+Q9+S9)</f>
        <v>12433.6</v>
      </c>
      <c r="V9" s="89">
        <f t="shared" ref="V9:V15" si="11">SUM(D9+F9+H9+J9+N9+R9+T9)</f>
        <v>19696.666649999999</v>
      </c>
      <c r="W9" s="16">
        <v>0</v>
      </c>
      <c r="X9" s="17"/>
      <c r="Y9" s="109">
        <f t="shared" ref="Y9:Z11" si="12">SUM(U9+W9)</f>
        <v>12433.6</v>
      </c>
      <c r="Z9" s="110">
        <f t="shared" si="12"/>
        <v>19696.666649999999</v>
      </c>
      <c r="AA9" s="45" t="s">
        <v>195</v>
      </c>
      <c r="AB9" s="46">
        <v>7</v>
      </c>
      <c r="AC9" s="21" t="s">
        <v>7</v>
      </c>
      <c r="AD9" s="22"/>
      <c r="AF9" s="221">
        <f t="shared" si="5"/>
        <v>6181.2000000000007</v>
      </c>
    </row>
    <row r="10" spans="1:32" ht="18.600000000000001" customHeight="1" x14ac:dyDescent="0.25">
      <c r="A10" s="47">
        <f t="shared" ref="A10:A15" si="13">SUM(A9+1)</f>
        <v>5</v>
      </c>
      <c r="B10" s="15" t="s">
        <v>13</v>
      </c>
      <c r="C10" s="16">
        <v>5396.5</v>
      </c>
      <c r="D10" s="17">
        <v>8000</v>
      </c>
      <c r="E10" s="16">
        <v>305.8</v>
      </c>
      <c r="F10" s="18">
        <v>116.66665999999999</v>
      </c>
      <c r="G10" s="19">
        <v>103.1</v>
      </c>
      <c r="H10" s="18">
        <v>50</v>
      </c>
      <c r="I10" s="19">
        <v>0</v>
      </c>
      <c r="J10" s="18"/>
      <c r="K10" s="16">
        <v>135</v>
      </c>
      <c r="L10" s="80"/>
      <c r="M10" s="238">
        <f t="shared" si="9"/>
        <v>135</v>
      </c>
      <c r="N10" s="17">
        <v>3000</v>
      </c>
      <c r="O10" s="16">
        <v>641.4</v>
      </c>
      <c r="P10" s="17">
        <v>4410</v>
      </c>
      <c r="Q10" s="217">
        <f t="shared" si="1"/>
        <v>5051.3999999999996</v>
      </c>
      <c r="R10" s="18">
        <v>4166.6666599999999</v>
      </c>
      <c r="S10" s="16">
        <v>4022.9</v>
      </c>
      <c r="T10" s="17">
        <v>4363.3333300000004</v>
      </c>
      <c r="U10" s="91">
        <f t="shared" si="10"/>
        <v>15014.699999999999</v>
      </c>
      <c r="V10" s="89">
        <f t="shared" si="11"/>
        <v>19696.666649999999</v>
      </c>
      <c r="W10" s="16">
        <v>0</v>
      </c>
      <c r="X10" s="17"/>
      <c r="Y10" s="109">
        <f t="shared" si="12"/>
        <v>15014.699999999999</v>
      </c>
      <c r="Z10" s="110">
        <f t="shared" si="12"/>
        <v>19696.666649999999</v>
      </c>
      <c r="AA10" s="45" t="s">
        <v>196</v>
      </c>
      <c r="AB10" s="46">
        <v>8</v>
      </c>
      <c r="AC10" s="21" t="s">
        <v>7</v>
      </c>
      <c r="AD10" s="22"/>
      <c r="AF10" s="221">
        <f t="shared" si="5"/>
        <v>6581.8</v>
      </c>
    </row>
    <row r="11" spans="1:32" ht="18.600000000000001" customHeight="1" x14ac:dyDescent="0.25">
      <c r="A11" s="47">
        <f t="shared" si="13"/>
        <v>6</v>
      </c>
      <c r="B11" s="15" t="s">
        <v>14</v>
      </c>
      <c r="C11" s="16">
        <v>4926.5</v>
      </c>
      <c r="D11" s="17">
        <v>8000</v>
      </c>
      <c r="E11" s="16">
        <v>46.8</v>
      </c>
      <c r="F11" s="18">
        <v>116.66665999999999</v>
      </c>
      <c r="G11" s="19">
        <v>42.7</v>
      </c>
      <c r="H11" s="18">
        <v>50</v>
      </c>
      <c r="I11" s="19">
        <v>0</v>
      </c>
      <c r="J11" s="18"/>
      <c r="K11" s="16">
        <v>0</v>
      </c>
      <c r="L11" s="80"/>
      <c r="M11" s="238">
        <f t="shared" si="9"/>
        <v>0</v>
      </c>
      <c r="N11" s="17">
        <v>3000</v>
      </c>
      <c r="O11" s="16">
        <v>2499.6999999999998</v>
      </c>
      <c r="P11" s="17">
        <v>6004</v>
      </c>
      <c r="Q11" s="217">
        <f t="shared" si="1"/>
        <v>8503.7000000000007</v>
      </c>
      <c r="R11" s="18">
        <v>4166.6666599999999</v>
      </c>
      <c r="S11" s="16">
        <v>3527.4</v>
      </c>
      <c r="T11" s="17">
        <v>4363.3333300000004</v>
      </c>
      <c r="U11" s="91">
        <f t="shared" si="10"/>
        <v>17047.100000000002</v>
      </c>
      <c r="V11" s="89">
        <f t="shared" si="11"/>
        <v>19696.666649999999</v>
      </c>
      <c r="W11" s="16">
        <v>0</v>
      </c>
      <c r="X11" s="17"/>
      <c r="Y11" s="109">
        <f t="shared" si="12"/>
        <v>17047.100000000002</v>
      </c>
      <c r="Z11" s="110">
        <f t="shared" si="12"/>
        <v>19696.666649999999</v>
      </c>
      <c r="AA11" s="45" t="s">
        <v>72</v>
      </c>
      <c r="AB11" s="46">
        <v>7</v>
      </c>
      <c r="AC11" s="21" t="s">
        <v>7</v>
      </c>
      <c r="AD11" s="22"/>
      <c r="AF11" s="221">
        <f t="shared" si="5"/>
        <v>7515.7</v>
      </c>
    </row>
    <row r="12" spans="1:32" s="43" customFormat="1" ht="18.600000000000001" customHeight="1" x14ac:dyDescent="0.25">
      <c r="A12" s="47">
        <f t="shared" si="13"/>
        <v>7</v>
      </c>
      <c r="B12" s="15" t="s">
        <v>15</v>
      </c>
      <c r="C12" s="16">
        <v>5935.7</v>
      </c>
      <c r="D12" s="17">
        <v>8000</v>
      </c>
      <c r="E12" s="16">
        <v>0</v>
      </c>
      <c r="F12" s="18">
        <v>116.66665999999999</v>
      </c>
      <c r="G12" s="19">
        <v>0</v>
      </c>
      <c r="H12" s="18">
        <v>50</v>
      </c>
      <c r="I12" s="19">
        <v>0</v>
      </c>
      <c r="J12" s="18"/>
      <c r="K12" s="16">
        <v>0</v>
      </c>
      <c r="L12" s="80"/>
      <c r="M12" s="238">
        <f t="shared" si="9"/>
        <v>0</v>
      </c>
      <c r="N12" s="17">
        <v>3000</v>
      </c>
      <c r="O12" s="16">
        <v>3548.9</v>
      </c>
      <c r="P12" s="17">
        <v>10631</v>
      </c>
      <c r="Q12" s="217">
        <f t="shared" si="1"/>
        <v>14179.9</v>
      </c>
      <c r="R12" s="18">
        <v>4166.6666599999999</v>
      </c>
      <c r="S12" s="16">
        <v>4968.2</v>
      </c>
      <c r="T12" s="17">
        <v>4363.3333300000004</v>
      </c>
      <c r="U12" s="91">
        <f t="shared" si="10"/>
        <v>25083.8</v>
      </c>
      <c r="V12" s="89">
        <f t="shared" si="11"/>
        <v>19696.666649999999</v>
      </c>
      <c r="W12" s="16">
        <v>0</v>
      </c>
      <c r="X12" s="17"/>
      <c r="Y12" s="109">
        <f t="shared" ref="Y12:Z15" si="14">SUM(U12+W12)</f>
        <v>25083.8</v>
      </c>
      <c r="Z12" s="110">
        <f t="shared" si="14"/>
        <v>19696.666649999999</v>
      </c>
      <c r="AA12" s="45" t="s">
        <v>60</v>
      </c>
      <c r="AB12" s="46">
        <v>9</v>
      </c>
      <c r="AC12" s="21" t="s">
        <v>7</v>
      </c>
      <c r="AD12" s="22"/>
      <c r="AF12" s="221">
        <f t="shared" si="5"/>
        <v>9484.6</v>
      </c>
    </row>
    <row r="13" spans="1:32" ht="18.600000000000001" customHeight="1" x14ac:dyDescent="0.25">
      <c r="A13" s="47">
        <f t="shared" si="13"/>
        <v>8</v>
      </c>
      <c r="B13" s="52" t="s">
        <v>6</v>
      </c>
      <c r="C13" s="16">
        <v>8984.2999999999993</v>
      </c>
      <c r="D13" s="17">
        <v>8000</v>
      </c>
      <c r="E13" s="16">
        <v>196.9</v>
      </c>
      <c r="F13" s="18">
        <v>116.66665999999999</v>
      </c>
      <c r="G13" s="19">
        <v>221.8</v>
      </c>
      <c r="H13" s="18">
        <v>50</v>
      </c>
      <c r="I13" s="19">
        <v>0</v>
      </c>
      <c r="J13" s="18"/>
      <c r="K13" s="16">
        <v>4000</v>
      </c>
      <c r="L13" s="80"/>
      <c r="M13" s="238">
        <f t="shared" si="9"/>
        <v>4000</v>
      </c>
      <c r="N13" s="17">
        <v>3000</v>
      </c>
      <c r="O13" s="16">
        <v>0</v>
      </c>
      <c r="P13" s="17">
        <v>1110</v>
      </c>
      <c r="Q13" s="17">
        <f t="shared" si="1"/>
        <v>1110</v>
      </c>
      <c r="R13" s="18">
        <v>4166.6666599999999</v>
      </c>
      <c r="S13" s="16">
        <v>2510.8000000000002</v>
      </c>
      <c r="T13" s="17">
        <v>4363.3333300000004</v>
      </c>
      <c r="U13" s="91">
        <f t="shared" si="10"/>
        <v>17023.8</v>
      </c>
      <c r="V13" s="89">
        <f t="shared" si="11"/>
        <v>19696.666649999999</v>
      </c>
      <c r="W13" s="16">
        <v>0</v>
      </c>
      <c r="X13" s="17"/>
      <c r="Y13" s="109">
        <f t="shared" si="14"/>
        <v>17023.8</v>
      </c>
      <c r="Z13" s="110">
        <f t="shared" si="14"/>
        <v>19696.666649999999</v>
      </c>
      <c r="AA13" s="45" t="s">
        <v>72</v>
      </c>
      <c r="AB13" s="46">
        <v>9</v>
      </c>
      <c r="AC13" s="21" t="s">
        <v>7</v>
      </c>
      <c r="AD13" s="22"/>
      <c r="AF13" s="221">
        <f t="shared" si="5"/>
        <v>13402.999999999998</v>
      </c>
    </row>
    <row r="14" spans="1:32" ht="18.600000000000001" customHeight="1" x14ac:dyDescent="0.25">
      <c r="A14" s="23">
        <f t="shared" si="13"/>
        <v>9</v>
      </c>
      <c r="B14" s="24" t="s">
        <v>8</v>
      </c>
      <c r="C14" s="25">
        <v>14831.5</v>
      </c>
      <c r="D14" s="26">
        <v>8000</v>
      </c>
      <c r="E14" s="25">
        <v>0</v>
      </c>
      <c r="F14" s="27">
        <v>116.66665999999999</v>
      </c>
      <c r="G14" s="28">
        <v>0</v>
      </c>
      <c r="H14" s="27">
        <v>50</v>
      </c>
      <c r="I14" s="25">
        <v>0</v>
      </c>
      <c r="J14" s="27"/>
      <c r="K14" s="25">
        <v>4015.3</v>
      </c>
      <c r="L14" s="81"/>
      <c r="M14" s="239">
        <f t="shared" si="9"/>
        <v>4015.3</v>
      </c>
      <c r="N14" s="26">
        <v>3000</v>
      </c>
      <c r="O14" s="25">
        <v>66</v>
      </c>
      <c r="P14" s="26">
        <v>0</v>
      </c>
      <c r="Q14" s="27">
        <f t="shared" si="1"/>
        <v>66</v>
      </c>
      <c r="R14" s="27">
        <v>4166.6666599999999</v>
      </c>
      <c r="S14" s="25">
        <v>5230.8999999999996</v>
      </c>
      <c r="T14" s="26">
        <v>4363.3333300000004</v>
      </c>
      <c r="U14" s="183">
        <f t="shared" si="10"/>
        <v>24143.699999999997</v>
      </c>
      <c r="V14" s="90">
        <f t="shared" si="11"/>
        <v>19696.666649999999</v>
      </c>
      <c r="W14" s="25">
        <v>0</v>
      </c>
      <c r="X14" s="26"/>
      <c r="Y14" s="92">
        <f t="shared" si="14"/>
        <v>24143.699999999997</v>
      </c>
      <c r="Z14" s="94">
        <f t="shared" si="14"/>
        <v>19696.666649999999</v>
      </c>
      <c r="AA14" s="29" t="s">
        <v>78</v>
      </c>
      <c r="AB14" s="30">
        <v>9</v>
      </c>
      <c r="AC14" s="31" t="s">
        <v>7</v>
      </c>
      <c r="AD14" s="32"/>
      <c r="AF14" s="221">
        <f t="shared" si="5"/>
        <v>18912.8</v>
      </c>
    </row>
    <row r="15" spans="1:32" ht="18.600000000000001" customHeight="1" x14ac:dyDescent="0.25">
      <c r="A15" s="23">
        <f t="shared" si="13"/>
        <v>10</v>
      </c>
      <c r="B15" s="53" t="s">
        <v>9</v>
      </c>
      <c r="C15" s="25">
        <v>12205.6</v>
      </c>
      <c r="D15" s="26">
        <v>8000</v>
      </c>
      <c r="E15" s="25">
        <v>0</v>
      </c>
      <c r="F15" s="27">
        <v>116.66665999999999</v>
      </c>
      <c r="G15" s="28">
        <v>25</v>
      </c>
      <c r="H15" s="27">
        <v>50</v>
      </c>
      <c r="I15" s="25">
        <v>0</v>
      </c>
      <c r="J15" s="27"/>
      <c r="K15" s="25">
        <v>5190.6000000000004</v>
      </c>
      <c r="L15" s="81"/>
      <c r="M15" s="239">
        <f t="shared" si="9"/>
        <v>5190.6000000000004</v>
      </c>
      <c r="N15" s="26">
        <v>3000</v>
      </c>
      <c r="O15" s="25">
        <v>0</v>
      </c>
      <c r="P15" s="26">
        <v>0</v>
      </c>
      <c r="Q15" s="27">
        <f t="shared" si="1"/>
        <v>0</v>
      </c>
      <c r="R15" s="27">
        <v>4166.6666599999999</v>
      </c>
      <c r="S15" s="25">
        <v>2483.3000000000002</v>
      </c>
      <c r="T15" s="26">
        <v>4363.3333300000004</v>
      </c>
      <c r="U15" s="183">
        <f t="shared" si="10"/>
        <v>19904.5</v>
      </c>
      <c r="V15" s="90">
        <f t="shared" si="11"/>
        <v>19696.666649999999</v>
      </c>
      <c r="W15" s="25">
        <v>0</v>
      </c>
      <c r="X15" s="26"/>
      <c r="Y15" s="92">
        <f t="shared" si="14"/>
        <v>19904.5</v>
      </c>
      <c r="Z15" s="94">
        <f t="shared" si="14"/>
        <v>19696.666649999999</v>
      </c>
      <c r="AA15" s="29" t="s">
        <v>78</v>
      </c>
      <c r="AB15" s="30">
        <v>8</v>
      </c>
      <c r="AC15" s="31" t="s">
        <v>7</v>
      </c>
      <c r="AD15" s="32"/>
      <c r="AF15" s="221">
        <f t="shared" si="5"/>
        <v>17421.2</v>
      </c>
    </row>
    <row r="16" spans="1:32" ht="18.600000000000001" customHeight="1" x14ac:dyDescent="0.25">
      <c r="A16" s="33" t="s">
        <v>10</v>
      </c>
      <c r="B16" s="34">
        <f>SUM(B8+1)</f>
        <v>45</v>
      </c>
      <c r="C16" s="35">
        <f>SUM(C9:C15)</f>
        <v>55634.1</v>
      </c>
      <c r="D16" s="82">
        <f t="shared" ref="D16:N16" si="15">SUM(D9:D15)</f>
        <v>56000</v>
      </c>
      <c r="E16" s="35">
        <f t="shared" si="15"/>
        <v>549.5</v>
      </c>
      <c r="F16" s="82">
        <f t="shared" si="15"/>
        <v>816.66661999999997</v>
      </c>
      <c r="G16" s="35">
        <f t="shared" si="15"/>
        <v>392.6</v>
      </c>
      <c r="H16" s="82">
        <f t="shared" si="15"/>
        <v>350</v>
      </c>
      <c r="I16" s="35">
        <f t="shared" si="15"/>
        <v>0</v>
      </c>
      <c r="J16" s="82">
        <f t="shared" si="15"/>
        <v>0</v>
      </c>
      <c r="K16" s="35">
        <f t="shared" si="15"/>
        <v>15949.500000000002</v>
      </c>
      <c r="L16" s="82">
        <f t="shared" ref="L16" si="16">SUM(L11:L15)</f>
        <v>0</v>
      </c>
      <c r="M16" s="82">
        <f>SUM(M9:M15)</f>
        <v>15949.500000000002</v>
      </c>
      <c r="N16" s="82">
        <f t="shared" si="15"/>
        <v>21000</v>
      </c>
      <c r="O16" s="35">
        <f>SUM(O9:O15)</f>
        <v>6974.6</v>
      </c>
      <c r="P16" s="36">
        <f>SUM(P9:P15)</f>
        <v>23769</v>
      </c>
      <c r="Q16" s="397">
        <f>SUM(Q9:Q15)</f>
        <v>30743.599999999999</v>
      </c>
      <c r="R16" s="37">
        <f>SUM(R9:R15)</f>
        <v>29166.666619999996</v>
      </c>
      <c r="S16" s="35">
        <f>SUM(S9:S15)</f>
        <v>27381.899999999998</v>
      </c>
      <c r="T16" s="82">
        <f t="shared" ref="T16:Z16" si="17">SUM(T9:T15)</f>
        <v>30543.333310000005</v>
      </c>
      <c r="U16" s="35">
        <f t="shared" si="17"/>
        <v>130651.2</v>
      </c>
      <c r="V16" s="36">
        <f>SUM(V9:V15)</f>
        <v>137876.66654999999</v>
      </c>
      <c r="W16" s="35">
        <f t="shared" si="17"/>
        <v>0</v>
      </c>
      <c r="X16" s="36">
        <f t="shared" si="17"/>
        <v>0</v>
      </c>
      <c r="Y16" s="35">
        <f t="shared" si="17"/>
        <v>130651.2</v>
      </c>
      <c r="Z16" s="36">
        <f t="shared" si="17"/>
        <v>137876.66654999999</v>
      </c>
      <c r="AA16" s="39"/>
      <c r="AB16" s="40"/>
      <c r="AC16" s="41" t="s">
        <v>7</v>
      </c>
      <c r="AD16" s="42"/>
      <c r="AF16" s="221"/>
    </row>
    <row r="17" spans="1:32" ht="18.600000000000001" customHeight="1" x14ac:dyDescent="0.25">
      <c r="A17" s="44">
        <f>SUM(A15+1)</f>
        <v>11</v>
      </c>
      <c r="B17" s="15" t="s">
        <v>12</v>
      </c>
      <c r="C17" s="49">
        <v>4727</v>
      </c>
      <c r="D17" s="18">
        <v>8000</v>
      </c>
      <c r="E17" s="49">
        <v>134.6</v>
      </c>
      <c r="F17" s="18">
        <v>116.66665999999999</v>
      </c>
      <c r="G17" s="19">
        <v>113.4</v>
      </c>
      <c r="H17" s="18">
        <v>50</v>
      </c>
      <c r="I17" s="19">
        <v>0</v>
      </c>
      <c r="J17" s="18"/>
      <c r="K17" s="16">
        <v>1300</v>
      </c>
      <c r="L17" s="80"/>
      <c r="M17" s="238">
        <f t="shared" ref="M17:M23" si="18">K17+L17</f>
        <v>1300</v>
      </c>
      <c r="N17" s="17">
        <v>3000</v>
      </c>
      <c r="O17" s="16">
        <v>1416.9</v>
      </c>
      <c r="P17" s="17">
        <v>4119</v>
      </c>
      <c r="Q17" s="17">
        <f t="shared" si="1"/>
        <v>5535.9</v>
      </c>
      <c r="R17" s="18">
        <v>4166.6666599999999</v>
      </c>
      <c r="S17" s="16">
        <v>3315.2</v>
      </c>
      <c r="T17" s="17">
        <v>4363.3333300000004</v>
      </c>
      <c r="U17" s="91">
        <f t="shared" ref="U17:U23" si="19">SUM(C17+E17+G17+I17+M17+Q17+S17)</f>
        <v>15126.099999999999</v>
      </c>
      <c r="V17" s="89">
        <f t="shared" ref="V17:V23" si="20">SUM(D17+F17+H17+J17+N17+R17+T17)</f>
        <v>19696.666649999999</v>
      </c>
      <c r="W17" s="16">
        <v>0</v>
      </c>
      <c r="X17" s="17"/>
      <c r="Y17" s="109">
        <f t="shared" ref="Y17:Z23" si="21">SUM(U17+W17)</f>
        <v>15126.099999999999</v>
      </c>
      <c r="Z17" s="110">
        <f t="shared" si="21"/>
        <v>19696.666649999999</v>
      </c>
      <c r="AA17" s="45" t="s">
        <v>60</v>
      </c>
      <c r="AB17" s="46">
        <v>5</v>
      </c>
      <c r="AC17" s="21" t="s">
        <v>7</v>
      </c>
      <c r="AD17" s="22"/>
      <c r="AF17" s="221">
        <f t="shared" si="5"/>
        <v>7691.9</v>
      </c>
    </row>
    <row r="18" spans="1:32" ht="18.600000000000001" customHeight="1" x14ac:dyDescent="0.25">
      <c r="A18" s="47">
        <f t="shared" ref="A18:A23" si="22">SUM(A17+1)</f>
        <v>12</v>
      </c>
      <c r="B18" s="15" t="s">
        <v>13</v>
      </c>
      <c r="C18" s="16">
        <v>5425.9</v>
      </c>
      <c r="D18" s="17">
        <v>8000</v>
      </c>
      <c r="E18" s="16">
        <v>0</v>
      </c>
      <c r="F18" s="18">
        <v>116.66665999999999</v>
      </c>
      <c r="G18" s="19">
        <v>0</v>
      </c>
      <c r="H18" s="18">
        <v>50</v>
      </c>
      <c r="I18" s="19">
        <v>0</v>
      </c>
      <c r="J18" s="18"/>
      <c r="K18" s="16">
        <v>6056.5</v>
      </c>
      <c r="L18" s="80"/>
      <c r="M18" s="238">
        <f t="shared" si="18"/>
        <v>6056.5</v>
      </c>
      <c r="N18" s="17">
        <v>3000</v>
      </c>
      <c r="O18" s="16">
        <v>789.6</v>
      </c>
      <c r="P18" s="17">
        <v>3727</v>
      </c>
      <c r="Q18" s="217">
        <f t="shared" si="1"/>
        <v>4516.6000000000004</v>
      </c>
      <c r="R18" s="18">
        <v>4166.6666599999999</v>
      </c>
      <c r="S18" s="16">
        <v>4860.8</v>
      </c>
      <c r="T18" s="17">
        <v>4363.3333300000004</v>
      </c>
      <c r="U18" s="91">
        <f t="shared" si="19"/>
        <v>20859.8</v>
      </c>
      <c r="V18" s="89">
        <f t="shared" si="20"/>
        <v>19696.666649999999</v>
      </c>
      <c r="W18" s="16">
        <v>0</v>
      </c>
      <c r="X18" s="17"/>
      <c r="Y18" s="109">
        <f t="shared" si="21"/>
        <v>20859.8</v>
      </c>
      <c r="Z18" s="110">
        <f t="shared" si="21"/>
        <v>19696.666649999999</v>
      </c>
      <c r="AA18" s="45" t="s">
        <v>60</v>
      </c>
      <c r="AB18" s="46">
        <v>4</v>
      </c>
      <c r="AC18" s="21" t="s">
        <v>7</v>
      </c>
      <c r="AD18" s="22"/>
      <c r="AF18" s="221">
        <f t="shared" si="5"/>
        <v>12272</v>
      </c>
    </row>
    <row r="19" spans="1:32" ht="18.600000000000001" customHeight="1" x14ac:dyDescent="0.25">
      <c r="A19" s="47">
        <f t="shared" si="22"/>
        <v>13</v>
      </c>
      <c r="B19" s="15" t="s">
        <v>14</v>
      </c>
      <c r="C19" s="16">
        <v>6240.4</v>
      </c>
      <c r="D19" s="17">
        <v>8000</v>
      </c>
      <c r="E19" s="16">
        <v>0</v>
      </c>
      <c r="F19" s="18">
        <v>116.66665999999999</v>
      </c>
      <c r="G19" s="19">
        <v>0</v>
      </c>
      <c r="H19" s="18">
        <v>50</v>
      </c>
      <c r="I19" s="19">
        <v>0</v>
      </c>
      <c r="J19" s="18"/>
      <c r="K19" s="16">
        <v>0</v>
      </c>
      <c r="L19" s="80"/>
      <c r="M19" s="238">
        <f t="shared" si="18"/>
        <v>0</v>
      </c>
      <c r="N19" s="17">
        <v>3000</v>
      </c>
      <c r="O19" s="16">
        <v>998.3</v>
      </c>
      <c r="P19" s="17">
        <v>4474</v>
      </c>
      <c r="Q19" s="217">
        <f t="shared" si="1"/>
        <v>5472.3</v>
      </c>
      <c r="R19" s="18">
        <v>4166.6666599999999</v>
      </c>
      <c r="S19" s="16">
        <v>4096.2</v>
      </c>
      <c r="T19" s="17">
        <v>4363.3333300000004</v>
      </c>
      <c r="U19" s="91">
        <f t="shared" si="19"/>
        <v>15808.900000000001</v>
      </c>
      <c r="V19" s="89">
        <f t="shared" si="20"/>
        <v>19696.666649999999</v>
      </c>
      <c r="W19" s="16">
        <v>0</v>
      </c>
      <c r="X19" s="17"/>
      <c r="Y19" s="109">
        <f t="shared" si="21"/>
        <v>15808.900000000001</v>
      </c>
      <c r="Z19" s="110">
        <f t="shared" si="21"/>
        <v>19696.666649999999</v>
      </c>
      <c r="AA19" s="45" t="s">
        <v>60</v>
      </c>
      <c r="AB19" s="46">
        <v>4</v>
      </c>
      <c r="AC19" s="21" t="s">
        <v>7</v>
      </c>
      <c r="AD19" s="22"/>
      <c r="AF19" s="221">
        <f t="shared" si="5"/>
        <v>7238.7</v>
      </c>
    </row>
    <row r="20" spans="1:32" s="43" customFormat="1" ht="18.600000000000001" customHeight="1" x14ac:dyDescent="0.25">
      <c r="A20" s="47">
        <f t="shared" si="22"/>
        <v>14</v>
      </c>
      <c r="B20" s="15" t="s">
        <v>15</v>
      </c>
      <c r="C20" s="16">
        <v>7882.4</v>
      </c>
      <c r="D20" s="17">
        <v>8000</v>
      </c>
      <c r="E20" s="16">
        <v>0</v>
      </c>
      <c r="F20" s="18">
        <v>116.66665999999999</v>
      </c>
      <c r="G20" s="19">
        <v>0</v>
      </c>
      <c r="H20" s="18">
        <v>50</v>
      </c>
      <c r="I20" s="19">
        <v>0</v>
      </c>
      <c r="J20" s="18"/>
      <c r="K20" s="16">
        <v>0</v>
      </c>
      <c r="L20" s="80"/>
      <c r="M20" s="238">
        <f t="shared" si="18"/>
        <v>0</v>
      </c>
      <c r="N20" s="17">
        <v>3000</v>
      </c>
      <c r="O20" s="16">
        <v>1386.2</v>
      </c>
      <c r="P20" s="17">
        <v>5815</v>
      </c>
      <c r="Q20" s="217">
        <f t="shared" si="1"/>
        <v>7201.2</v>
      </c>
      <c r="R20" s="18">
        <v>4166.6666599999999</v>
      </c>
      <c r="S20" s="16">
        <v>3440</v>
      </c>
      <c r="T20" s="17">
        <v>4363.3333300000004</v>
      </c>
      <c r="U20" s="91">
        <f t="shared" si="19"/>
        <v>18523.599999999999</v>
      </c>
      <c r="V20" s="89">
        <f t="shared" si="20"/>
        <v>19696.666649999999</v>
      </c>
      <c r="W20" s="16">
        <v>0</v>
      </c>
      <c r="X20" s="17"/>
      <c r="Y20" s="109">
        <f t="shared" si="21"/>
        <v>18523.599999999999</v>
      </c>
      <c r="Z20" s="110">
        <f t="shared" si="21"/>
        <v>19696.666649999999</v>
      </c>
      <c r="AA20" s="45" t="s">
        <v>58</v>
      </c>
      <c r="AB20" s="46">
        <v>5</v>
      </c>
      <c r="AC20" s="21" t="s">
        <v>7</v>
      </c>
      <c r="AD20" s="22"/>
      <c r="AF20" s="221">
        <f t="shared" si="5"/>
        <v>9268.6</v>
      </c>
    </row>
    <row r="21" spans="1:32" ht="18.600000000000001" customHeight="1" x14ac:dyDescent="0.25">
      <c r="A21" s="47">
        <f t="shared" si="22"/>
        <v>15</v>
      </c>
      <c r="B21" s="15" t="s">
        <v>6</v>
      </c>
      <c r="C21" s="16">
        <v>11911.95</v>
      </c>
      <c r="D21" s="17">
        <v>8000</v>
      </c>
      <c r="E21" s="16">
        <v>0</v>
      </c>
      <c r="F21" s="18">
        <v>116.66665999999999</v>
      </c>
      <c r="G21" s="19">
        <v>40.9</v>
      </c>
      <c r="H21" s="18">
        <v>50</v>
      </c>
      <c r="I21" s="19">
        <v>0</v>
      </c>
      <c r="J21" s="18"/>
      <c r="K21" s="16">
        <v>3542.3</v>
      </c>
      <c r="L21" s="80"/>
      <c r="M21" s="238">
        <f t="shared" si="18"/>
        <v>3542.3</v>
      </c>
      <c r="N21" s="17">
        <v>3000</v>
      </c>
      <c r="O21" s="16">
        <v>1417.5</v>
      </c>
      <c r="P21" s="17">
        <v>3458</v>
      </c>
      <c r="Q21" s="17">
        <f t="shared" si="1"/>
        <v>4875.5</v>
      </c>
      <c r="R21" s="18">
        <v>4166.6666599999999</v>
      </c>
      <c r="S21" s="16">
        <v>5491</v>
      </c>
      <c r="T21" s="17">
        <v>4363.3333300000004</v>
      </c>
      <c r="U21" s="91">
        <f t="shared" si="19"/>
        <v>25861.65</v>
      </c>
      <c r="V21" s="89">
        <f t="shared" si="20"/>
        <v>19696.666649999999</v>
      </c>
      <c r="W21" s="16">
        <v>0</v>
      </c>
      <c r="X21" s="17"/>
      <c r="Y21" s="109">
        <f t="shared" si="21"/>
        <v>25861.65</v>
      </c>
      <c r="Z21" s="110">
        <f t="shared" si="21"/>
        <v>19696.666649999999</v>
      </c>
      <c r="AA21" s="45" t="s">
        <v>166</v>
      </c>
      <c r="AB21" s="46">
        <v>4</v>
      </c>
      <c r="AC21" s="21" t="s">
        <v>7</v>
      </c>
      <c r="AD21" s="22"/>
      <c r="AF21" s="221">
        <f t="shared" si="5"/>
        <v>16912.650000000001</v>
      </c>
    </row>
    <row r="22" spans="1:32" ht="18.600000000000001" customHeight="1" x14ac:dyDescent="0.25">
      <c r="A22" s="23">
        <f t="shared" si="22"/>
        <v>16</v>
      </c>
      <c r="B22" s="24" t="s">
        <v>8</v>
      </c>
      <c r="C22" s="25">
        <v>17537.7</v>
      </c>
      <c r="D22" s="26">
        <v>8000</v>
      </c>
      <c r="E22" s="25">
        <v>168.9</v>
      </c>
      <c r="F22" s="27">
        <v>116.66665999999999</v>
      </c>
      <c r="G22" s="28">
        <v>240.6</v>
      </c>
      <c r="H22" s="27">
        <v>50</v>
      </c>
      <c r="I22" s="25">
        <v>0</v>
      </c>
      <c r="J22" s="27"/>
      <c r="K22" s="25">
        <v>1401.8</v>
      </c>
      <c r="L22" s="81"/>
      <c r="M22" s="239">
        <f t="shared" si="18"/>
        <v>1401.8</v>
      </c>
      <c r="N22" s="26">
        <v>3000</v>
      </c>
      <c r="O22" s="25">
        <v>24</v>
      </c>
      <c r="P22" s="26">
        <v>2673</v>
      </c>
      <c r="Q22" s="27">
        <f t="shared" si="1"/>
        <v>2697</v>
      </c>
      <c r="R22" s="27">
        <v>4166.6666599999999</v>
      </c>
      <c r="S22" s="25">
        <v>6948.8</v>
      </c>
      <c r="T22" s="26">
        <v>4363.3333300000004</v>
      </c>
      <c r="U22" s="183">
        <f t="shared" si="19"/>
        <v>28994.799999999999</v>
      </c>
      <c r="V22" s="90">
        <f t="shared" si="20"/>
        <v>19696.666649999999</v>
      </c>
      <c r="W22" s="25">
        <v>0</v>
      </c>
      <c r="X22" s="26"/>
      <c r="Y22" s="92">
        <f t="shared" si="21"/>
        <v>28994.799999999999</v>
      </c>
      <c r="Z22" s="94">
        <f t="shared" si="21"/>
        <v>19696.666649999999</v>
      </c>
      <c r="AA22" s="29" t="s">
        <v>58</v>
      </c>
      <c r="AB22" s="30">
        <v>6</v>
      </c>
      <c r="AC22" s="31" t="s">
        <v>7</v>
      </c>
      <c r="AD22" s="32"/>
      <c r="AF22" s="221">
        <f t="shared" si="5"/>
        <v>19373</v>
      </c>
    </row>
    <row r="23" spans="1:32" ht="18.600000000000001" customHeight="1" x14ac:dyDescent="0.25">
      <c r="A23" s="23">
        <f t="shared" si="22"/>
        <v>17</v>
      </c>
      <c r="B23" s="24" t="s">
        <v>9</v>
      </c>
      <c r="C23" s="25">
        <v>10511</v>
      </c>
      <c r="D23" s="26">
        <v>8000</v>
      </c>
      <c r="E23" s="25">
        <v>0</v>
      </c>
      <c r="F23" s="27">
        <v>116.66665999999999</v>
      </c>
      <c r="G23" s="28">
        <v>0</v>
      </c>
      <c r="H23" s="27">
        <v>50</v>
      </c>
      <c r="I23" s="25">
        <v>0</v>
      </c>
      <c r="J23" s="27"/>
      <c r="K23" s="25">
        <v>5856.3</v>
      </c>
      <c r="L23" s="81"/>
      <c r="M23" s="239">
        <f t="shared" si="18"/>
        <v>5856.3</v>
      </c>
      <c r="N23" s="26">
        <v>3000</v>
      </c>
      <c r="O23" s="25">
        <v>0</v>
      </c>
      <c r="P23" s="26">
        <v>0</v>
      </c>
      <c r="Q23" s="27">
        <f t="shared" si="1"/>
        <v>0</v>
      </c>
      <c r="R23" s="27">
        <v>4166.6666599999999</v>
      </c>
      <c r="S23" s="25">
        <v>2071</v>
      </c>
      <c r="T23" s="26">
        <v>4363.3333300000004</v>
      </c>
      <c r="U23" s="183">
        <f t="shared" si="19"/>
        <v>18438.3</v>
      </c>
      <c r="V23" s="90">
        <f t="shared" si="20"/>
        <v>19696.666649999999</v>
      </c>
      <c r="W23" s="25">
        <v>0</v>
      </c>
      <c r="X23" s="26"/>
      <c r="Y23" s="92">
        <f>SUM(U23+W23)</f>
        <v>18438.3</v>
      </c>
      <c r="Z23" s="94">
        <f t="shared" si="21"/>
        <v>19696.666649999999</v>
      </c>
      <c r="AA23" s="29" t="s">
        <v>197</v>
      </c>
      <c r="AB23" s="30">
        <v>8</v>
      </c>
      <c r="AC23" s="31" t="s">
        <v>7</v>
      </c>
      <c r="AD23" s="32"/>
      <c r="AF23" s="221">
        <f t="shared" si="5"/>
        <v>16367.3</v>
      </c>
    </row>
    <row r="24" spans="1:32" ht="18.600000000000001" customHeight="1" x14ac:dyDescent="0.25">
      <c r="A24" s="33" t="s">
        <v>10</v>
      </c>
      <c r="B24" s="34">
        <f>SUM(B16+1)</f>
        <v>46</v>
      </c>
      <c r="C24" s="35">
        <f>SUM(C17:C23)</f>
        <v>64236.349999999991</v>
      </c>
      <c r="D24" s="82">
        <f t="shared" ref="D24:N24" si="23">SUM(D17:D23)</f>
        <v>56000</v>
      </c>
      <c r="E24" s="35">
        <f t="shared" si="23"/>
        <v>303.5</v>
      </c>
      <c r="F24" s="82">
        <f t="shared" si="23"/>
        <v>816.66661999999997</v>
      </c>
      <c r="G24" s="35">
        <f t="shared" si="23"/>
        <v>394.9</v>
      </c>
      <c r="H24" s="82">
        <f t="shared" si="23"/>
        <v>350</v>
      </c>
      <c r="I24" s="35">
        <f t="shared" si="23"/>
        <v>0</v>
      </c>
      <c r="J24" s="82">
        <f t="shared" si="23"/>
        <v>0</v>
      </c>
      <c r="K24" s="35">
        <f t="shared" si="23"/>
        <v>18156.899999999998</v>
      </c>
      <c r="L24" s="82">
        <f t="shared" ref="L24" si="24">SUM(L19:L23)</f>
        <v>0</v>
      </c>
      <c r="M24" s="82">
        <f>SUM(M17:M23)</f>
        <v>18156.899999999998</v>
      </c>
      <c r="N24" s="82">
        <f t="shared" si="23"/>
        <v>21000</v>
      </c>
      <c r="O24" s="35">
        <f>SUM(O17:O23)</f>
        <v>6032.5</v>
      </c>
      <c r="P24" s="36">
        <f>SUM(P17:P23)</f>
        <v>24266</v>
      </c>
      <c r="Q24" s="397">
        <f>SUM(Q17:Q23)</f>
        <v>30298.5</v>
      </c>
      <c r="R24" s="37">
        <f>SUM(R17:R23)</f>
        <v>29166.666619999996</v>
      </c>
      <c r="S24" s="35">
        <f t="shared" ref="S24:Z24" si="25">SUM(S17:S23)</f>
        <v>30223</v>
      </c>
      <c r="T24" s="82">
        <f t="shared" si="25"/>
        <v>30543.333310000005</v>
      </c>
      <c r="U24" s="35">
        <f t="shared" si="25"/>
        <v>143613.15</v>
      </c>
      <c r="V24" s="36">
        <f t="shared" si="25"/>
        <v>137876.66654999999</v>
      </c>
      <c r="W24" s="35">
        <f t="shared" si="25"/>
        <v>0</v>
      </c>
      <c r="X24" s="36">
        <f t="shared" si="25"/>
        <v>0</v>
      </c>
      <c r="Y24" s="35">
        <f>SUM(Y17:Y23)</f>
        <v>143613.15</v>
      </c>
      <c r="Z24" s="36">
        <f t="shared" si="25"/>
        <v>137876.66654999999</v>
      </c>
      <c r="AA24" s="39"/>
      <c r="AB24" s="40"/>
      <c r="AC24" s="41" t="s">
        <v>7</v>
      </c>
      <c r="AD24" s="42"/>
      <c r="AF24" s="221"/>
    </row>
    <row r="25" spans="1:32" ht="18.600000000000001" customHeight="1" x14ac:dyDescent="0.25">
      <c r="A25" s="44">
        <f>SUM(A23+1)</f>
        <v>18</v>
      </c>
      <c r="B25" s="15" t="s">
        <v>12</v>
      </c>
      <c r="C25" s="16">
        <v>4899.8999999999996</v>
      </c>
      <c r="D25" s="17">
        <v>8000</v>
      </c>
      <c r="E25" s="16">
        <v>0</v>
      </c>
      <c r="F25" s="18">
        <v>116.66665999999999</v>
      </c>
      <c r="G25" s="19">
        <v>40.6</v>
      </c>
      <c r="H25" s="18">
        <v>50</v>
      </c>
      <c r="I25" s="19">
        <v>0</v>
      </c>
      <c r="J25" s="18"/>
      <c r="K25" s="16">
        <v>0</v>
      </c>
      <c r="L25" s="80"/>
      <c r="M25" s="238">
        <f t="shared" ref="M25:M31" si="26">K25+L25</f>
        <v>0</v>
      </c>
      <c r="N25" s="17">
        <v>3000</v>
      </c>
      <c r="O25" s="16">
        <v>298.2</v>
      </c>
      <c r="P25" s="17">
        <v>1016</v>
      </c>
      <c r="Q25" s="17">
        <f t="shared" si="1"/>
        <v>1314.2</v>
      </c>
      <c r="R25" s="18">
        <v>4166.6666599999999</v>
      </c>
      <c r="S25" s="16">
        <v>4074.6</v>
      </c>
      <c r="T25" s="17">
        <v>4363.3333300000004</v>
      </c>
      <c r="U25" s="91">
        <f t="shared" ref="U25:U31" si="27">SUM(C25+E25+G25+I25+M25+Q25+S25)</f>
        <v>10329.299999999999</v>
      </c>
      <c r="V25" s="89">
        <f t="shared" ref="V25:V31" si="28">SUM(D25+F25+H25+J25+N25+R25+T25)</f>
        <v>19696.666649999999</v>
      </c>
      <c r="W25" s="16">
        <v>0</v>
      </c>
      <c r="X25" s="17"/>
      <c r="Y25" s="109">
        <f t="shared" ref="Y25:Z31" si="29">SUM(U25+W25)</f>
        <v>10329.299999999999</v>
      </c>
      <c r="Z25" s="110">
        <f t="shared" si="29"/>
        <v>19696.666649999999</v>
      </c>
      <c r="AA25" s="50" t="s">
        <v>198</v>
      </c>
      <c r="AB25" s="51">
        <v>7</v>
      </c>
      <c r="AC25" s="21" t="s">
        <v>7</v>
      </c>
      <c r="AD25" s="22"/>
      <c r="AF25" s="221">
        <f t="shared" si="5"/>
        <v>5238.7</v>
      </c>
    </row>
    <row r="26" spans="1:32" ht="18.600000000000001" customHeight="1" x14ac:dyDescent="0.25">
      <c r="A26" s="47">
        <f t="shared" ref="A26:A31" si="30">SUM(A25+1)</f>
        <v>19</v>
      </c>
      <c r="B26" s="15" t="s">
        <v>13</v>
      </c>
      <c r="C26" s="16">
        <v>5645.2</v>
      </c>
      <c r="D26" s="17">
        <v>8000</v>
      </c>
      <c r="E26" s="16">
        <v>0</v>
      </c>
      <c r="F26" s="18">
        <v>116.66665999999999</v>
      </c>
      <c r="G26" s="19">
        <v>5.3</v>
      </c>
      <c r="H26" s="18">
        <v>50</v>
      </c>
      <c r="I26" s="19">
        <v>0</v>
      </c>
      <c r="J26" s="18"/>
      <c r="K26" s="16">
        <v>0</v>
      </c>
      <c r="L26" s="80"/>
      <c r="M26" s="238">
        <f t="shared" si="26"/>
        <v>0</v>
      </c>
      <c r="N26" s="17">
        <v>3000</v>
      </c>
      <c r="O26" s="16">
        <v>4.5999999999999996</v>
      </c>
      <c r="P26" s="17">
        <v>1621</v>
      </c>
      <c r="Q26" s="217">
        <f t="shared" si="1"/>
        <v>1625.6</v>
      </c>
      <c r="R26" s="18">
        <v>4166.6666599999999</v>
      </c>
      <c r="S26" s="16">
        <v>3389.5</v>
      </c>
      <c r="T26" s="17">
        <v>4363.3333300000004</v>
      </c>
      <c r="U26" s="91">
        <f t="shared" si="27"/>
        <v>10665.6</v>
      </c>
      <c r="V26" s="89">
        <f t="shared" si="28"/>
        <v>19696.666649999999</v>
      </c>
      <c r="W26" s="16">
        <v>0</v>
      </c>
      <c r="X26" s="17"/>
      <c r="Y26" s="109">
        <f t="shared" si="29"/>
        <v>10665.6</v>
      </c>
      <c r="Z26" s="110">
        <f t="shared" si="29"/>
        <v>19696.666649999999</v>
      </c>
      <c r="AA26" s="45" t="s">
        <v>159</v>
      </c>
      <c r="AB26" s="46">
        <v>8</v>
      </c>
      <c r="AC26" s="21" t="s">
        <v>7</v>
      </c>
      <c r="AD26" s="22"/>
      <c r="AF26" s="221">
        <f t="shared" si="5"/>
        <v>5655.1</v>
      </c>
    </row>
    <row r="27" spans="1:32" ht="18.600000000000001" customHeight="1" x14ac:dyDescent="0.25">
      <c r="A27" s="47">
        <f t="shared" si="30"/>
        <v>20</v>
      </c>
      <c r="B27" s="15" t="s">
        <v>14</v>
      </c>
      <c r="C27" s="16">
        <v>6501.2</v>
      </c>
      <c r="D27" s="17">
        <v>8000</v>
      </c>
      <c r="E27" s="16">
        <v>0</v>
      </c>
      <c r="F27" s="18">
        <v>116.66665999999999</v>
      </c>
      <c r="G27" s="19">
        <v>0</v>
      </c>
      <c r="H27" s="18">
        <v>50</v>
      </c>
      <c r="I27" s="19">
        <v>0</v>
      </c>
      <c r="J27" s="18"/>
      <c r="K27" s="16">
        <v>1403.5</v>
      </c>
      <c r="L27" s="80"/>
      <c r="M27" s="238">
        <f t="shared" si="26"/>
        <v>1403.5</v>
      </c>
      <c r="N27" s="17">
        <v>3000</v>
      </c>
      <c r="O27" s="16">
        <v>440</v>
      </c>
      <c r="P27" s="17">
        <v>755.25</v>
      </c>
      <c r="Q27" s="217">
        <f t="shared" si="1"/>
        <v>1195.25</v>
      </c>
      <c r="R27" s="18">
        <v>4166.6666599999999</v>
      </c>
      <c r="S27" s="16">
        <v>1701.8</v>
      </c>
      <c r="T27" s="17">
        <v>4363.3333300000004</v>
      </c>
      <c r="U27" s="91">
        <f t="shared" si="27"/>
        <v>10801.75</v>
      </c>
      <c r="V27" s="89">
        <f t="shared" si="28"/>
        <v>19696.666649999999</v>
      </c>
      <c r="W27" s="16">
        <v>0</v>
      </c>
      <c r="X27" s="17"/>
      <c r="Y27" s="109">
        <f t="shared" si="29"/>
        <v>10801.75</v>
      </c>
      <c r="Z27" s="110">
        <f t="shared" si="29"/>
        <v>19696.666649999999</v>
      </c>
      <c r="AA27" s="45" t="s">
        <v>159</v>
      </c>
      <c r="AB27" s="46">
        <v>4</v>
      </c>
      <c r="AC27" s="21" t="s">
        <v>7</v>
      </c>
      <c r="AD27" s="22"/>
      <c r="AF27" s="221">
        <f t="shared" si="5"/>
        <v>8344.7000000000007</v>
      </c>
    </row>
    <row r="28" spans="1:32" ht="18.600000000000001" customHeight="1" x14ac:dyDescent="0.25">
      <c r="A28" s="47">
        <f t="shared" si="30"/>
        <v>21</v>
      </c>
      <c r="B28" s="15" t="s">
        <v>15</v>
      </c>
      <c r="C28" s="16">
        <v>4782.8</v>
      </c>
      <c r="D28" s="17">
        <v>8000</v>
      </c>
      <c r="E28" s="16">
        <v>0</v>
      </c>
      <c r="F28" s="18">
        <v>116.66665999999999</v>
      </c>
      <c r="G28" s="19">
        <v>0</v>
      </c>
      <c r="H28" s="18">
        <v>50</v>
      </c>
      <c r="I28" s="19">
        <v>0</v>
      </c>
      <c r="J28" s="18">
        <v>0</v>
      </c>
      <c r="K28" s="16">
        <v>898.6</v>
      </c>
      <c r="L28" s="80"/>
      <c r="M28" s="238">
        <f t="shared" si="26"/>
        <v>898.6</v>
      </c>
      <c r="N28" s="17">
        <v>3000</v>
      </c>
      <c r="O28" s="16">
        <v>2945.3</v>
      </c>
      <c r="P28" s="17">
        <v>10777.25</v>
      </c>
      <c r="Q28" s="217">
        <f t="shared" si="1"/>
        <v>13722.55</v>
      </c>
      <c r="R28" s="18">
        <v>4166.6666599999999</v>
      </c>
      <c r="S28" s="16">
        <v>3547.6</v>
      </c>
      <c r="T28" s="17">
        <v>4363.3333300000004</v>
      </c>
      <c r="U28" s="91">
        <f t="shared" si="27"/>
        <v>22951.55</v>
      </c>
      <c r="V28" s="89">
        <f t="shared" si="28"/>
        <v>19696.666649999999</v>
      </c>
      <c r="W28" s="16">
        <v>0</v>
      </c>
      <c r="X28" s="17"/>
      <c r="Y28" s="109">
        <f t="shared" si="29"/>
        <v>22951.55</v>
      </c>
      <c r="Z28" s="110">
        <f t="shared" si="29"/>
        <v>19696.666649999999</v>
      </c>
      <c r="AA28" s="45" t="s">
        <v>199</v>
      </c>
      <c r="AB28" s="46">
        <v>-1</v>
      </c>
      <c r="AC28" s="21" t="s">
        <v>7</v>
      </c>
      <c r="AD28" s="22"/>
      <c r="AF28" s="221">
        <f t="shared" si="5"/>
        <v>8626.7000000000007</v>
      </c>
    </row>
    <row r="29" spans="1:32" ht="18.600000000000001" customHeight="1" x14ac:dyDescent="0.25">
      <c r="A29" s="47">
        <f t="shared" si="30"/>
        <v>22</v>
      </c>
      <c r="B29" s="15" t="s">
        <v>6</v>
      </c>
      <c r="C29" s="16">
        <v>12069.9</v>
      </c>
      <c r="D29" s="17">
        <v>8000</v>
      </c>
      <c r="E29" s="16">
        <v>0</v>
      </c>
      <c r="F29" s="18">
        <v>116.66665999999999</v>
      </c>
      <c r="G29" s="19">
        <v>0</v>
      </c>
      <c r="H29" s="18">
        <v>50</v>
      </c>
      <c r="I29" s="19">
        <v>0</v>
      </c>
      <c r="J29" s="18"/>
      <c r="K29" s="16">
        <v>5834.1</v>
      </c>
      <c r="L29" s="80"/>
      <c r="M29" s="238">
        <f t="shared" si="26"/>
        <v>5834.1</v>
      </c>
      <c r="N29" s="17">
        <v>3000</v>
      </c>
      <c r="O29" s="16">
        <v>1701.3</v>
      </c>
      <c r="P29" s="17">
        <v>4945</v>
      </c>
      <c r="Q29" s="17">
        <f t="shared" si="1"/>
        <v>6646.3</v>
      </c>
      <c r="R29" s="18">
        <v>4166.6666599999999</v>
      </c>
      <c r="S29" s="16">
        <v>4854.1000000000004</v>
      </c>
      <c r="T29" s="17">
        <v>4363.3333300000004</v>
      </c>
      <c r="U29" s="91">
        <f t="shared" si="27"/>
        <v>29404.400000000001</v>
      </c>
      <c r="V29" s="89">
        <f t="shared" si="28"/>
        <v>19696.666649999999</v>
      </c>
      <c r="W29" s="16">
        <v>0</v>
      </c>
      <c r="X29" s="17"/>
      <c r="Y29" s="109">
        <f t="shared" si="29"/>
        <v>29404.400000000001</v>
      </c>
      <c r="Z29" s="110">
        <f t="shared" si="29"/>
        <v>19696.666649999999</v>
      </c>
      <c r="AA29" s="45" t="s">
        <v>200</v>
      </c>
      <c r="AB29" s="46">
        <v>-4</v>
      </c>
      <c r="AC29" s="21" t="s">
        <v>7</v>
      </c>
      <c r="AD29" s="22"/>
      <c r="AF29" s="221">
        <f t="shared" si="5"/>
        <v>19605.3</v>
      </c>
    </row>
    <row r="30" spans="1:32" ht="18.600000000000001" customHeight="1" x14ac:dyDescent="0.25">
      <c r="A30" s="23">
        <f t="shared" si="30"/>
        <v>23</v>
      </c>
      <c r="B30" s="24" t="s">
        <v>8</v>
      </c>
      <c r="C30" s="25">
        <v>9774.2999999999993</v>
      </c>
      <c r="D30" s="26">
        <v>8000</v>
      </c>
      <c r="E30" s="25">
        <v>0</v>
      </c>
      <c r="F30" s="27">
        <v>116.66665999999999</v>
      </c>
      <c r="G30" s="28">
        <v>0</v>
      </c>
      <c r="H30" s="27">
        <v>50</v>
      </c>
      <c r="I30" s="25">
        <v>0</v>
      </c>
      <c r="J30" s="27"/>
      <c r="K30" s="25">
        <v>13601</v>
      </c>
      <c r="L30" s="81"/>
      <c r="M30" s="239">
        <f t="shared" si="26"/>
        <v>13601</v>
      </c>
      <c r="N30" s="26">
        <v>3000</v>
      </c>
      <c r="O30" s="25">
        <v>552.79999999999995</v>
      </c>
      <c r="P30" s="26">
        <v>3175.5</v>
      </c>
      <c r="Q30" s="27">
        <f t="shared" si="1"/>
        <v>3728.3</v>
      </c>
      <c r="R30" s="27">
        <v>4166.6666599999999</v>
      </c>
      <c r="S30" s="25">
        <v>8714.7000000000007</v>
      </c>
      <c r="T30" s="26">
        <v>4363.3333300000004</v>
      </c>
      <c r="U30" s="183">
        <f t="shared" si="27"/>
        <v>35818.300000000003</v>
      </c>
      <c r="V30" s="90">
        <f t="shared" si="28"/>
        <v>19696.666649999999</v>
      </c>
      <c r="W30" s="25">
        <v>0</v>
      </c>
      <c r="X30" s="26"/>
      <c r="Y30" s="92">
        <f t="shared" si="29"/>
        <v>35818.300000000003</v>
      </c>
      <c r="Z30" s="94">
        <f t="shared" si="29"/>
        <v>19696.666649999999</v>
      </c>
      <c r="AA30" s="29" t="s">
        <v>201</v>
      </c>
      <c r="AB30" s="30">
        <v>6</v>
      </c>
      <c r="AC30" s="31" t="s">
        <v>7</v>
      </c>
      <c r="AD30" s="32"/>
      <c r="AF30" s="221">
        <f t="shared" si="5"/>
        <v>23928.1</v>
      </c>
    </row>
    <row r="31" spans="1:32" ht="18.600000000000001" customHeight="1" x14ac:dyDescent="0.25">
      <c r="A31" s="23">
        <f t="shared" si="30"/>
        <v>24</v>
      </c>
      <c r="B31" s="24" t="s">
        <v>9</v>
      </c>
      <c r="C31" s="25">
        <v>7950.9</v>
      </c>
      <c r="D31" s="26">
        <v>8000</v>
      </c>
      <c r="E31" s="25">
        <v>0</v>
      </c>
      <c r="F31" s="27">
        <v>116.66665999999999</v>
      </c>
      <c r="G31" s="28">
        <v>20</v>
      </c>
      <c r="H31" s="27">
        <v>50</v>
      </c>
      <c r="I31" s="25">
        <v>0</v>
      </c>
      <c r="J31" s="27"/>
      <c r="K31" s="25">
        <v>7673.7</v>
      </c>
      <c r="L31" s="81"/>
      <c r="M31" s="239">
        <f t="shared" si="26"/>
        <v>7673.7</v>
      </c>
      <c r="N31" s="26">
        <v>3000</v>
      </c>
      <c r="O31" s="25">
        <v>250</v>
      </c>
      <c r="P31" s="26">
        <v>0</v>
      </c>
      <c r="Q31" s="27">
        <f t="shared" si="1"/>
        <v>250</v>
      </c>
      <c r="R31" s="27">
        <v>4166.6666599999999</v>
      </c>
      <c r="S31" s="25">
        <v>1886.9</v>
      </c>
      <c r="T31" s="26">
        <v>4363.3333300000004</v>
      </c>
      <c r="U31" s="183">
        <f t="shared" si="27"/>
        <v>17781.5</v>
      </c>
      <c r="V31" s="90">
        <f t="shared" si="28"/>
        <v>19696.666649999999</v>
      </c>
      <c r="W31" s="25">
        <v>0</v>
      </c>
      <c r="X31" s="26"/>
      <c r="Y31" s="92">
        <f t="shared" si="29"/>
        <v>17781.5</v>
      </c>
      <c r="Z31" s="94">
        <f t="shared" si="29"/>
        <v>19696.666649999999</v>
      </c>
      <c r="AA31" s="29" t="s">
        <v>58</v>
      </c>
      <c r="AB31" s="30">
        <v>6</v>
      </c>
      <c r="AC31" s="31" t="s">
        <v>7</v>
      </c>
      <c r="AD31" s="32"/>
      <c r="AF31" s="221">
        <f t="shared" si="5"/>
        <v>15894.599999999999</v>
      </c>
    </row>
    <row r="32" spans="1:32" ht="18.600000000000001" customHeight="1" x14ac:dyDescent="0.25">
      <c r="A32" s="33" t="s">
        <v>10</v>
      </c>
      <c r="B32" s="34">
        <f>SUM(B24+1)</f>
        <v>47</v>
      </c>
      <c r="C32" s="35">
        <f>SUM(C25:C31)</f>
        <v>51624.200000000004</v>
      </c>
      <c r="D32" s="82">
        <f t="shared" ref="D32:N32" si="31">SUM(D25:D31)</f>
        <v>56000</v>
      </c>
      <c r="E32" s="35">
        <f t="shared" si="31"/>
        <v>0</v>
      </c>
      <c r="F32" s="82">
        <f t="shared" si="31"/>
        <v>816.66661999999997</v>
      </c>
      <c r="G32" s="35">
        <f t="shared" si="31"/>
        <v>65.900000000000006</v>
      </c>
      <c r="H32" s="82">
        <f t="shared" si="31"/>
        <v>350</v>
      </c>
      <c r="I32" s="261">
        <f t="shared" si="31"/>
        <v>0</v>
      </c>
      <c r="J32" s="35">
        <f t="shared" si="31"/>
        <v>0</v>
      </c>
      <c r="K32" s="35">
        <f t="shared" si="31"/>
        <v>29410.9</v>
      </c>
      <c r="L32" s="82">
        <f t="shared" ref="L32:M32" si="32">SUM(L27:L31)</f>
        <v>0</v>
      </c>
      <c r="M32" s="82">
        <f t="shared" si="32"/>
        <v>29410.9</v>
      </c>
      <c r="N32" s="82">
        <f t="shared" si="31"/>
        <v>21000</v>
      </c>
      <c r="O32" s="35">
        <f>SUM(O25:O31)</f>
        <v>6192.2000000000007</v>
      </c>
      <c r="P32" s="36">
        <f>SUM(P25:P31)</f>
        <v>22290</v>
      </c>
      <c r="Q32" s="397">
        <f>SUM(Q25:Q31)</f>
        <v>28482.199999999997</v>
      </c>
      <c r="R32" s="37">
        <f>SUM(R25:R31)</f>
        <v>29166.666619999996</v>
      </c>
      <c r="S32" s="35">
        <f t="shared" ref="S32:Z32" si="33">SUM(S25:S31)</f>
        <v>28169.200000000001</v>
      </c>
      <c r="T32" s="82">
        <f t="shared" si="33"/>
        <v>30543.333310000005</v>
      </c>
      <c r="U32" s="35">
        <f t="shared" si="33"/>
        <v>137752.40000000002</v>
      </c>
      <c r="V32" s="36">
        <f t="shared" si="33"/>
        <v>137876.66654999999</v>
      </c>
      <c r="W32" s="35">
        <f t="shared" si="33"/>
        <v>0</v>
      </c>
      <c r="X32" s="36">
        <f t="shared" si="33"/>
        <v>0</v>
      </c>
      <c r="Y32" s="35">
        <f>SUM(Y25:Y31)</f>
        <v>137752.40000000002</v>
      </c>
      <c r="Z32" s="36">
        <f t="shared" si="33"/>
        <v>137876.66654999999</v>
      </c>
      <c r="AA32" s="39"/>
      <c r="AB32" s="40"/>
      <c r="AC32" s="41" t="s">
        <v>7</v>
      </c>
      <c r="AD32" s="42"/>
      <c r="AF32" s="221"/>
    </row>
    <row r="33" spans="1:32" ht="18.600000000000001" customHeight="1" x14ac:dyDescent="0.25">
      <c r="A33" s="44">
        <f>SUM(A31+1)</f>
        <v>25</v>
      </c>
      <c r="B33" s="15" t="s">
        <v>12</v>
      </c>
      <c r="C33" s="16">
        <v>6494.8</v>
      </c>
      <c r="D33" s="17">
        <v>8000</v>
      </c>
      <c r="E33" s="16">
        <v>0</v>
      </c>
      <c r="F33" s="18">
        <v>116.66665999999999</v>
      </c>
      <c r="G33" s="19">
        <v>50.6</v>
      </c>
      <c r="H33" s="18">
        <v>50</v>
      </c>
      <c r="I33" s="19">
        <v>0</v>
      </c>
      <c r="J33" s="18"/>
      <c r="K33" s="16">
        <v>0</v>
      </c>
      <c r="L33" s="80"/>
      <c r="M33" s="238">
        <f t="shared" ref="M33:M38" si="34">K33+L33</f>
        <v>0</v>
      </c>
      <c r="N33" s="17">
        <v>3000</v>
      </c>
      <c r="O33" s="16">
        <v>479.1</v>
      </c>
      <c r="P33" s="17">
        <v>1753</v>
      </c>
      <c r="Q33" s="17">
        <f t="shared" si="1"/>
        <v>2232.1</v>
      </c>
      <c r="R33" s="18">
        <v>4166.6666599999999</v>
      </c>
      <c r="S33" s="16">
        <v>3191.5</v>
      </c>
      <c r="T33" s="17">
        <v>4363.3333300000004</v>
      </c>
      <c r="U33" s="91">
        <f t="shared" ref="U33:U38" si="35">SUM(C33+E33+G33+I33+M33+Q33+S33)</f>
        <v>11969</v>
      </c>
      <c r="V33" s="89">
        <f t="shared" ref="V33:V38" si="36">SUM(D33+F33+H33+J33+N33+R33+T33)</f>
        <v>19696.666649999999</v>
      </c>
      <c r="W33" s="16">
        <v>0</v>
      </c>
      <c r="X33" s="17"/>
      <c r="Y33" s="109">
        <f t="shared" ref="Y33:Z38" si="37">SUM(U33+W33)</f>
        <v>11969</v>
      </c>
      <c r="Z33" s="110">
        <f t="shared" si="37"/>
        <v>19696.666649999999</v>
      </c>
      <c r="AA33" s="45" t="s">
        <v>202</v>
      </c>
      <c r="AB33" s="46">
        <v>10</v>
      </c>
      <c r="AC33" s="21" t="s">
        <v>7</v>
      </c>
      <c r="AD33" s="22"/>
      <c r="AF33" s="221">
        <f t="shared" si="5"/>
        <v>7024.5000000000009</v>
      </c>
    </row>
    <row r="34" spans="1:32" ht="18.600000000000001" customHeight="1" x14ac:dyDescent="0.25">
      <c r="A34" s="44">
        <f>SUM(A33+1)</f>
        <v>26</v>
      </c>
      <c r="B34" s="15" t="s">
        <v>13</v>
      </c>
      <c r="C34" s="16">
        <v>5739.1</v>
      </c>
      <c r="D34" s="17">
        <v>8000</v>
      </c>
      <c r="E34" s="16">
        <v>0</v>
      </c>
      <c r="F34" s="18">
        <v>116.66665999999999</v>
      </c>
      <c r="G34" s="19">
        <v>32.1</v>
      </c>
      <c r="H34" s="18">
        <v>50</v>
      </c>
      <c r="I34" s="19">
        <v>0</v>
      </c>
      <c r="J34" s="18"/>
      <c r="K34" s="16">
        <v>1041</v>
      </c>
      <c r="L34" s="80"/>
      <c r="M34" s="238">
        <f t="shared" si="34"/>
        <v>1041</v>
      </c>
      <c r="N34" s="17">
        <v>3000</v>
      </c>
      <c r="O34" s="16">
        <v>696</v>
      </c>
      <c r="P34" s="17">
        <v>2378</v>
      </c>
      <c r="Q34" s="17">
        <f t="shared" si="1"/>
        <v>3074</v>
      </c>
      <c r="R34" s="18">
        <v>4166.6666599999999</v>
      </c>
      <c r="S34" s="16">
        <v>3818.7</v>
      </c>
      <c r="T34" s="17">
        <v>4363.3333300000004</v>
      </c>
      <c r="U34" s="91">
        <f t="shared" si="35"/>
        <v>13704.900000000001</v>
      </c>
      <c r="V34" s="89">
        <f t="shared" si="36"/>
        <v>19696.666649999999</v>
      </c>
      <c r="W34" s="16">
        <v>0</v>
      </c>
      <c r="X34" s="17"/>
      <c r="Y34" s="109">
        <f t="shared" si="37"/>
        <v>13704.900000000001</v>
      </c>
      <c r="Z34" s="110">
        <f t="shared" si="37"/>
        <v>19696.666649999999</v>
      </c>
      <c r="AA34" s="45" t="s">
        <v>58</v>
      </c>
      <c r="AB34" s="46">
        <v>8</v>
      </c>
      <c r="AC34" s="21" t="s">
        <v>7</v>
      </c>
      <c r="AD34" s="22"/>
      <c r="AF34" s="221">
        <f t="shared" si="5"/>
        <v>7508.2000000000007</v>
      </c>
    </row>
    <row r="35" spans="1:32" ht="18.600000000000001" customHeight="1" x14ac:dyDescent="0.25">
      <c r="A35" s="44">
        <f t="shared" ref="A35:A38" si="38">SUM(A34+1)</f>
        <v>27</v>
      </c>
      <c r="B35" s="15" t="s">
        <v>14</v>
      </c>
      <c r="C35" s="16">
        <v>4978.5</v>
      </c>
      <c r="D35" s="17">
        <v>8000</v>
      </c>
      <c r="E35" s="16">
        <v>0</v>
      </c>
      <c r="F35" s="18">
        <v>116.66665999999999</v>
      </c>
      <c r="G35" s="19">
        <v>100.9</v>
      </c>
      <c r="H35" s="18">
        <v>50</v>
      </c>
      <c r="I35" s="19">
        <v>0</v>
      </c>
      <c r="J35" s="18"/>
      <c r="K35" s="16">
        <v>2667.8</v>
      </c>
      <c r="L35" s="80"/>
      <c r="M35" s="238">
        <f t="shared" si="34"/>
        <v>2667.8</v>
      </c>
      <c r="N35" s="17">
        <v>3000</v>
      </c>
      <c r="O35" s="16">
        <v>275.5</v>
      </c>
      <c r="P35" s="17">
        <v>0</v>
      </c>
      <c r="Q35" s="17">
        <f t="shared" si="1"/>
        <v>275.5</v>
      </c>
      <c r="R35" s="18">
        <v>4166.6666599999999</v>
      </c>
      <c r="S35" s="16">
        <v>5838.7</v>
      </c>
      <c r="T35" s="17">
        <v>4363.3333300000004</v>
      </c>
      <c r="U35" s="91">
        <f t="shared" si="35"/>
        <v>13861.4</v>
      </c>
      <c r="V35" s="89">
        <f t="shared" ref="V35" si="39">SUM(D35+F35+H35+J35+N35+R35+T35)</f>
        <v>19696.666649999999</v>
      </c>
      <c r="W35" s="16">
        <v>0</v>
      </c>
      <c r="X35" s="17"/>
      <c r="Y35" s="109">
        <f>SUM(U35+W35)</f>
        <v>13861.4</v>
      </c>
      <c r="Z35" s="110">
        <f>SUM(V35+X35)</f>
        <v>19696.666649999999</v>
      </c>
      <c r="AA35" s="45" t="s">
        <v>58</v>
      </c>
      <c r="AB35" s="46">
        <v>4</v>
      </c>
      <c r="AC35" s="21" t="s">
        <v>7</v>
      </c>
      <c r="AD35" s="22"/>
      <c r="AF35" s="221">
        <f t="shared" si="5"/>
        <v>8022.7</v>
      </c>
    </row>
    <row r="36" spans="1:32" ht="18.600000000000001" customHeight="1" x14ac:dyDescent="0.25">
      <c r="A36" s="44">
        <f t="shared" si="38"/>
        <v>28</v>
      </c>
      <c r="B36" s="15" t="s">
        <v>100</v>
      </c>
      <c r="C36" s="16">
        <v>6155.5</v>
      </c>
      <c r="D36" s="17">
        <v>8000</v>
      </c>
      <c r="E36" s="16">
        <v>0</v>
      </c>
      <c r="F36" s="18">
        <v>116.66665999999999</v>
      </c>
      <c r="G36" s="19">
        <v>0</v>
      </c>
      <c r="H36" s="18">
        <v>50</v>
      </c>
      <c r="I36" s="19">
        <v>0</v>
      </c>
      <c r="J36" s="18"/>
      <c r="K36" s="16">
        <v>0</v>
      </c>
      <c r="L36" s="80"/>
      <c r="M36" s="238">
        <f t="shared" si="34"/>
        <v>0</v>
      </c>
      <c r="N36" s="17">
        <v>3000</v>
      </c>
      <c r="O36" s="16">
        <v>4770.5</v>
      </c>
      <c r="P36" s="17">
        <v>12004</v>
      </c>
      <c r="Q36" s="17">
        <f t="shared" si="1"/>
        <v>16774.5</v>
      </c>
      <c r="R36" s="18">
        <v>4166.6666599999999</v>
      </c>
      <c r="S36" s="16">
        <v>8969.5</v>
      </c>
      <c r="T36" s="17">
        <v>4363.3333300000004</v>
      </c>
      <c r="U36" s="91">
        <f t="shared" si="35"/>
        <v>31899.5</v>
      </c>
      <c r="V36" s="89">
        <f t="shared" ref="V36:V37" si="40">SUM(D36+F36+H36+J36+N36+R36+T36)</f>
        <v>19696.666649999999</v>
      </c>
      <c r="W36" s="16">
        <v>0</v>
      </c>
      <c r="X36" s="17"/>
      <c r="Y36" s="109">
        <f t="shared" ref="Y36:Y37" si="41">SUM(U36+W36)</f>
        <v>31899.5</v>
      </c>
      <c r="Z36" s="110">
        <f t="shared" ref="Z36:Z37" si="42">SUM(V36+X36)</f>
        <v>19696.666649999999</v>
      </c>
      <c r="AA36" s="45" t="s">
        <v>159</v>
      </c>
      <c r="AB36" s="46">
        <v>8</v>
      </c>
      <c r="AC36" s="21" t="s">
        <v>7</v>
      </c>
      <c r="AD36" s="22"/>
      <c r="AF36" s="221">
        <f t="shared" si="5"/>
        <v>10926</v>
      </c>
    </row>
    <row r="37" spans="1:32" ht="18.600000000000001" customHeight="1" x14ac:dyDescent="0.25">
      <c r="A37" s="44">
        <f t="shared" si="38"/>
        <v>29</v>
      </c>
      <c r="B37" s="15" t="s">
        <v>123</v>
      </c>
      <c r="C37" s="16">
        <v>14438.1</v>
      </c>
      <c r="D37" s="17">
        <v>8000</v>
      </c>
      <c r="E37" s="16">
        <v>0</v>
      </c>
      <c r="F37" s="18">
        <v>116.66665999999999</v>
      </c>
      <c r="G37" s="19">
        <v>0</v>
      </c>
      <c r="H37" s="18">
        <v>50</v>
      </c>
      <c r="I37" s="19">
        <v>0</v>
      </c>
      <c r="J37" s="18"/>
      <c r="K37" s="16">
        <v>15062.5</v>
      </c>
      <c r="L37" s="80"/>
      <c r="M37" s="238">
        <f t="shared" si="34"/>
        <v>15062.5</v>
      </c>
      <c r="N37" s="17">
        <v>3000</v>
      </c>
      <c r="O37" s="16">
        <v>269.8</v>
      </c>
      <c r="P37" s="17">
        <v>4834</v>
      </c>
      <c r="Q37" s="17">
        <f t="shared" si="1"/>
        <v>5103.8</v>
      </c>
      <c r="R37" s="18">
        <v>4166.6666599999999</v>
      </c>
      <c r="S37" s="16">
        <v>2633.8</v>
      </c>
      <c r="T37" s="17">
        <v>4363.3333300000004</v>
      </c>
      <c r="U37" s="91">
        <f t="shared" si="35"/>
        <v>37238.200000000004</v>
      </c>
      <c r="V37" s="89">
        <f t="shared" si="40"/>
        <v>19696.666649999999</v>
      </c>
      <c r="W37" s="16">
        <v>0</v>
      </c>
      <c r="X37" s="17"/>
      <c r="Y37" s="109">
        <f t="shared" si="41"/>
        <v>37238.200000000004</v>
      </c>
      <c r="Z37" s="110">
        <f t="shared" si="42"/>
        <v>19696.666649999999</v>
      </c>
      <c r="AA37" s="45" t="s">
        <v>203</v>
      </c>
      <c r="AB37" s="46">
        <v>2</v>
      </c>
      <c r="AC37" s="21" t="s">
        <v>7</v>
      </c>
      <c r="AD37" s="22"/>
      <c r="AF37" s="221">
        <f t="shared" si="5"/>
        <v>29770.399999999998</v>
      </c>
    </row>
    <row r="38" spans="1:32" ht="18.600000000000001" customHeight="1" x14ac:dyDescent="0.25">
      <c r="A38" s="23">
        <f t="shared" si="38"/>
        <v>30</v>
      </c>
      <c r="B38" s="24" t="s">
        <v>125</v>
      </c>
      <c r="C38" s="25">
        <v>10543.8</v>
      </c>
      <c r="D38" s="26">
        <v>8000</v>
      </c>
      <c r="E38" s="25">
        <v>0</v>
      </c>
      <c r="F38" s="27">
        <v>116.66665999999999</v>
      </c>
      <c r="G38" s="28">
        <v>0</v>
      </c>
      <c r="H38" s="27">
        <v>50</v>
      </c>
      <c r="I38" s="28">
        <v>0</v>
      </c>
      <c r="J38" s="27"/>
      <c r="K38" s="25">
        <v>0</v>
      </c>
      <c r="L38" s="81"/>
      <c r="M38" s="239">
        <f t="shared" si="34"/>
        <v>0</v>
      </c>
      <c r="N38" s="26">
        <v>3000</v>
      </c>
      <c r="O38" s="25">
        <v>820.3</v>
      </c>
      <c r="P38" s="26">
        <v>0</v>
      </c>
      <c r="Q38" s="26">
        <f t="shared" si="1"/>
        <v>820.3</v>
      </c>
      <c r="R38" s="27">
        <v>4166.6666599999999</v>
      </c>
      <c r="S38" s="25">
        <v>5354.4</v>
      </c>
      <c r="T38" s="26">
        <v>4363.3333300000004</v>
      </c>
      <c r="U38" s="183">
        <f t="shared" si="35"/>
        <v>16718.5</v>
      </c>
      <c r="V38" s="90">
        <f t="shared" si="36"/>
        <v>19696.666649999999</v>
      </c>
      <c r="W38" s="25">
        <v>0</v>
      </c>
      <c r="X38" s="26"/>
      <c r="Y38" s="92">
        <f t="shared" si="37"/>
        <v>16718.5</v>
      </c>
      <c r="Z38" s="234">
        <f t="shared" si="37"/>
        <v>19696.666649999999</v>
      </c>
      <c r="AA38" s="29" t="s">
        <v>166</v>
      </c>
      <c r="AB38" s="30">
        <v>3</v>
      </c>
      <c r="AC38" s="31" t="s">
        <v>7</v>
      </c>
      <c r="AD38" s="32"/>
      <c r="AF38" s="221">
        <f t="shared" si="5"/>
        <v>11364.099999999999</v>
      </c>
    </row>
    <row r="39" spans="1:32" ht="18.600000000000001" customHeight="1" thickBot="1" x14ac:dyDescent="0.3">
      <c r="A39" s="33" t="s">
        <v>10</v>
      </c>
      <c r="B39" s="34">
        <f>SUM(B32+1)</f>
        <v>48</v>
      </c>
      <c r="C39" s="68">
        <f>SUM(C33:C38)</f>
        <v>48349.8</v>
      </c>
      <c r="D39" s="70">
        <f>SUM(D33:D38)</f>
        <v>48000</v>
      </c>
      <c r="E39" s="68">
        <f t="shared" ref="E39:I39" si="43">SUM(E33:E38)</f>
        <v>0</v>
      </c>
      <c r="F39" s="70">
        <f>SUM(F33:F38)</f>
        <v>699.99995999999999</v>
      </c>
      <c r="G39" s="262">
        <f t="shared" si="43"/>
        <v>183.60000000000002</v>
      </c>
      <c r="H39" s="68">
        <f>SUM(H33:H38)</f>
        <v>300</v>
      </c>
      <c r="I39" s="68">
        <f t="shared" si="43"/>
        <v>0</v>
      </c>
      <c r="J39" s="70">
        <f t="shared" ref="J39:R39" si="44">SUM(J33:J38)</f>
        <v>0</v>
      </c>
      <c r="K39" s="68">
        <f t="shared" si="44"/>
        <v>18771.3</v>
      </c>
      <c r="L39" s="70">
        <f t="shared" si="44"/>
        <v>0</v>
      </c>
      <c r="M39" s="306">
        <f t="shared" si="44"/>
        <v>18771.3</v>
      </c>
      <c r="N39" s="70">
        <f t="shared" si="44"/>
        <v>18000</v>
      </c>
      <c r="O39" s="68">
        <f t="shared" si="44"/>
        <v>7311.2000000000007</v>
      </c>
      <c r="P39" s="71">
        <f t="shared" si="44"/>
        <v>20969</v>
      </c>
      <c r="Q39" s="398">
        <f t="shared" si="44"/>
        <v>28280.199999999997</v>
      </c>
      <c r="R39" s="82">
        <f t="shared" si="44"/>
        <v>24999.999959999997</v>
      </c>
      <c r="S39" s="68">
        <f t="shared" ref="S39:X39" si="45">SUM(S33:S38)</f>
        <v>29806.6</v>
      </c>
      <c r="T39" s="82">
        <f>SUM(T33:T38)</f>
        <v>26179.999980000004</v>
      </c>
      <c r="U39" s="68">
        <f t="shared" si="45"/>
        <v>125391.5</v>
      </c>
      <c r="V39" s="82">
        <f>SUM(V33:V38)</f>
        <v>118179.9999</v>
      </c>
      <c r="W39" s="68">
        <f t="shared" si="45"/>
        <v>0</v>
      </c>
      <c r="X39" s="82">
        <f t="shared" si="45"/>
        <v>0</v>
      </c>
      <c r="Y39" s="68">
        <f>SUM(Y33:Y38)</f>
        <v>125391.5</v>
      </c>
      <c r="Z39" s="36">
        <f>SUM(Z33:Z38)</f>
        <v>118179.9999</v>
      </c>
      <c r="AA39" s="39" t="s">
        <v>11</v>
      </c>
      <c r="AB39" s="40">
        <f>SUM(AB33:AB38)/2</f>
        <v>17.5</v>
      </c>
      <c r="AC39" s="41" t="s">
        <v>7</v>
      </c>
      <c r="AD39" s="42"/>
      <c r="AF39" s="221">
        <f>SUM(AF5:AG38)</f>
        <v>380981.45</v>
      </c>
    </row>
    <row r="40" spans="1:32" ht="19.149999999999999" customHeight="1" x14ac:dyDescent="0.25">
      <c r="A40" s="175" t="s">
        <v>16</v>
      </c>
      <c r="B40" s="127"/>
      <c r="C40" s="115">
        <f>SUM(C8+C16+C24+C32+C39)</f>
        <v>254793.95</v>
      </c>
      <c r="D40" s="116">
        <f t="shared" ref="D40:I40" si="46">SUM(D8+D16+D24+D32+D39)</f>
        <v>240000</v>
      </c>
      <c r="E40" s="115">
        <f t="shared" si="46"/>
        <v>1808.1</v>
      </c>
      <c r="F40" s="116">
        <f t="shared" si="46"/>
        <v>3499.9998000000001</v>
      </c>
      <c r="G40" s="115">
        <f t="shared" si="46"/>
        <v>1436.6999999999998</v>
      </c>
      <c r="H40" s="116">
        <f t="shared" si="46"/>
        <v>1500</v>
      </c>
      <c r="I40" s="115">
        <f t="shared" si="46"/>
        <v>0</v>
      </c>
      <c r="J40" s="116">
        <f>SUM(J8+J16+J24+J32+J39)</f>
        <v>0</v>
      </c>
      <c r="K40" s="116">
        <f>SUM(K8+K16+K24+H1024+K32+K39)</f>
        <v>96432.2</v>
      </c>
      <c r="L40" s="116">
        <f t="shared" ref="L40:P40" si="47">SUM(L8+L16+L24+L32+L39)</f>
        <v>0</v>
      </c>
      <c r="M40" s="116">
        <f>SUM(M8+M16+M24+M32+M39)</f>
        <v>96432.2</v>
      </c>
      <c r="N40" s="116">
        <f t="shared" si="47"/>
        <v>90000</v>
      </c>
      <c r="O40" s="116">
        <f>SUM(O8+O16+O24+O32+O39)</f>
        <v>26510.500000000004</v>
      </c>
      <c r="P40" s="116">
        <f t="shared" si="47"/>
        <v>91294</v>
      </c>
      <c r="Q40" s="116">
        <f>SUM(Q8+Q16+Q24+Q32+Q39)</f>
        <v>117804.49999999999</v>
      </c>
      <c r="R40" s="116">
        <f>SUM(R8+R16+R24+R32+R39)</f>
        <v>124999.99980000001</v>
      </c>
      <c r="S40" s="115">
        <f t="shared" ref="S40:X40" si="48">SUM(S8+S16+S24+S32+S39)</f>
        <v>127068.1</v>
      </c>
      <c r="T40" s="116">
        <f>SUM(T8+T16+T24+T32+T39)</f>
        <v>130899.99990000002</v>
      </c>
      <c r="U40" s="271">
        <f>SUM(U8+U16+U24+U32+U39)</f>
        <v>599343.55000000005</v>
      </c>
      <c r="V40" s="116">
        <f>SUM(V8+V16+V24+V32+V39)</f>
        <v>590899.99949999992</v>
      </c>
      <c r="W40" s="115">
        <f t="shared" si="48"/>
        <v>0</v>
      </c>
      <c r="X40" s="116">
        <f t="shared" si="48"/>
        <v>0</v>
      </c>
      <c r="Y40" s="115">
        <f>SUM(Y8+Y16+Y24+Y32+Y39)</f>
        <v>599343.55000000005</v>
      </c>
      <c r="Z40" s="116">
        <f>SUM(Z8+Z16+Z24+Z32+Z39)</f>
        <v>590899.99949999992</v>
      </c>
      <c r="AA40" s="126" t="s">
        <v>16</v>
      </c>
      <c r="AB40" s="101"/>
      <c r="AC40" s="102"/>
      <c r="AD40" s="103"/>
    </row>
    <row r="41" spans="1:32" ht="19.149999999999999" customHeight="1" thickBot="1" x14ac:dyDescent="0.3">
      <c r="A41" s="177" t="s">
        <v>28</v>
      </c>
      <c r="B41" s="178"/>
      <c r="C41" s="65">
        <f>C40/30</f>
        <v>8493.1316666666662</v>
      </c>
      <c r="D41" s="83">
        <f t="shared" ref="D41:Z41" si="49">D40/30</f>
        <v>8000</v>
      </c>
      <c r="E41" s="65">
        <f t="shared" si="49"/>
        <v>60.269999999999996</v>
      </c>
      <c r="F41" s="83">
        <f t="shared" si="49"/>
        <v>116.66666000000001</v>
      </c>
      <c r="G41" s="65">
        <f t="shared" si="49"/>
        <v>47.889999999999993</v>
      </c>
      <c r="H41" s="83">
        <f t="shared" si="49"/>
        <v>50</v>
      </c>
      <c r="I41" s="65">
        <f t="shared" si="49"/>
        <v>0</v>
      </c>
      <c r="J41" s="66">
        <f t="shared" si="49"/>
        <v>0</v>
      </c>
      <c r="K41" s="83">
        <f t="shared" si="49"/>
        <v>3214.4066666666668</v>
      </c>
      <c r="L41" s="83">
        <f t="shared" si="49"/>
        <v>0</v>
      </c>
      <c r="M41" s="83">
        <f t="shared" si="49"/>
        <v>3214.4066666666668</v>
      </c>
      <c r="N41" s="83">
        <f t="shared" si="49"/>
        <v>3000</v>
      </c>
      <c r="O41" s="65">
        <f t="shared" si="49"/>
        <v>883.68333333333351</v>
      </c>
      <c r="P41" s="67">
        <f t="shared" si="49"/>
        <v>3043.1333333333332</v>
      </c>
      <c r="Q41" s="65">
        <f t="shared" si="1"/>
        <v>3926.8166666666666</v>
      </c>
      <c r="R41" s="65">
        <f t="shared" si="49"/>
        <v>4166.6666599999999</v>
      </c>
      <c r="S41" s="65">
        <f t="shared" si="49"/>
        <v>4235.6033333333335</v>
      </c>
      <c r="T41" s="83">
        <f t="shared" si="49"/>
        <v>4363.3333300000004</v>
      </c>
      <c r="U41" s="264">
        <f t="shared" si="49"/>
        <v>19978.118333333336</v>
      </c>
      <c r="V41" s="66">
        <f t="shared" si="49"/>
        <v>19696.666649999996</v>
      </c>
      <c r="W41" s="65">
        <f t="shared" si="49"/>
        <v>0</v>
      </c>
      <c r="X41" s="83">
        <f t="shared" si="49"/>
        <v>0</v>
      </c>
      <c r="Y41" s="65">
        <f t="shared" si="49"/>
        <v>19978.118333333336</v>
      </c>
      <c r="Z41" s="83">
        <f t="shared" si="49"/>
        <v>19696.666649999996</v>
      </c>
      <c r="AA41" s="69" t="s">
        <v>17</v>
      </c>
      <c r="AB41" s="98"/>
      <c r="AC41" s="99"/>
      <c r="AD41" s="100"/>
    </row>
    <row r="42" spans="1:32" ht="20.100000000000001" customHeight="1" x14ac:dyDescent="0.25">
      <c r="A42" s="72" t="s">
        <v>18</v>
      </c>
      <c r="B42" s="73"/>
      <c r="C42" s="74">
        <f>SUM(C40-D40)</f>
        <v>14793.950000000012</v>
      </c>
      <c r="D42" s="75"/>
      <c r="E42" s="74">
        <f>SUM(E40-F40)</f>
        <v>-1691.8998000000001</v>
      </c>
      <c r="F42" s="75"/>
      <c r="G42" s="74">
        <f>SUM(G40-H40)</f>
        <v>-63.300000000000182</v>
      </c>
      <c r="H42" s="75"/>
      <c r="I42" s="74">
        <f>SUM(I40-J40)</f>
        <v>0</v>
      </c>
      <c r="J42" s="75"/>
      <c r="K42" s="74"/>
      <c r="L42" s="133"/>
      <c r="M42" s="241">
        <f>SUM(M40-N40)</f>
        <v>6432.1999999999971</v>
      </c>
      <c r="N42" s="75"/>
      <c r="O42" s="74"/>
      <c r="P42" s="75"/>
      <c r="Q42" s="259">
        <f>Q40-R40</f>
        <v>-7195.4998000000196</v>
      </c>
      <c r="R42" s="133"/>
      <c r="S42" s="74">
        <f>SUM(S40-T40)</f>
        <v>-3831.8999000000185</v>
      </c>
      <c r="T42" s="75"/>
      <c r="U42" s="96">
        <f>SUM(U40-V40)</f>
        <v>8443.5505000001285</v>
      </c>
      <c r="V42" s="75"/>
      <c r="W42" s="74">
        <f>SUM(W40-X40)</f>
        <v>0</v>
      </c>
      <c r="X42" s="75"/>
      <c r="Y42" s="111">
        <f>SUM(Y40-Z40)</f>
        <v>8443.5505000001285</v>
      </c>
      <c r="Z42" s="112"/>
      <c r="AC42" s="2"/>
      <c r="AD42" s="2"/>
    </row>
    <row r="43" spans="1:32" ht="20.100000000000001" customHeight="1" thickBot="1" x14ac:dyDescent="0.3">
      <c r="A43" s="76" t="s">
        <v>19</v>
      </c>
      <c r="B43" s="77"/>
      <c r="C43" s="95">
        <f>SUM(100/D40*C40)</f>
        <v>106.16414583333335</v>
      </c>
      <c r="D43" s="78"/>
      <c r="E43" s="95">
        <f>SUM(100/F40*E40)</f>
        <v>51.660002952000163</v>
      </c>
      <c r="F43" s="78"/>
      <c r="G43" s="95">
        <f>SUM(100/H40*G40)</f>
        <v>95.779999999999987</v>
      </c>
      <c r="H43" s="78"/>
      <c r="I43" s="95" t="e">
        <f>SUM(100/J40*I40)</f>
        <v>#DIV/0!</v>
      </c>
      <c r="J43" s="78"/>
      <c r="K43" s="95"/>
      <c r="L43" s="257"/>
      <c r="M43" s="242">
        <f>SUM(100/N40*M40)</f>
        <v>107.14688888888888</v>
      </c>
      <c r="N43" s="78"/>
      <c r="O43" s="95"/>
      <c r="P43" s="78"/>
      <c r="Q43" s="260">
        <f>SUM(100/R40*Q40)</f>
        <v>94.243600150789746</v>
      </c>
      <c r="R43" s="257"/>
      <c r="S43" s="95">
        <f>SUM(100/T40*S40)</f>
        <v>97.072650952691092</v>
      </c>
      <c r="T43" s="78"/>
      <c r="U43" s="97">
        <f>SUM(100/V40*U40)</f>
        <v>101.42893053090958</v>
      </c>
      <c r="V43" s="78"/>
      <c r="W43" s="95" t="e">
        <f>SUM(100/X40*W40)</f>
        <v>#DIV/0!</v>
      </c>
      <c r="X43" s="78"/>
      <c r="Y43" s="113">
        <f>SUM(100/Z40*Y40)</f>
        <v>101.42893053090958</v>
      </c>
      <c r="Z43" s="114"/>
      <c r="AC43" s="2"/>
      <c r="AD43" s="2"/>
    </row>
    <row r="45" spans="1:32" x14ac:dyDescent="0.25">
      <c r="C45" s="230"/>
      <c r="D45" s="230"/>
      <c r="E45" s="230"/>
      <c r="F45" s="230"/>
      <c r="G45" s="360"/>
      <c r="H45" s="360"/>
      <c r="I45" s="360"/>
      <c r="J45" s="36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</row>
    <row r="46" spans="1:32" x14ac:dyDescent="0.25">
      <c r="A46" s="393"/>
      <c r="B46" s="230"/>
      <c r="C46" s="230"/>
      <c r="D46" s="230"/>
      <c r="E46" s="230"/>
      <c r="F46" s="230"/>
      <c r="G46" s="360"/>
      <c r="H46" s="360"/>
      <c r="I46" s="360"/>
      <c r="J46" s="360"/>
      <c r="K46" s="230"/>
      <c r="L46" s="230"/>
      <c r="M46" s="230"/>
      <c r="N46" s="230"/>
      <c r="O46" s="230"/>
      <c r="P46" s="230"/>
      <c r="Q46" s="230"/>
      <c r="R46" s="230"/>
      <c r="S46" s="230"/>
      <c r="T46" s="230"/>
    </row>
    <row r="48" spans="1:32" x14ac:dyDescent="0.25">
      <c r="F48" s="221"/>
    </row>
  </sheetData>
  <customSheetViews>
    <customSheetView guid="{512075D7-6EE7-4EEF-842F-09AF15E6D8B5}" scale="70" showPageBreaks="1" fitToPage="1" printArea="1">
      <pane ySplit="4" topLeftCell="A5" activePane="bottomLeft" state="frozen"/>
      <selection pane="bottomLeft" activeCell="T55" sqref="T55"/>
      <pageMargins left="0.59055118110236227" right="0.59055118110236227" top="1.1811023622047245" bottom="0.59055118110236227" header="0.11811023622047245" footer="0.31496062992125984"/>
      <pageSetup paperSize="9" scale="39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>
      <pane ySplit="4" topLeftCell="A11" activePane="bottomLeft" state="frozen"/>
      <selection pane="bottomLeft" activeCell="U46" sqref="U46"/>
      <pageMargins left="0.59055118110236227" right="0.59055118110236227" top="1.1811023622047245" bottom="0.59055118110236227" header="0.11811023622047245" footer="0.31496062992125984"/>
      <pageSetup paperSize="9" scale="39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106" showPageBreaks="1" fitToPage="1" printArea="1" topLeftCell="L1">
      <pane ySplit="4" topLeftCell="A29" activePane="bottomLeft" state="frozen"/>
      <selection pane="bottomLeft" activeCell="AB37" sqref="AB37"/>
      <pageMargins left="0.59055118110236227" right="0.59055118110236227" top="1.1811023622047245" bottom="0.59055118110236227" header="0.11811023622047245" footer="0.31496062992125984"/>
      <pageSetup paperSize="9" scale="39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H1">
      <pane ySplit="4" topLeftCell="A14" activePane="bottomLeft" state="frozen"/>
      <selection pane="bottomLeft" activeCell="AD37" sqref="AD37"/>
      <pageMargins left="0.59055118110236227" right="0.59055118110236227" top="1.1811023622047245" bottom="0.59055118110236227" header="0.11811023622047245" footer="0.31496062992125984"/>
      <pageSetup paperSize="9" scale="39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20" activePane="bottomLeft" state="frozen"/>
      <selection pane="bottomLeft" activeCell="Q25" sqref="Q25"/>
      <pageMargins left="0.59055118110236227" right="0.59055118110236227" top="1.1811023622047245" bottom="0.59055118110236227" header="0.11811023622047245" footer="0.31496062992125984"/>
      <pageSetup paperSize="9" scale="39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8" activePane="bottomLeft" state="frozen"/>
      <selection pane="bottomLeft" activeCell="K40" sqref="K40"/>
      <pageMargins left="0.59055118110236227" right="0.59055118110236227" top="1.1811023622047245" bottom="0.59055118110236227" header="0.11811023622047245" footer="0.31496062992125984"/>
      <pageSetup paperSize="9" scale="39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>
      <pane ySplit="4" topLeftCell="A8" activePane="bottomLeft" state="frozen"/>
      <selection pane="bottomLeft" activeCell="R1" sqref="R1:R1048576"/>
      <pageMargins left="0.59055118110236227" right="0.59055118110236227" top="1.1811023622047245" bottom="0.59055118110236227" header="0.11811023622047245" footer="0.31496062992125984"/>
      <pageSetup paperSize="9" scale="43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Q51" sqref="Q51"/>
      <pageMargins left="0.59055118110236227" right="0.59055118110236227" top="1.1811023622047245" bottom="0.59055118110236227" header="0.11811023622047245" footer="0.31496062992125984"/>
      <pageSetup paperSize="9" scale="44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0" showPageBreaks="1" fitToPage="1" printArea="1">
      <pane ySplit="4" topLeftCell="A5" activePane="bottomLeft" state="frozen"/>
      <selection pane="bottomLeft" activeCell="Q51" sqref="Q51"/>
      <pageMargins left="0.59055118110236227" right="0.59055118110236227" top="1.1811023622047245" bottom="0.59055118110236227" header="0.11811023622047245" footer="0.31496062992125984"/>
      <pageSetup paperSize="9" scale="39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17" activePane="bottomLeft" state="frozen"/>
      <selection pane="bottomLeft" activeCell="H2" sqref="H2"/>
      <pageMargins left="0.59055118110236227" right="0.59055118110236227" top="1.1811023622047245" bottom="0.59055118110236227" header="0.11811023622047245" footer="0.31496062992125984"/>
      <pageSetup paperSize="9" scale="39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howPageBreaks="1" fitToPage="1" printArea="1">
      <pane ySplit="4" topLeftCell="A20" activePane="bottomLeft" state="frozen"/>
      <selection pane="bottomLeft" activeCell="O35" sqref="O35"/>
      <pageMargins left="0.59055118110236227" right="0.59055118110236227" top="1.1811023622047245" bottom="0.59055118110236227" header="0.11811023622047245" footer="0.31496062992125984"/>
      <pageSetup paperSize="9" scale="39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I3:J3"/>
    <mergeCell ref="O3:R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9" orientation="landscape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F47"/>
  <sheetViews>
    <sheetView zoomScale="70" zoomScaleNormal="100" workbookViewId="0">
      <pane ySplit="4" topLeftCell="A5" activePane="bottomLeft" state="frozen"/>
      <selection activeCell="R1" sqref="R1"/>
      <selection pane="bottomLeft" activeCell="A53" sqref="A53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6.7109375" style="2" customWidth="1"/>
    <col min="4" max="4" width="14.5703125" style="2" bestFit="1" customWidth="1"/>
    <col min="5" max="6" width="11.7109375" style="2" customWidth="1"/>
    <col min="7" max="10" width="11.7109375" style="6" customWidth="1"/>
    <col min="11" max="11" width="21.28515625" style="2" customWidth="1"/>
    <col min="12" max="13" width="13.140625" style="2" customWidth="1"/>
    <col min="14" max="14" width="14.42578125" style="2" bestFit="1" customWidth="1"/>
    <col min="15" max="15" width="15" style="2" customWidth="1"/>
    <col min="16" max="16" width="13" style="2" customWidth="1"/>
    <col min="17" max="17" width="16.85546875" style="2" bestFit="1" customWidth="1"/>
    <col min="18" max="18" width="12.85546875" style="2" customWidth="1"/>
    <col min="19" max="19" width="14.7109375" style="2" customWidth="1"/>
    <col min="20" max="20" width="14.140625" style="2" customWidth="1"/>
    <col min="21" max="21" width="18.28515625" style="2" customWidth="1"/>
    <col min="22" max="22" width="14.5703125" style="2" customWidth="1"/>
    <col min="23" max="23" width="14.140625" style="2" customWidth="1"/>
    <col min="24" max="24" width="11.7109375" style="2" customWidth="1"/>
    <col min="25" max="25" width="15.85546875" style="2" bestFit="1" customWidth="1"/>
    <col min="26" max="26" width="20.42578125" style="2" customWidth="1"/>
    <col min="27" max="27" width="28.140625" style="2" customWidth="1"/>
    <col min="28" max="28" width="7.140625" style="2" bestFit="1" customWidth="1"/>
    <col min="29" max="29" width="3.140625" style="4" bestFit="1" customWidth="1"/>
    <col min="30" max="30" width="22.28515625" style="4" bestFit="1" customWidth="1"/>
    <col min="31" max="31" width="11.42578125" style="2"/>
    <col min="32" max="32" width="34.85546875" style="2" bestFit="1" customWidth="1"/>
    <col min="33" max="16384" width="11.42578125" style="2"/>
  </cols>
  <sheetData>
    <row r="1" spans="1:32" ht="34.15" customHeight="1" x14ac:dyDescent="0.25">
      <c r="A1" s="104" t="s">
        <v>55</v>
      </c>
      <c r="G1" s="2"/>
      <c r="H1" s="521">
        <v>45627</v>
      </c>
      <c r="I1" s="521"/>
      <c r="J1" s="521"/>
      <c r="K1" s="521"/>
      <c r="L1" s="435"/>
      <c r="M1" s="435"/>
    </row>
    <row r="2" spans="1:32" ht="21" thickBot="1" x14ac:dyDescent="0.3">
      <c r="A2" s="105"/>
    </row>
    <row r="3" spans="1:32" s="8" customFormat="1" ht="47.25" customHeight="1" thickBot="1" x14ac:dyDescent="0.3">
      <c r="A3" s="7"/>
      <c r="C3" s="513" t="s">
        <v>20</v>
      </c>
      <c r="D3" s="514"/>
      <c r="E3" s="513" t="s">
        <v>23</v>
      </c>
      <c r="F3" s="514"/>
      <c r="G3" s="513" t="s">
        <v>24</v>
      </c>
      <c r="H3" s="514"/>
      <c r="I3" s="513" t="s">
        <v>53</v>
      </c>
      <c r="J3" s="514"/>
      <c r="K3" s="513" t="s">
        <v>25</v>
      </c>
      <c r="L3" s="515"/>
      <c r="M3" s="515"/>
      <c r="N3" s="514"/>
      <c r="O3" s="513" t="s">
        <v>30</v>
      </c>
      <c r="P3" s="515"/>
      <c r="Q3" s="515"/>
      <c r="R3" s="514"/>
      <c r="S3" s="515" t="s">
        <v>2</v>
      </c>
      <c r="T3" s="515"/>
      <c r="U3" s="522" t="s">
        <v>29</v>
      </c>
      <c r="V3" s="523"/>
      <c r="W3" s="513" t="s">
        <v>26</v>
      </c>
      <c r="X3" s="514"/>
      <c r="Y3" s="524" t="s">
        <v>27</v>
      </c>
      <c r="Z3" s="525"/>
      <c r="AA3" s="513" t="s">
        <v>0</v>
      </c>
      <c r="AB3" s="515"/>
      <c r="AC3" s="515"/>
      <c r="AD3" s="514"/>
      <c r="AF3" s="356" t="s">
        <v>80</v>
      </c>
    </row>
    <row r="4" spans="1:32" s="4" customFormat="1" ht="18.600000000000001" customHeight="1" x14ac:dyDescent="0.25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449" t="s">
        <v>69</v>
      </c>
      <c r="M4" s="237" t="s">
        <v>70</v>
      </c>
      <c r="N4" s="12" t="s">
        <v>21</v>
      </c>
      <c r="O4" s="11" t="s">
        <v>68</v>
      </c>
      <c r="P4" s="243" t="s">
        <v>69</v>
      </c>
      <c r="Q4" s="237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19" t="s">
        <v>4</v>
      </c>
      <c r="AC4" s="520"/>
      <c r="AD4" s="14" t="s">
        <v>5</v>
      </c>
    </row>
    <row r="5" spans="1:32" ht="18.600000000000001" customHeight="1" x14ac:dyDescent="0.25">
      <c r="A5" s="23">
        <v>1</v>
      </c>
      <c r="B5" s="24" t="s">
        <v>9</v>
      </c>
      <c r="C5" s="25">
        <v>9802.5</v>
      </c>
      <c r="D5" s="26">
        <v>8870.96774</v>
      </c>
      <c r="E5" s="25">
        <v>0</v>
      </c>
      <c r="F5" s="27">
        <v>16.12903</v>
      </c>
      <c r="G5" s="28">
        <v>154.80000000000001</v>
      </c>
      <c r="H5" s="27">
        <v>16.12903</v>
      </c>
      <c r="I5" s="28">
        <v>0</v>
      </c>
      <c r="J5" s="27"/>
      <c r="K5" s="25">
        <v>7116.4</v>
      </c>
      <c r="L5" s="81"/>
      <c r="M5" s="239">
        <f t="shared" ref="M5" si="0">K5+L5</f>
        <v>7116.4</v>
      </c>
      <c r="N5" s="26">
        <v>2903.2258059999999</v>
      </c>
      <c r="O5" s="25">
        <v>0</v>
      </c>
      <c r="P5" s="81">
        <v>0</v>
      </c>
      <c r="Q5" s="239">
        <f t="shared" ref="Q5" si="1">SUM(O5:P5)</f>
        <v>0</v>
      </c>
      <c r="R5" s="26">
        <v>806.45161289999999</v>
      </c>
      <c r="S5" s="25">
        <v>1985.7</v>
      </c>
      <c r="T5" s="26">
        <v>3567.7419300000001</v>
      </c>
      <c r="U5" s="183">
        <f>SUM(C5+E5+G5+I5+M5+Q5+S5)</f>
        <v>19059.399999999998</v>
      </c>
      <c r="V5" s="90">
        <f>SUM(D5+F5+H5+J5+N5+R5+T5)</f>
        <v>16180.645148900001</v>
      </c>
      <c r="W5" s="25">
        <v>0</v>
      </c>
      <c r="X5" s="26"/>
      <c r="Y5" s="92">
        <f t="shared" ref="Y5:Z5" si="2">SUM(U5+W5)</f>
        <v>19059.399999999998</v>
      </c>
      <c r="Z5" s="94">
        <f t="shared" si="2"/>
        <v>16180.645148900001</v>
      </c>
      <c r="AA5" s="29" t="s">
        <v>166</v>
      </c>
      <c r="AB5" s="30">
        <v>1</v>
      </c>
      <c r="AC5" s="31" t="s">
        <v>7</v>
      </c>
      <c r="AD5" s="32"/>
      <c r="AF5" s="221">
        <f t="shared" ref="AF5:AF40" si="3">C5+E5+G5+I5+K5+O5+W5</f>
        <v>17073.699999999997</v>
      </c>
    </row>
    <row r="6" spans="1:32" ht="18.600000000000001" customHeight="1" x14ac:dyDescent="0.25">
      <c r="A6" s="33" t="s">
        <v>10</v>
      </c>
      <c r="B6" s="34">
        <v>48</v>
      </c>
      <c r="C6" s="35">
        <f t="shared" ref="C6:V6" si="4">SUM(C5:C5)</f>
        <v>9802.5</v>
      </c>
      <c r="D6" s="82">
        <f t="shared" si="4"/>
        <v>8870.96774</v>
      </c>
      <c r="E6" s="35">
        <f t="shared" si="4"/>
        <v>0</v>
      </c>
      <c r="F6" s="82">
        <f t="shared" si="4"/>
        <v>16.12903</v>
      </c>
      <c r="G6" s="35">
        <f t="shared" si="4"/>
        <v>154.80000000000001</v>
      </c>
      <c r="H6" s="82">
        <f t="shared" si="4"/>
        <v>16.12903</v>
      </c>
      <c r="I6" s="35">
        <f t="shared" si="4"/>
        <v>0</v>
      </c>
      <c r="J6" s="82">
        <f t="shared" si="4"/>
        <v>0</v>
      </c>
      <c r="K6" s="35">
        <f t="shared" si="4"/>
        <v>7116.4</v>
      </c>
      <c r="L6" s="82">
        <f t="shared" si="4"/>
        <v>0</v>
      </c>
      <c r="M6" s="82">
        <f t="shared" si="4"/>
        <v>7116.4</v>
      </c>
      <c r="N6" s="82">
        <f t="shared" si="4"/>
        <v>2903.2258059999999</v>
      </c>
      <c r="O6" s="35">
        <f t="shared" si="4"/>
        <v>0</v>
      </c>
      <c r="P6" s="82">
        <f t="shared" si="4"/>
        <v>0</v>
      </c>
      <c r="Q6" s="82">
        <f>SUM(Q5:Q5)</f>
        <v>0</v>
      </c>
      <c r="R6" s="35">
        <f t="shared" si="4"/>
        <v>806.45161289999999</v>
      </c>
      <c r="S6" s="35">
        <f t="shared" si="4"/>
        <v>1985.7</v>
      </c>
      <c r="T6" s="82">
        <f t="shared" si="4"/>
        <v>3567.7419300000001</v>
      </c>
      <c r="U6" s="35">
        <f t="shared" si="4"/>
        <v>19059.399999999998</v>
      </c>
      <c r="V6" s="36">
        <f t="shared" si="4"/>
        <v>16180.645148900001</v>
      </c>
      <c r="W6" s="35">
        <v>0</v>
      </c>
      <c r="X6" s="37">
        <f>SUM(X5:X5)</f>
        <v>0</v>
      </c>
      <c r="Y6" s="35">
        <f>SUM(Y5:Y5)</f>
        <v>19059.399999999998</v>
      </c>
      <c r="Z6" s="36">
        <f>SUM(Z5:Z5)</f>
        <v>16180.645148900001</v>
      </c>
      <c r="AA6" s="39" t="s">
        <v>11</v>
      </c>
      <c r="AB6" s="40">
        <f>SUM(AB5:AB5)/7</f>
        <v>0.14285714285714285</v>
      </c>
      <c r="AC6" s="41" t="s">
        <v>7</v>
      </c>
      <c r="AD6" s="42"/>
      <c r="AF6" s="221"/>
    </row>
    <row r="7" spans="1:32" ht="18.600000000000001" customHeight="1" x14ac:dyDescent="0.25">
      <c r="A7" s="44">
        <f>SUM(A5+1)</f>
        <v>2</v>
      </c>
      <c r="B7" s="15" t="s">
        <v>12</v>
      </c>
      <c r="C7" s="16">
        <v>5518.7</v>
      </c>
      <c r="D7" s="17">
        <v>8870.96774</v>
      </c>
      <c r="E7" s="16">
        <v>0</v>
      </c>
      <c r="F7" s="18">
        <v>16.12903</v>
      </c>
      <c r="G7" s="19">
        <v>0</v>
      </c>
      <c r="H7" s="18">
        <v>16.12903</v>
      </c>
      <c r="I7" s="19">
        <v>0</v>
      </c>
      <c r="J7" s="18"/>
      <c r="K7" s="16">
        <v>0</v>
      </c>
      <c r="L7" s="80"/>
      <c r="M7" s="238">
        <f t="shared" ref="M7:M13" si="5">K7+L7</f>
        <v>0</v>
      </c>
      <c r="N7" s="17">
        <v>2903.2258059999999</v>
      </c>
      <c r="O7" s="16">
        <v>229.4</v>
      </c>
      <c r="P7" s="80">
        <v>1709</v>
      </c>
      <c r="Q7" s="238">
        <f>SUM(O7:P7)</f>
        <v>1938.4</v>
      </c>
      <c r="R7" s="17">
        <v>806.45161289999999</v>
      </c>
      <c r="S7" s="16">
        <v>2867.3</v>
      </c>
      <c r="T7" s="17">
        <v>3567.7419300000001</v>
      </c>
      <c r="U7" s="91">
        <f t="shared" ref="U7:U13" si="6">SUM(C7+E7+G7+I7+M7+Q7+S7)</f>
        <v>10324.400000000001</v>
      </c>
      <c r="V7" s="89">
        <f t="shared" ref="V7:V13" si="7">SUM(D7+F7+H7+J7+N7+R7+T7)</f>
        <v>16180.645148900001</v>
      </c>
      <c r="W7" s="16">
        <v>0</v>
      </c>
      <c r="X7" s="17"/>
      <c r="Y7" s="109">
        <f t="shared" ref="Y7:Z9" si="8">SUM(U7+W7)</f>
        <v>10324.400000000001</v>
      </c>
      <c r="Z7" s="110">
        <f>SUM(V7+X7)</f>
        <v>16180.645148900001</v>
      </c>
      <c r="AA7" s="45" t="s">
        <v>159</v>
      </c>
      <c r="AB7" s="46">
        <v>5</v>
      </c>
      <c r="AC7" s="21" t="s">
        <v>7</v>
      </c>
      <c r="AD7" s="22"/>
      <c r="AF7" s="221">
        <f t="shared" si="3"/>
        <v>5748.0999999999995</v>
      </c>
    </row>
    <row r="8" spans="1:32" ht="18.600000000000001" customHeight="1" x14ac:dyDescent="0.25">
      <c r="A8" s="47">
        <f t="shared" ref="A8:A13" si="9">SUM(A7+1)</f>
        <v>3</v>
      </c>
      <c r="B8" s="15" t="s">
        <v>13</v>
      </c>
      <c r="C8" s="16">
        <v>5851.9</v>
      </c>
      <c r="D8" s="17">
        <v>8870.96774</v>
      </c>
      <c r="E8" s="16">
        <v>0</v>
      </c>
      <c r="F8" s="18">
        <v>16.12903</v>
      </c>
      <c r="G8" s="19">
        <v>0</v>
      </c>
      <c r="H8" s="18">
        <v>16.12903</v>
      </c>
      <c r="I8" s="19">
        <v>0</v>
      </c>
      <c r="J8" s="18"/>
      <c r="K8" s="16">
        <v>0</v>
      </c>
      <c r="L8" s="80"/>
      <c r="M8" s="238">
        <f t="shared" si="5"/>
        <v>0</v>
      </c>
      <c r="N8" s="17">
        <v>2903.2258059999999</v>
      </c>
      <c r="O8" s="16">
        <v>587.20000000000005</v>
      </c>
      <c r="P8" s="80">
        <v>1065</v>
      </c>
      <c r="Q8" s="238">
        <f t="shared" ref="Q8:Q13" si="10">SUM(O8:P8)</f>
        <v>1652.2</v>
      </c>
      <c r="R8" s="17">
        <v>806.45161289999999</v>
      </c>
      <c r="S8" s="16">
        <v>2765.7</v>
      </c>
      <c r="T8" s="17">
        <v>3567.7419300000001</v>
      </c>
      <c r="U8" s="91">
        <f>SUM(C8+E8+G8+I8+M8+Q8+S8)</f>
        <v>10269.799999999999</v>
      </c>
      <c r="V8" s="89">
        <f>SUM(D8+F8+H8+J8+N8+R8+T8)</f>
        <v>16180.645148900001</v>
      </c>
      <c r="W8" s="16">
        <v>0</v>
      </c>
      <c r="X8" s="17"/>
      <c r="Y8" s="109">
        <f>SUM(U8+W8)</f>
        <v>10269.799999999999</v>
      </c>
      <c r="Z8" s="110">
        <f t="shared" si="8"/>
        <v>16180.645148900001</v>
      </c>
      <c r="AA8" s="45" t="s">
        <v>204</v>
      </c>
      <c r="AB8" s="46">
        <v>5</v>
      </c>
      <c r="AC8" s="21" t="s">
        <v>7</v>
      </c>
      <c r="AD8" s="22"/>
      <c r="AF8" s="221">
        <f t="shared" si="3"/>
        <v>6439.0999999999995</v>
      </c>
    </row>
    <row r="9" spans="1:32" ht="18.600000000000001" customHeight="1" x14ac:dyDescent="0.25">
      <c r="A9" s="47">
        <f t="shared" si="9"/>
        <v>4</v>
      </c>
      <c r="B9" s="15" t="s">
        <v>14</v>
      </c>
      <c r="C9" s="16">
        <v>6787.2</v>
      </c>
      <c r="D9" s="17">
        <v>8870.96774</v>
      </c>
      <c r="E9" s="16">
        <v>0</v>
      </c>
      <c r="F9" s="18">
        <v>16.12903</v>
      </c>
      <c r="G9" s="19">
        <v>0</v>
      </c>
      <c r="H9" s="18">
        <v>16.12903</v>
      </c>
      <c r="I9" s="19">
        <v>0</v>
      </c>
      <c r="J9" s="18"/>
      <c r="K9" s="16">
        <v>0</v>
      </c>
      <c r="L9" s="80"/>
      <c r="M9" s="238">
        <f t="shared" si="5"/>
        <v>0</v>
      </c>
      <c r="N9" s="17">
        <v>2903.2258059999999</v>
      </c>
      <c r="O9" s="16">
        <v>2675.1</v>
      </c>
      <c r="P9" s="80">
        <v>7958</v>
      </c>
      <c r="Q9" s="238">
        <f t="shared" si="10"/>
        <v>10633.1</v>
      </c>
      <c r="R9" s="17">
        <v>806.45161289999999</v>
      </c>
      <c r="S9" s="16">
        <v>6107.4</v>
      </c>
      <c r="T9" s="17">
        <v>3567.7419300000001</v>
      </c>
      <c r="U9" s="91">
        <f t="shared" si="6"/>
        <v>23527.699999999997</v>
      </c>
      <c r="V9" s="89">
        <f t="shared" si="7"/>
        <v>16180.645148900001</v>
      </c>
      <c r="W9" s="16">
        <v>0</v>
      </c>
      <c r="X9" s="17"/>
      <c r="Y9" s="109">
        <f t="shared" si="8"/>
        <v>23527.699999999997</v>
      </c>
      <c r="Z9" s="110">
        <f t="shared" si="8"/>
        <v>16180.645148900001</v>
      </c>
      <c r="AA9" s="45" t="s">
        <v>60</v>
      </c>
      <c r="AB9" s="46">
        <v>5</v>
      </c>
      <c r="AC9" s="21" t="s">
        <v>7</v>
      </c>
      <c r="AD9" s="22"/>
      <c r="AF9" s="221">
        <f t="shared" si="3"/>
        <v>9462.2999999999993</v>
      </c>
    </row>
    <row r="10" spans="1:32" ht="18.600000000000001" customHeight="1" x14ac:dyDescent="0.25">
      <c r="A10" s="47">
        <f t="shared" si="9"/>
        <v>5</v>
      </c>
      <c r="B10" s="15" t="s">
        <v>15</v>
      </c>
      <c r="C10" s="16">
        <v>5540.5</v>
      </c>
      <c r="D10" s="17">
        <v>8870.96774</v>
      </c>
      <c r="E10" s="16">
        <v>0</v>
      </c>
      <c r="F10" s="18">
        <v>16.12903</v>
      </c>
      <c r="G10" s="19">
        <v>5.0999999999999996</v>
      </c>
      <c r="H10" s="18">
        <v>16.12903</v>
      </c>
      <c r="I10" s="19">
        <v>0</v>
      </c>
      <c r="J10" s="18"/>
      <c r="K10" s="16">
        <v>4622.5</v>
      </c>
      <c r="L10" s="80"/>
      <c r="M10" s="238">
        <f t="shared" si="5"/>
        <v>4622.5</v>
      </c>
      <c r="N10" s="17">
        <v>2903.2258059999999</v>
      </c>
      <c r="O10" s="16">
        <v>155.19999999999999</v>
      </c>
      <c r="P10" s="80">
        <v>1032</v>
      </c>
      <c r="Q10" s="238">
        <f t="shared" si="10"/>
        <v>1187.2</v>
      </c>
      <c r="R10" s="17">
        <v>806.45161289999999</v>
      </c>
      <c r="S10" s="16">
        <v>2629.8</v>
      </c>
      <c r="T10" s="17">
        <v>3567.7419300000001</v>
      </c>
      <c r="U10" s="91">
        <f t="shared" si="6"/>
        <v>13985.100000000002</v>
      </c>
      <c r="V10" s="89">
        <f t="shared" si="7"/>
        <v>16180.645148900001</v>
      </c>
      <c r="W10" s="16">
        <v>0</v>
      </c>
      <c r="X10" s="17"/>
      <c r="Y10" s="109">
        <f t="shared" ref="Y10:Z13" si="11">SUM(U10+W10)</f>
        <v>13985.100000000002</v>
      </c>
      <c r="Z10" s="110">
        <f t="shared" si="11"/>
        <v>16180.645148900001</v>
      </c>
      <c r="AA10" s="45" t="s">
        <v>72</v>
      </c>
      <c r="AB10" s="46">
        <v>4</v>
      </c>
      <c r="AC10" s="21" t="s">
        <v>7</v>
      </c>
      <c r="AD10" s="22"/>
      <c r="AF10" s="221">
        <f t="shared" si="3"/>
        <v>10323.300000000001</v>
      </c>
    </row>
    <row r="11" spans="1:32" ht="18.600000000000001" customHeight="1" x14ac:dyDescent="0.25">
      <c r="A11" s="47">
        <f t="shared" si="9"/>
        <v>6</v>
      </c>
      <c r="B11" s="402" t="s">
        <v>6</v>
      </c>
      <c r="C11" s="20">
        <v>8414</v>
      </c>
      <c r="D11" s="217">
        <v>8870.96774</v>
      </c>
      <c r="E11" s="20">
        <v>0</v>
      </c>
      <c r="F11" s="218">
        <v>16.12903</v>
      </c>
      <c r="G11" s="226">
        <v>0</v>
      </c>
      <c r="H11" s="218">
        <v>16.12903</v>
      </c>
      <c r="I11" s="226">
        <v>0</v>
      </c>
      <c r="J11" s="218"/>
      <c r="K11" s="20">
        <v>10288.9</v>
      </c>
      <c r="L11" s="122"/>
      <c r="M11" s="250">
        <f t="shared" si="5"/>
        <v>10288.9</v>
      </c>
      <c r="N11" s="217">
        <v>2903.2258059999999</v>
      </c>
      <c r="O11" s="20">
        <v>5350</v>
      </c>
      <c r="P11" s="122">
        <v>0</v>
      </c>
      <c r="Q11" s="250">
        <f t="shared" si="10"/>
        <v>5350</v>
      </c>
      <c r="R11" s="217">
        <v>806.45161289999999</v>
      </c>
      <c r="S11" s="20">
        <v>3097.6</v>
      </c>
      <c r="T11" s="217">
        <v>3567.7419300000001</v>
      </c>
      <c r="U11" s="219">
        <f t="shared" si="6"/>
        <v>27150.5</v>
      </c>
      <c r="V11" s="220">
        <f t="shared" si="7"/>
        <v>16180.645148900001</v>
      </c>
      <c r="W11" s="20">
        <v>0</v>
      </c>
      <c r="X11" s="217"/>
      <c r="Y11" s="109">
        <f t="shared" si="11"/>
        <v>27150.5</v>
      </c>
      <c r="Z11" s="110">
        <f t="shared" si="11"/>
        <v>16180.645148900001</v>
      </c>
      <c r="AA11" s="50" t="s">
        <v>72</v>
      </c>
      <c r="AB11" s="51">
        <v>7</v>
      </c>
      <c r="AC11" s="228" t="s">
        <v>7</v>
      </c>
      <c r="AD11" s="229"/>
      <c r="AF11" s="221">
        <f t="shared" si="3"/>
        <v>24052.9</v>
      </c>
    </row>
    <row r="12" spans="1:32" s="43" customFormat="1" ht="18.600000000000001" customHeight="1" x14ac:dyDescent="0.25">
      <c r="A12" s="23">
        <f t="shared" si="9"/>
        <v>7</v>
      </c>
      <c r="B12" s="24" t="s">
        <v>8</v>
      </c>
      <c r="C12" s="25">
        <v>10713.25</v>
      </c>
      <c r="D12" s="26">
        <v>8870.96774</v>
      </c>
      <c r="E12" s="25"/>
      <c r="F12" s="27">
        <v>16.12903</v>
      </c>
      <c r="G12" s="28">
        <v>5.0999999999999996</v>
      </c>
      <c r="H12" s="27">
        <v>16.12903</v>
      </c>
      <c r="I12" s="28">
        <v>0</v>
      </c>
      <c r="J12" s="27"/>
      <c r="K12" s="25">
        <v>8934.5</v>
      </c>
      <c r="L12" s="81"/>
      <c r="M12" s="239">
        <f t="shared" si="5"/>
        <v>8934.5</v>
      </c>
      <c r="N12" s="26">
        <v>2903.2258059999999</v>
      </c>
      <c r="O12" s="25">
        <v>1446.9</v>
      </c>
      <c r="P12" s="81">
        <v>0</v>
      </c>
      <c r="Q12" s="239">
        <f t="shared" si="10"/>
        <v>1446.9</v>
      </c>
      <c r="R12" s="26">
        <v>806.45161289999999</v>
      </c>
      <c r="S12" s="25">
        <v>8262.2000000000007</v>
      </c>
      <c r="T12" s="26">
        <v>3567.7419300000001</v>
      </c>
      <c r="U12" s="183">
        <f t="shared" si="6"/>
        <v>29361.95</v>
      </c>
      <c r="V12" s="90">
        <f t="shared" si="7"/>
        <v>16180.645148900001</v>
      </c>
      <c r="W12" s="25">
        <v>0</v>
      </c>
      <c r="X12" s="26"/>
      <c r="Y12" s="92">
        <f t="shared" si="11"/>
        <v>29361.95</v>
      </c>
      <c r="Z12" s="94">
        <f t="shared" si="11"/>
        <v>16180.645148900001</v>
      </c>
      <c r="AA12" s="29" t="s">
        <v>159</v>
      </c>
      <c r="AB12" s="30">
        <v>6</v>
      </c>
      <c r="AC12" s="31" t="s">
        <v>7</v>
      </c>
      <c r="AD12" s="32"/>
      <c r="AF12" s="221">
        <f t="shared" si="3"/>
        <v>21099.75</v>
      </c>
    </row>
    <row r="13" spans="1:32" ht="18.600000000000001" customHeight="1" x14ac:dyDescent="0.25">
      <c r="A13" s="23">
        <f t="shared" si="9"/>
        <v>8</v>
      </c>
      <c r="B13" s="53" t="s">
        <v>9</v>
      </c>
      <c r="C13" s="25">
        <v>9763.2000000000007</v>
      </c>
      <c r="D13" s="26">
        <v>8870.96774</v>
      </c>
      <c r="E13" s="25">
        <v>0</v>
      </c>
      <c r="F13" s="27">
        <v>16.12903</v>
      </c>
      <c r="G13" s="28">
        <v>0</v>
      </c>
      <c r="H13" s="27">
        <v>16.12903</v>
      </c>
      <c r="I13" s="28">
        <v>0</v>
      </c>
      <c r="J13" s="27"/>
      <c r="K13" s="25">
        <v>3270.1</v>
      </c>
      <c r="L13" s="81"/>
      <c r="M13" s="239">
        <f t="shared" si="5"/>
        <v>3270.1</v>
      </c>
      <c r="N13" s="26">
        <v>2903.2258059999999</v>
      </c>
      <c r="O13" s="25">
        <v>0</v>
      </c>
      <c r="P13" s="81">
        <v>0</v>
      </c>
      <c r="Q13" s="239">
        <f t="shared" si="10"/>
        <v>0</v>
      </c>
      <c r="R13" s="26">
        <v>806.45161289999999</v>
      </c>
      <c r="S13" s="25">
        <v>1932.5</v>
      </c>
      <c r="T13" s="26">
        <v>3567.7419300000001</v>
      </c>
      <c r="U13" s="183">
        <f t="shared" si="6"/>
        <v>14965.800000000001</v>
      </c>
      <c r="V13" s="90">
        <f t="shared" si="7"/>
        <v>16180.645148900001</v>
      </c>
      <c r="W13" s="25">
        <v>0</v>
      </c>
      <c r="X13" s="26"/>
      <c r="Y13" s="92">
        <f t="shared" si="11"/>
        <v>14965.800000000001</v>
      </c>
      <c r="Z13" s="94">
        <f t="shared" si="11"/>
        <v>16180.645148900001</v>
      </c>
      <c r="AA13" s="29" t="s">
        <v>166</v>
      </c>
      <c r="AB13" s="30">
        <v>5</v>
      </c>
      <c r="AC13" s="31" t="s">
        <v>7</v>
      </c>
      <c r="AD13" s="32" t="s">
        <v>84</v>
      </c>
      <c r="AF13" s="221">
        <f t="shared" si="3"/>
        <v>13033.300000000001</v>
      </c>
    </row>
    <row r="14" spans="1:32" ht="18.600000000000001" customHeight="1" x14ac:dyDescent="0.25">
      <c r="A14" s="33" t="s">
        <v>10</v>
      </c>
      <c r="B14" s="34">
        <f>SUM(B6+1)</f>
        <v>49</v>
      </c>
      <c r="C14" s="35">
        <f>SUM(C7:C13)</f>
        <v>52588.75</v>
      </c>
      <c r="D14" s="82">
        <f t="shared" ref="D14:T14" si="12">SUM(D7:D13)</f>
        <v>62096.77418</v>
      </c>
      <c r="E14" s="35">
        <f t="shared" si="12"/>
        <v>0</v>
      </c>
      <c r="F14" s="82">
        <f t="shared" si="12"/>
        <v>112.90321</v>
      </c>
      <c r="G14" s="35">
        <f t="shared" si="12"/>
        <v>10.199999999999999</v>
      </c>
      <c r="H14" s="35">
        <f t="shared" si="12"/>
        <v>112.90321</v>
      </c>
      <c r="I14" s="35">
        <f t="shared" si="12"/>
        <v>0</v>
      </c>
      <c r="J14" s="82">
        <f t="shared" si="12"/>
        <v>0</v>
      </c>
      <c r="K14" s="35">
        <f t="shared" si="12"/>
        <v>27116</v>
      </c>
      <c r="L14" s="82">
        <f t="shared" ref="L14" si="13">SUM(L11:L13)</f>
        <v>0</v>
      </c>
      <c r="M14" s="82">
        <f>SUM(M7:M13)</f>
        <v>27116</v>
      </c>
      <c r="N14" s="82">
        <f t="shared" si="12"/>
        <v>20322.580641999997</v>
      </c>
      <c r="O14" s="35">
        <f>SUM(O7:O13)</f>
        <v>10443.799999999999</v>
      </c>
      <c r="P14" s="82">
        <f>SUM(P7:P13)</f>
        <v>11764</v>
      </c>
      <c r="Q14" s="82">
        <f>SUM(Q7:Q13)</f>
        <v>22207.800000000003</v>
      </c>
      <c r="R14" s="82">
        <f t="shared" si="12"/>
        <v>5645.1612903000005</v>
      </c>
      <c r="S14" s="35">
        <f t="shared" si="12"/>
        <v>27662.5</v>
      </c>
      <c r="T14" s="82">
        <f t="shared" si="12"/>
        <v>24974.193510000001</v>
      </c>
      <c r="U14" s="35">
        <f t="shared" ref="U14:Z14" si="14">SUM(U7:U13)</f>
        <v>129585.25</v>
      </c>
      <c r="V14" s="36">
        <f t="shared" si="14"/>
        <v>113264.51604230001</v>
      </c>
      <c r="W14" s="35">
        <v>0</v>
      </c>
      <c r="X14" s="37">
        <f t="shared" si="14"/>
        <v>0</v>
      </c>
      <c r="Y14" s="35">
        <f t="shared" si="14"/>
        <v>129585.25</v>
      </c>
      <c r="Z14" s="36">
        <f t="shared" si="14"/>
        <v>113264.51604230001</v>
      </c>
      <c r="AA14" s="39" t="s">
        <v>11</v>
      </c>
      <c r="AB14" s="40">
        <f>SUM(AB7:AB13)/7</f>
        <v>5.2857142857142856</v>
      </c>
      <c r="AC14" s="41" t="s">
        <v>7</v>
      </c>
      <c r="AD14" s="42"/>
      <c r="AF14" s="221"/>
    </row>
    <row r="15" spans="1:32" ht="18.600000000000001" customHeight="1" x14ac:dyDescent="0.25">
      <c r="A15" s="44">
        <f>SUM(A13+1)</f>
        <v>9</v>
      </c>
      <c r="B15" s="15" t="s">
        <v>12</v>
      </c>
      <c r="C15" s="49">
        <v>4532.5</v>
      </c>
      <c r="D15" s="17">
        <v>8870.96774</v>
      </c>
      <c r="E15" s="49">
        <v>0</v>
      </c>
      <c r="F15" s="18">
        <v>16.12903</v>
      </c>
      <c r="G15" s="19">
        <v>0</v>
      </c>
      <c r="H15" s="18">
        <v>16.12903</v>
      </c>
      <c r="I15" s="19">
        <v>0</v>
      </c>
      <c r="J15" s="18"/>
      <c r="K15" s="16">
        <v>556.79999999999995</v>
      </c>
      <c r="L15" s="80"/>
      <c r="M15" s="238">
        <f t="shared" ref="M15:M21" si="15">K15+L15</f>
        <v>556.79999999999995</v>
      </c>
      <c r="N15" s="17">
        <v>2903.2258059999999</v>
      </c>
      <c r="O15" s="16">
        <v>0</v>
      </c>
      <c r="P15" s="80">
        <v>0</v>
      </c>
      <c r="Q15" s="238">
        <f>SUM(O15:P15)</f>
        <v>0</v>
      </c>
      <c r="R15" s="17">
        <v>806.45161289999999</v>
      </c>
      <c r="S15" s="16">
        <v>2170.5</v>
      </c>
      <c r="T15" s="17">
        <v>3567.7419300000001</v>
      </c>
      <c r="U15" s="91">
        <f t="shared" ref="U15:U21" si="16">SUM(C15+E15+G15+I15+M15+Q15+S15)</f>
        <v>7259.8</v>
      </c>
      <c r="V15" s="89">
        <f t="shared" ref="V15:V21" si="17">SUM(D15+F15+H15+J15+N15+R15+T15)</f>
        <v>16180.645148900001</v>
      </c>
      <c r="W15" s="16">
        <v>0</v>
      </c>
      <c r="X15" s="17"/>
      <c r="Y15" s="109">
        <f t="shared" ref="Y15:Z21" si="18">SUM(U15+W15)</f>
        <v>7259.8</v>
      </c>
      <c r="Z15" s="110">
        <f t="shared" si="18"/>
        <v>16180.645148900001</v>
      </c>
      <c r="AA15" s="45" t="s">
        <v>162</v>
      </c>
      <c r="AB15" s="46">
        <v>2</v>
      </c>
      <c r="AC15" s="21" t="s">
        <v>7</v>
      </c>
      <c r="AD15" s="22"/>
      <c r="AF15" s="221">
        <f t="shared" si="3"/>
        <v>5089.3</v>
      </c>
    </row>
    <row r="16" spans="1:32" ht="18.600000000000001" customHeight="1" x14ac:dyDescent="0.25">
      <c r="A16" s="47">
        <f t="shared" ref="A16:A21" si="19">SUM(A15+1)</f>
        <v>10</v>
      </c>
      <c r="B16" s="15" t="s">
        <v>13</v>
      </c>
      <c r="C16" s="16">
        <v>5669.2</v>
      </c>
      <c r="D16" s="17">
        <v>8870.96774</v>
      </c>
      <c r="E16" s="16">
        <v>0</v>
      </c>
      <c r="F16" s="18">
        <v>16.12903</v>
      </c>
      <c r="G16" s="19">
        <v>0</v>
      </c>
      <c r="H16" s="18">
        <v>16.12903</v>
      </c>
      <c r="I16" s="19">
        <v>0</v>
      </c>
      <c r="J16" s="18"/>
      <c r="K16" s="16">
        <v>7061.4</v>
      </c>
      <c r="L16" s="80"/>
      <c r="M16" s="238">
        <f t="shared" si="15"/>
        <v>7061.4</v>
      </c>
      <c r="N16" s="17">
        <v>2903.2258059999999</v>
      </c>
      <c r="O16" s="16">
        <v>-5615.8</v>
      </c>
      <c r="P16" s="80">
        <v>1165</v>
      </c>
      <c r="Q16" s="238">
        <f t="shared" ref="Q16:Q21" si="20">SUM(O16:P16)</f>
        <v>-4450.8</v>
      </c>
      <c r="R16" s="17">
        <v>806.45161289999999</v>
      </c>
      <c r="S16" s="16">
        <v>3726.1</v>
      </c>
      <c r="T16" s="17">
        <v>3567.7419300000001</v>
      </c>
      <c r="U16" s="91">
        <f t="shared" si="16"/>
        <v>12005.9</v>
      </c>
      <c r="V16" s="89">
        <f t="shared" si="17"/>
        <v>16180.645148900001</v>
      </c>
      <c r="W16" s="16">
        <v>0</v>
      </c>
      <c r="X16" s="17"/>
      <c r="Y16" s="109">
        <f t="shared" si="18"/>
        <v>12005.9</v>
      </c>
      <c r="Z16" s="110">
        <f t="shared" si="18"/>
        <v>16180.645148900001</v>
      </c>
      <c r="AA16" s="45" t="s">
        <v>166</v>
      </c>
      <c r="AB16" s="46">
        <v>1</v>
      </c>
      <c r="AC16" s="21" t="s">
        <v>7</v>
      </c>
      <c r="AD16" s="22"/>
      <c r="AF16" s="221">
        <f t="shared" si="3"/>
        <v>7114.7999999999984</v>
      </c>
    </row>
    <row r="17" spans="1:32" ht="18.600000000000001" customHeight="1" x14ac:dyDescent="0.25">
      <c r="A17" s="47">
        <f t="shared" si="19"/>
        <v>11</v>
      </c>
      <c r="B17" s="15" t="s">
        <v>14</v>
      </c>
      <c r="C17" s="16">
        <v>6465.2</v>
      </c>
      <c r="D17" s="17">
        <v>8870.96774</v>
      </c>
      <c r="E17" s="16">
        <v>0</v>
      </c>
      <c r="F17" s="18">
        <v>16.12903</v>
      </c>
      <c r="G17" s="19">
        <v>18</v>
      </c>
      <c r="H17" s="18">
        <v>16.12903</v>
      </c>
      <c r="I17" s="19">
        <v>0</v>
      </c>
      <c r="J17" s="18"/>
      <c r="K17" s="16">
        <v>3342.8</v>
      </c>
      <c r="L17" s="80"/>
      <c r="M17" s="238">
        <f t="shared" si="15"/>
        <v>3342.8</v>
      </c>
      <c r="N17" s="17">
        <v>2903.2258059999999</v>
      </c>
      <c r="O17" s="16">
        <v>1504.8</v>
      </c>
      <c r="P17" s="80">
        <v>1463</v>
      </c>
      <c r="Q17" s="238">
        <f t="shared" si="20"/>
        <v>2967.8</v>
      </c>
      <c r="R17" s="17">
        <v>806.45161289999999</v>
      </c>
      <c r="S17" s="16">
        <v>4717.8999999999996</v>
      </c>
      <c r="T17" s="17">
        <v>3567.7419300000001</v>
      </c>
      <c r="U17" s="91">
        <f t="shared" si="16"/>
        <v>17511.699999999997</v>
      </c>
      <c r="V17" s="89">
        <f t="shared" si="17"/>
        <v>16180.645148900001</v>
      </c>
      <c r="W17" s="16">
        <v>0</v>
      </c>
      <c r="X17" s="17"/>
      <c r="Y17" s="109">
        <f t="shared" si="18"/>
        <v>17511.699999999997</v>
      </c>
      <c r="Z17" s="110">
        <f t="shared" si="18"/>
        <v>16180.645148900001</v>
      </c>
      <c r="AA17" s="45" t="s">
        <v>166</v>
      </c>
      <c r="AB17" s="46">
        <v>1</v>
      </c>
      <c r="AC17" s="21" t="s">
        <v>7</v>
      </c>
      <c r="AD17" s="22"/>
      <c r="AF17" s="221">
        <f t="shared" si="3"/>
        <v>11330.8</v>
      </c>
    </row>
    <row r="18" spans="1:32" ht="18.600000000000001" customHeight="1" x14ac:dyDescent="0.25">
      <c r="A18" s="47">
        <f t="shared" si="19"/>
        <v>12</v>
      </c>
      <c r="B18" s="15" t="s">
        <v>15</v>
      </c>
      <c r="C18" s="16">
        <v>8850.1</v>
      </c>
      <c r="D18" s="17">
        <v>8870.96774</v>
      </c>
      <c r="E18" s="16">
        <v>0</v>
      </c>
      <c r="F18" s="18">
        <v>16.12903</v>
      </c>
      <c r="G18" s="19">
        <v>0</v>
      </c>
      <c r="H18" s="18">
        <v>16.12903</v>
      </c>
      <c r="I18" s="19">
        <v>0</v>
      </c>
      <c r="J18" s="18"/>
      <c r="K18" s="16">
        <v>0</v>
      </c>
      <c r="L18" s="80"/>
      <c r="M18" s="238">
        <f t="shared" si="15"/>
        <v>0</v>
      </c>
      <c r="N18" s="17">
        <v>2903.2258059999999</v>
      </c>
      <c r="O18" s="16">
        <v>1613.2</v>
      </c>
      <c r="P18" s="80">
        <v>11733</v>
      </c>
      <c r="Q18" s="238">
        <f t="shared" si="20"/>
        <v>13346.2</v>
      </c>
      <c r="R18" s="17">
        <v>806.45161289999999</v>
      </c>
      <c r="S18" s="16">
        <v>5431.7</v>
      </c>
      <c r="T18" s="17">
        <v>3567.7419300000001</v>
      </c>
      <c r="U18" s="91">
        <f t="shared" si="16"/>
        <v>27628.000000000004</v>
      </c>
      <c r="V18" s="89">
        <f t="shared" si="17"/>
        <v>16180.645148900001</v>
      </c>
      <c r="W18" s="16">
        <v>0</v>
      </c>
      <c r="X18" s="17"/>
      <c r="Y18" s="109">
        <f t="shared" si="18"/>
        <v>27628.000000000004</v>
      </c>
      <c r="Z18" s="110">
        <f t="shared" si="18"/>
        <v>16180.645148900001</v>
      </c>
      <c r="AA18" s="45" t="s">
        <v>166</v>
      </c>
      <c r="AB18" s="46">
        <v>1</v>
      </c>
      <c r="AC18" s="21" t="s">
        <v>7</v>
      </c>
      <c r="AD18" s="22"/>
      <c r="AF18" s="221">
        <f t="shared" si="3"/>
        <v>10463.300000000001</v>
      </c>
    </row>
    <row r="19" spans="1:32" ht="18.600000000000001" customHeight="1" x14ac:dyDescent="0.25">
      <c r="A19" s="47">
        <f t="shared" si="19"/>
        <v>13</v>
      </c>
      <c r="B19" s="15" t="s">
        <v>6</v>
      </c>
      <c r="C19" s="16">
        <v>14784.4</v>
      </c>
      <c r="D19" s="17">
        <v>8870.96774</v>
      </c>
      <c r="E19" s="16">
        <v>18</v>
      </c>
      <c r="F19" s="18">
        <v>16.12903</v>
      </c>
      <c r="G19" s="19">
        <v>0</v>
      </c>
      <c r="H19" s="18">
        <v>16.12903</v>
      </c>
      <c r="I19" s="19">
        <v>0</v>
      </c>
      <c r="J19" s="18"/>
      <c r="K19" s="16">
        <v>11145.4</v>
      </c>
      <c r="L19" s="80"/>
      <c r="M19" s="238">
        <f t="shared" si="15"/>
        <v>11145.4</v>
      </c>
      <c r="N19" s="17">
        <v>2903.2258059999999</v>
      </c>
      <c r="O19" s="16">
        <v>82.6</v>
      </c>
      <c r="P19" s="80">
        <v>4212</v>
      </c>
      <c r="Q19" s="238">
        <f t="shared" si="20"/>
        <v>4294.6000000000004</v>
      </c>
      <c r="R19" s="17">
        <v>806.45161289999999</v>
      </c>
      <c r="S19" s="16">
        <v>3013.5</v>
      </c>
      <c r="T19" s="17">
        <v>3567.7419300000001</v>
      </c>
      <c r="U19" s="91">
        <f t="shared" si="16"/>
        <v>33255.9</v>
      </c>
      <c r="V19" s="89">
        <f t="shared" si="17"/>
        <v>16180.645148900001</v>
      </c>
      <c r="W19" s="16">
        <v>0</v>
      </c>
      <c r="X19" s="17"/>
      <c r="Y19" s="109">
        <f t="shared" si="18"/>
        <v>33255.9</v>
      </c>
      <c r="Z19" s="110">
        <f t="shared" si="18"/>
        <v>16180.645148900001</v>
      </c>
      <c r="AA19" s="45" t="s">
        <v>166</v>
      </c>
      <c r="AB19" s="46">
        <v>1</v>
      </c>
      <c r="AC19" s="21" t="s">
        <v>7</v>
      </c>
      <c r="AD19" s="22"/>
      <c r="AF19" s="221">
        <f t="shared" si="3"/>
        <v>26030.399999999998</v>
      </c>
    </row>
    <row r="20" spans="1:32" s="43" customFormat="1" ht="18.600000000000001" customHeight="1" x14ac:dyDescent="0.25">
      <c r="A20" s="23">
        <f t="shared" si="19"/>
        <v>14</v>
      </c>
      <c r="B20" s="24" t="s">
        <v>8</v>
      </c>
      <c r="C20" s="25">
        <v>10433.6</v>
      </c>
      <c r="D20" s="26">
        <v>8870.96774</v>
      </c>
      <c r="E20" s="25">
        <v>0</v>
      </c>
      <c r="F20" s="27">
        <v>16.12903</v>
      </c>
      <c r="G20" s="28">
        <v>0</v>
      </c>
      <c r="H20" s="27">
        <v>16.12903</v>
      </c>
      <c r="I20" s="28">
        <v>0</v>
      </c>
      <c r="J20" s="27"/>
      <c r="K20" s="25">
        <v>18940.900000000001</v>
      </c>
      <c r="L20" s="81"/>
      <c r="M20" s="239">
        <f t="shared" si="15"/>
        <v>18940.900000000001</v>
      </c>
      <c r="N20" s="26">
        <v>2903.2258059999999</v>
      </c>
      <c r="O20" s="25">
        <v>0</v>
      </c>
      <c r="P20" s="81">
        <v>0</v>
      </c>
      <c r="Q20" s="239">
        <f t="shared" si="20"/>
        <v>0</v>
      </c>
      <c r="R20" s="26">
        <v>806.45161289999999</v>
      </c>
      <c r="S20" s="25">
        <v>7319.2</v>
      </c>
      <c r="T20" s="26">
        <v>3567.7419300000001</v>
      </c>
      <c r="U20" s="183">
        <f t="shared" si="16"/>
        <v>36693.699999999997</v>
      </c>
      <c r="V20" s="90">
        <f t="shared" si="17"/>
        <v>16180.645148900001</v>
      </c>
      <c r="W20" s="25">
        <v>0</v>
      </c>
      <c r="X20" s="26"/>
      <c r="Y20" s="92">
        <f t="shared" si="18"/>
        <v>36693.699999999997</v>
      </c>
      <c r="Z20" s="94">
        <f>SUM(V20+X20)</f>
        <v>16180.645148900001</v>
      </c>
      <c r="AA20" s="29" t="s">
        <v>205</v>
      </c>
      <c r="AB20" s="30">
        <v>1</v>
      </c>
      <c r="AC20" s="31" t="s">
        <v>7</v>
      </c>
      <c r="AD20" s="32"/>
      <c r="AF20" s="221">
        <f t="shared" si="3"/>
        <v>29374.5</v>
      </c>
    </row>
    <row r="21" spans="1:32" ht="18.600000000000001" customHeight="1" x14ac:dyDescent="0.25">
      <c r="A21" s="23">
        <f t="shared" si="19"/>
        <v>15</v>
      </c>
      <c r="B21" s="24" t="s">
        <v>9</v>
      </c>
      <c r="C21" s="25">
        <v>10683.6</v>
      </c>
      <c r="D21" s="26">
        <v>8870.96774</v>
      </c>
      <c r="E21" s="25">
        <v>0</v>
      </c>
      <c r="F21" s="27">
        <v>16.12903</v>
      </c>
      <c r="G21" s="28">
        <v>18</v>
      </c>
      <c r="H21" s="27">
        <v>16.12903</v>
      </c>
      <c r="I21" s="28">
        <v>0</v>
      </c>
      <c r="J21" s="27"/>
      <c r="K21" s="25">
        <v>2007.8</v>
      </c>
      <c r="L21" s="81"/>
      <c r="M21" s="239">
        <f t="shared" si="15"/>
        <v>2007.8</v>
      </c>
      <c r="N21" s="26">
        <v>2903.2258059999999</v>
      </c>
      <c r="O21" s="25">
        <v>0</v>
      </c>
      <c r="P21" s="81">
        <v>0</v>
      </c>
      <c r="Q21" s="239">
        <f t="shared" si="20"/>
        <v>0</v>
      </c>
      <c r="R21" s="26">
        <v>806.45161289999999</v>
      </c>
      <c r="S21" s="25">
        <v>1651.2</v>
      </c>
      <c r="T21" s="26">
        <v>3567.7419300000001</v>
      </c>
      <c r="U21" s="183">
        <f t="shared" si="16"/>
        <v>14360.6</v>
      </c>
      <c r="V21" s="90">
        <f t="shared" si="17"/>
        <v>16180.645148900001</v>
      </c>
      <c r="W21" s="25">
        <v>0</v>
      </c>
      <c r="X21" s="26"/>
      <c r="Y21" s="92">
        <f t="shared" si="18"/>
        <v>14360.6</v>
      </c>
      <c r="Z21" s="94">
        <f>SUM(V21+X21)</f>
        <v>16180.645148900001</v>
      </c>
      <c r="AA21" s="29" t="s">
        <v>58</v>
      </c>
      <c r="AB21" s="30">
        <v>1</v>
      </c>
      <c r="AC21" s="31" t="s">
        <v>7</v>
      </c>
      <c r="AD21" s="32"/>
      <c r="AF21" s="221">
        <f t="shared" si="3"/>
        <v>12709.4</v>
      </c>
    </row>
    <row r="22" spans="1:32" ht="18.600000000000001" customHeight="1" x14ac:dyDescent="0.25">
      <c r="A22" s="33" t="s">
        <v>10</v>
      </c>
      <c r="B22" s="34">
        <f>SUM(B14+1)</f>
        <v>50</v>
      </c>
      <c r="C22" s="35">
        <f>SUM(C15:C21)</f>
        <v>61418.6</v>
      </c>
      <c r="D22" s="82">
        <f t="shared" ref="D22:T22" si="21">SUM(D15:D21)</f>
        <v>62096.77418</v>
      </c>
      <c r="E22" s="35">
        <f t="shared" si="21"/>
        <v>18</v>
      </c>
      <c r="F22" s="82">
        <f t="shared" si="21"/>
        <v>112.90321</v>
      </c>
      <c r="G22" s="35">
        <f t="shared" si="21"/>
        <v>36</v>
      </c>
      <c r="H22" s="82">
        <f t="shared" si="21"/>
        <v>112.90321</v>
      </c>
      <c r="I22" s="35">
        <f t="shared" si="21"/>
        <v>0</v>
      </c>
      <c r="J22" s="82">
        <f t="shared" si="21"/>
        <v>0</v>
      </c>
      <c r="K22" s="35">
        <f t="shared" si="21"/>
        <v>43055.100000000006</v>
      </c>
      <c r="L22" s="35">
        <f t="shared" ref="L22" si="22">SUM(L19:L21)</f>
        <v>0</v>
      </c>
      <c r="M22" s="38">
        <f>SUM(M15:M21)</f>
        <v>43055.100000000006</v>
      </c>
      <c r="N22" s="82">
        <f t="shared" si="21"/>
        <v>20322.580641999997</v>
      </c>
      <c r="O22" s="35">
        <f>SUM(O15:O21)</f>
        <v>-2415.2000000000003</v>
      </c>
      <c r="P22" s="82">
        <f t="shared" ref="P22" si="23">SUM(P15:P21)</f>
        <v>18573</v>
      </c>
      <c r="Q22" s="82">
        <f t="shared" ref="Q22" si="24">SUM(Q15:Q21)</f>
        <v>16157.800000000001</v>
      </c>
      <c r="R22" s="82">
        <f t="shared" si="21"/>
        <v>5645.1612903000005</v>
      </c>
      <c r="S22" s="35">
        <f t="shared" si="21"/>
        <v>28030.100000000002</v>
      </c>
      <c r="T22" s="82">
        <f t="shared" si="21"/>
        <v>24974.193510000001</v>
      </c>
      <c r="U22" s="35">
        <f t="shared" ref="U22:Z22" si="25">SUM(U15:U21)</f>
        <v>148715.6</v>
      </c>
      <c r="V22" s="36">
        <f t="shared" si="25"/>
        <v>113264.51604230001</v>
      </c>
      <c r="W22" s="35">
        <v>0</v>
      </c>
      <c r="X22" s="37">
        <f>SUM(X15:X21)</f>
        <v>0</v>
      </c>
      <c r="Y22" s="35">
        <f t="shared" si="25"/>
        <v>148715.6</v>
      </c>
      <c r="Z22" s="36">
        <f t="shared" si="25"/>
        <v>113264.51604230001</v>
      </c>
      <c r="AA22" s="39" t="s">
        <v>11</v>
      </c>
      <c r="AB22" s="40">
        <f>SUM(AB15:AB21)/7</f>
        <v>1.1428571428571428</v>
      </c>
      <c r="AC22" s="41" t="s">
        <v>7</v>
      </c>
      <c r="AD22" s="42"/>
      <c r="AF22" s="221"/>
    </row>
    <row r="23" spans="1:32" ht="18.600000000000001" customHeight="1" x14ac:dyDescent="0.25">
      <c r="A23" s="44">
        <f>SUM(A21+1)</f>
        <v>16</v>
      </c>
      <c r="B23" s="15" t="s">
        <v>12</v>
      </c>
      <c r="C23" s="16">
        <v>6784.6</v>
      </c>
      <c r="D23" s="17">
        <v>8870.96774</v>
      </c>
      <c r="E23" s="16">
        <v>0</v>
      </c>
      <c r="F23" s="18">
        <v>16.12903</v>
      </c>
      <c r="G23" s="19">
        <v>235.1</v>
      </c>
      <c r="H23" s="18">
        <v>16.12903</v>
      </c>
      <c r="I23" s="19">
        <v>0</v>
      </c>
      <c r="J23" s="18"/>
      <c r="K23" s="16">
        <v>0</v>
      </c>
      <c r="L23" s="80"/>
      <c r="M23" s="238">
        <f t="shared" ref="M23:M29" si="26">K23+L23</f>
        <v>0</v>
      </c>
      <c r="N23" s="17">
        <v>2903.2258059999999</v>
      </c>
      <c r="O23" s="16">
        <v>477.6</v>
      </c>
      <c r="P23" s="80">
        <v>2834</v>
      </c>
      <c r="Q23" s="238">
        <f>SUM(O23:P23)</f>
        <v>3311.6</v>
      </c>
      <c r="R23" s="17">
        <v>806.45161289999999</v>
      </c>
      <c r="S23" s="16">
        <v>4356</v>
      </c>
      <c r="T23" s="17">
        <v>3567.7419300000001</v>
      </c>
      <c r="U23" s="91">
        <f t="shared" ref="U23:U29" si="27">SUM(C23+E23+G23+I23+M23+Q23+S23)</f>
        <v>14687.300000000001</v>
      </c>
      <c r="V23" s="89">
        <f t="shared" ref="V23:V29" si="28">SUM(D23+F23+H23+J23+N23+R23+T23)</f>
        <v>16180.645148900001</v>
      </c>
      <c r="W23" s="16">
        <v>0</v>
      </c>
      <c r="X23" s="17"/>
      <c r="Y23" s="109">
        <f t="shared" ref="Y23:Z29" si="29">SUM(U23+W23)</f>
        <v>14687.300000000001</v>
      </c>
      <c r="Z23" s="110">
        <f t="shared" si="29"/>
        <v>16180.645148900001</v>
      </c>
      <c r="AA23" s="50" t="s">
        <v>58</v>
      </c>
      <c r="AB23" s="51">
        <v>2</v>
      </c>
      <c r="AC23" s="21" t="s">
        <v>7</v>
      </c>
      <c r="AD23" s="22"/>
      <c r="AF23" s="221">
        <f t="shared" si="3"/>
        <v>7497.3000000000011</v>
      </c>
    </row>
    <row r="24" spans="1:32" ht="18.600000000000001" customHeight="1" x14ac:dyDescent="0.25">
      <c r="A24" s="47">
        <f t="shared" ref="A24:A29" si="30">SUM(A23+1)</f>
        <v>17</v>
      </c>
      <c r="B24" s="15" t="s">
        <v>13</v>
      </c>
      <c r="C24" s="16">
        <v>8529.4</v>
      </c>
      <c r="D24" s="17">
        <v>8870.96774</v>
      </c>
      <c r="E24" s="16">
        <v>39.9</v>
      </c>
      <c r="F24" s="18">
        <v>16.12903</v>
      </c>
      <c r="G24" s="19">
        <v>84.4</v>
      </c>
      <c r="H24" s="18">
        <v>16.12903</v>
      </c>
      <c r="I24" s="19">
        <v>0</v>
      </c>
      <c r="J24" s="18"/>
      <c r="K24" s="16">
        <v>2259.8000000000002</v>
      </c>
      <c r="L24" s="80"/>
      <c r="M24" s="238">
        <f t="shared" si="26"/>
        <v>2259.8000000000002</v>
      </c>
      <c r="N24" s="17">
        <v>2903.2258059999999</v>
      </c>
      <c r="O24" s="16">
        <v>57.2</v>
      </c>
      <c r="P24" s="80">
        <v>2744.6</v>
      </c>
      <c r="Q24" s="238">
        <f t="shared" ref="Q24:Q29" si="31">SUM(O24:P24)</f>
        <v>2801.7999999999997</v>
      </c>
      <c r="R24" s="17">
        <v>806.45161289999999</v>
      </c>
      <c r="S24" s="16">
        <v>3042.4</v>
      </c>
      <c r="T24" s="17">
        <v>3567.7419300000001</v>
      </c>
      <c r="U24" s="91">
        <f t="shared" si="27"/>
        <v>16757.7</v>
      </c>
      <c r="V24" s="89">
        <f t="shared" si="28"/>
        <v>16180.645148900001</v>
      </c>
      <c r="W24" s="16">
        <v>0</v>
      </c>
      <c r="X24" s="17"/>
      <c r="Y24" s="109">
        <f t="shared" si="29"/>
        <v>16757.7</v>
      </c>
      <c r="Z24" s="110">
        <f t="shared" si="29"/>
        <v>16180.645148900001</v>
      </c>
      <c r="AA24" s="50" t="s">
        <v>206</v>
      </c>
      <c r="AB24" s="46">
        <v>6</v>
      </c>
      <c r="AC24" s="21" t="s">
        <v>7</v>
      </c>
      <c r="AD24" s="22"/>
      <c r="AF24" s="221">
        <f t="shared" si="3"/>
        <v>10970.7</v>
      </c>
    </row>
    <row r="25" spans="1:32" ht="18.600000000000001" customHeight="1" x14ac:dyDescent="0.25">
      <c r="A25" s="47">
        <f t="shared" si="30"/>
        <v>18</v>
      </c>
      <c r="B25" s="15" t="s">
        <v>14</v>
      </c>
      <c r="C25" s="16">
        <v>5996</v>
      </c>
      <c r="D25" s="17">
        <v>8870.96774</v>
      </c>
      <c r="E25" s="16">
        <v>0</v>
      </c>
      <c r="F25" s="18">
        <v>16.12903</v>
      </c>
      <c r="G25" s="19">
        <v>0</v>
      </c>
      <c r="H25" s="18">
        <v>16.12903</v>
      </c>
      <c r="I25" s="19">
        <v>0</v>
      </c>
      <c r="J25" s="18"/>
      <c r="K25" s="16">
        <v>1700</v>
      </c>
      <c r="L25" s="80"/>
      <c r="M25" s="238">
        <f t="shared" si="26"/>
        <v>1700</v>
      </c>
      <c r="N25" s="17">
        <v>2903.2258059999999</v>
      </c>
      <c r="O25" s="16">
        <v>1136.5</v>
      </c>
      <c r="P25" s="80">
        <v>1631.5</v>
      </c>
      <c r="Q25" s="238">
        <f t="shared" si="31"/>
        <v>2768</v>
      </c>
      <c r="R25" s="17">
        <v>806.45161289999999</v>
      </c>
      <c r="S25" s="16">
        <v>3205.8</v>
      </c>
      <c r="T25" s="17">
        <v>3567.7419300000001</v>
      </c>
      <c r="U25" s="91">
        <f t="shared" si="27"/>
        <v>13669.8</v>
      </c>
      <c r="V25" s="89">
        <f t="shared" si="28"/>
        <v>16180.645148900001</v>
      </c>
      <c r="W25" s="16">
        <v>0</v>
      </c>
      <c r="X25" s="17"/>
      <c r="Y25" s="109">
        <f t="shared" si="29"/>
        <v>13669.8</v>
      </c>
      <c r="Z25" s="110">
        <f t="shared" si="29"/>
        <v>16180.645148900001</v>
      </c>
      <c r="AA25" s="50" t="s">
        <v>60</v>
      </c>
      <c r="AB25" s="46">
        <v>6</v>
      </c>
      <c r="AC25" s="21" t="s">
        <v>7</v>
      </c>
      <c r="AD25" s="22"/>
      <c r="AF25" s="221">
        <f t="shared" si="3"/>
        <v>8832.5</v>
      </c>
    </row>
    <row r="26" spans="1:32" ht="18.600000000000001" customHeight="1" x14ac:dyDescent="0.25">
      <c r="A26" s="47">
        <f t="shared" si="30"/>
        <v>19</v>
      </c>
      <c r="B26" s="15" t="s">
        <v>15</v>
      </c>
      <c r="C26" s="16">
        <v>7630.1</v>
      </c>
      <c r="D26" s="17">
        <v>8870.96774</v>
      </c>
      <c r="E26" s="16">
        <v>0</v>
      </c>
      <c r="F26" s="18">
        <v>16.12903</v>
      </c>
      <c r="G26" s="19">
        <v>0</v>
      </c>
      <c r="H26" s="18">
        <v>16.12903</v>
      </c>
      <c r="I26" s="19">
        <v>0</v>
      </c>
      <c r="J26" s="18"/>
      <c r="K26" s="16">
        <v>2313.1</v>
      </c>
      <c r="L26" s="80"/>
      <c r="M26" s="238">
        <f t="shared" si="26"/>
        <v>2313.1</v>
      </c>
      <c r="N26" s="17">
        <v>2903.2258059999999</v>
      </c>
      <c r="O26" s="16">
        <v>24</v>
      </c>
      <c r="P26" s="80">
        <v>1399</v>
      </c>
      <c r="Q26" s="238">
        <f t="shared" si="31"/>
        <v>1423</v>
      </c>
      <c r="R26" s="17">
        <v>806.45161289999999</v>
      </c>
      <c r="S26" s="16">
        <v>3468.3</v>
      </c>
      <c r="T26" s="17">
        <v>3567.7419300000001</v>
      </c>
      <c r="U26" s="91">
        <f t="shared" si="27"/>
        <v>14834.5</v>
      </c>
      <c r="V26" s="89">
        <f t="shared" si="28"/>
        <v>16180.645148900001</v>
      </c>
      <c r="W26" s="16">
        <v>0</v>
      </c>
      <c r="X26" s="17"/>
      <c r="Y26" s="109">
        <f t="shared" si="29"/>
        <v>14834.5</v>
      </c>
      <c r="Z26" s="110">
        <f t="shared" si="29"/>
        <v>16180.645148900001</v>
      </c>
      <c r="AA26" s="50" t="s">
        <v>162</v>
      </c>
      <c r="AB26" s="46">
        <v>8</v>
      </c>
      <c r="AC26" s="21" t="s">
        <v>7</v>
      </c>
      <c r="AD26" s="22"/>
      <c r="AF26" s="221">
        <f t="shared" si="3"/>
        <v>9967.2000000000007</v>
      </c>
    </row>
    <row r="27" spans="1:32" ht="18.600000000000001" customHeight="1" x14ac:dyDescent="0.25">
      <c r="A27" s="47">
        <f t="shared" si="30"/>
        <v>20</v>
      </c>
      <c r="B27" s="15" t="s">
        <v>6</v>
      </c>
      <c r="C27" s="16">
        <v>6513.8</v>
      </c>
      <c r="D27" s="17">
        <v>8870.96774</v>
      </c>
      <c r="E27" s="16">
        <v>0</v>
      </c>
      <c r="F27" s="18">
        <v>16.12903</v>
      </c>
      <c r="G27" s="19">
        <v>9</v>
      </c>
      <c r="H27" s="18">
        <v>16.12903</v>
      </c>
      <c r="I27" s="19">
        <v>0</v>
      </c>
      <c r="J27" s="18"/>
      <c r="K27" s="16">
        <v>9190</v>
      </c>
      <c r="L27" s="80"/>
      <c r="M27" s="238">
        <f t="shared" si="26"/>
        <v>9190</v>
      </c>
      <c r="N27" s="17">
        <v>2903.2258059999999</v>
      </c>
      <c r="O27" s="16">
        <v>0</v>
      </c>
      <c r="P27" s="80">
        <v>0</v>
      </c>
      <c r="Q27" s="238">
        <f t="shared" si="31"/>
        <v>0</v>
      </c>
      <c r="R27" s="17">
        <v>806.45161289999999</v>
      </c>
      <c r="S27" s="16">
        <v>2123</v>
      </c>
      <c r="T27" s="17">
        <v>3567.7419300000001</v>
      </c>
      <c r="U27" s="91">
        <f t="shared" si="27"/>
        <v>17835.8</v>
      </c>
      <c r="V27" s="89">
        <f t="shared" si="28"/>
        <v>16180.645148900001</v>
      </c>
      <c r="W27" s="16">
        <v>0</v>
      </c>
      <c r="X27" s="17"/>
      <c r="Y27" s="109">
        <f t="shared" si="29"/>
        <v>17835.8</v>
      </c>
      <c r="Z27" s="110">
        <f t="shared" si="29"/>
        <v>16180.645148900001</v>
      </c>
      <c r="AA27" s="50" t="s">
        <v>57</v>
      </c>
      <c r="AB27" s="46">
        <v>6</v>
      </c>
      <c r="AC27" s="21" t="s">
        <v>7</v>
      </c>
      <c r="AD27" s="22"/>
      <c r="AF27" s="221">
        <f t="shared" si="3"/>
        <v>15712.8</v>
      </c>
    </row>
    <row r="28" spans="1:32" ht="18.600000000000001" customHeight="1" x14ac:dyDescent="0.25">
      <c r="A28" s="23">
        <f t="shared" si="30"/>
        <v>21</v>
      </c>
      <c r="B28" s="24" t="s">
        <v>8</v>
      </c>
      <c r="C28" s="25">
        <v>11141.1</v>
      </c>
      <c r="D28" s="26">
        <v>8870.96774</v>
      </c>
      <c r="E28" s="25">
        <v>0</v>
      </c>
      <c r="F28" s="27">
        <v>16.12903</v>
      </c>
      <c r="G28" s="28">
        <v>9</v>
      </c>
      <c r="H28" s="27">
        <v>16.12903</v>
      </c>
      <c r="I28" s="28">
        <v>0</v>
      </c>
      <c r="J28" s="27"/>
      <c r="K28" s="25">
        <v>6202.3</v>
      </c>
      <c r="L28" s="81"/>
      <c r="M28" s="239">
        <f t="shared" si="26"/>
        <v>6202.3</v>
      </c>
      <c r="N28" s="26">
        <v>2903.2258059999999</v>
      </c>
      <c r="O28" s="25">
        <v>0</v>
      </c>
      <c r="P28" s="81">
        <v>0</v>
      </c>
      <c r="Q28" s="239">
        <f t="shared" si="31"/>
        <v>0</v>
      </c>
      <c r="R28" s="26">
        <v>806.45161289999999</v>
      </c>
      <c r="S28" s="25">
        <v>2830.5</v>
      </c>
      <c r="T28" s="26">
        <v>3567.7419300000001</v>
      </c>
      <c r="U28" s="183">
        <f t="shared" si="27"/>
        <v>20182.900000000001</v>
      </c>
      <c r="V28" s="53">
        <f t="shared" si="28"/>
        <v>16180.645148900001</v>
      </c>
      <c r="W28" s="81">
        <v>0</v>
      </c>
      <c r="X28" s="27"/>
      <c r="Y28" s="92">
        <f>SUM(U28+W28)</f>
        <v>20182.900000000001</v>
      </c>
      <c r="Z28" s="94">
        <f t="shared" si="29"/>
        <v>16180.645148900001</v>
      </c>
      <c r="AA28" s="29" t="s">
        <v>88</v>
      </c>
      <c r="AB28" s="30">
        <v>4</v>
      </c>
      <c r="AC28" s="31" t="s">
        <v>7</v>
      </c>
      <c r="AD28" s="32"/>
      <c r="AF28" s="221">
        <f t="shared" si="3"/>
        <v>17352.400000000001</v>
      </c>
    </row>
    <row r="29" spans="1:32" ht="18.600000000000001" customHeight="1" x14ac:dyDescent="0.25">
      <c r="A29" s="23">
        <f t="shared" si="30"/>
        <v>22</v>
      </c>
      <c r="B29" s="24" t="s">
        <v>9</v>
      </c>
      <c r="C29" s="25">
        <v>11412.1</v>
      </c>
      <c r="D29" s="26">
        <v>8870.96774</v>
      </c>
      <c r="E29" s="25">
        <v>0</v>
      </c>
      <c r="F29" s="27">
        <v>16.12903</v>
      </c>
      <c r="G29" s="28">
        <v>0</v>
      </c>
      <c r="H29" s="27">
        <v>16.12903</v>
      </c>
      <c r="I29" s="28">
        <v>0</v>
      </c>
      <c r="J29" s="27"/>
      <c r="K29" s="25">
        <v>1662.4</v>
      </c>
      <c r="L29" s="81"/>
      <c r="M29" s="239">
        <f t="shared" si="26"/>
        <v>1662.4</v>
      </c>
      <c r="N29" s="26">
        <v>2903.2258059999999</v>
      </c>
      <c r="O29" s="25">
        <v>0</v>
      </c>
      <c r="P29" s="81">
        <v>0</v>
      </c>
      <c r="Q29" s="239">
        <f t="shared" si="31"/>
        <v>0</v>
      </c>
      <c r="R29" s="26">
        <v>806.45161289999999</v>
      </c>
      <c r="S29" s="25">
        <v>1817.7</v>
      </c>
      <c r="T29" s="26">
        <v>3567.7419300000001</v>
      </c>
      <c r="U29" s="183">
        <f t="shared" si="27"/>
        <v>14892.2</v>
      </c>
      <c r="V29" s="24">
        <f t="shared" si="28"/>
        <v>16180.645148900001</v>
      </c>
      <c r="W29" s="81">
        <v>0</v>
      </c>
      <c r="X29" s="27"/>
      <c r="Y29" s="92">
        <f>SUM(U29+W29)</f>
        <v>14892.2</v>
      </c>
      <c r="Z29" s="94">
        <f t="shared" si="29"/>
        <v>16180.645148900001</v>
      </c>
      <c r="AA29" s="29" t="s">
        <v>207</v>
      </c>
      <c r="AB29" s="30">
        <v>0</v>
      </c>
      <c r="AC29" s="31" t="s">
        <v>7</v>
      </c>
      <c r="AD29" s="32"/>
      <c r="AF29" s="221">
        <f t="shared" si="3"/>
        <v>13074.5</v>
      </c>
    </row>
    <row r="30" spans="1:32" ht="18.600000000000001" customHeight="1" x14ac:dyDescent="0.25">
      <c r="A30" s="33" t="s">
        <v>10</v>
      </c>
      <c r="B30" s="34">
        <f>SUM(B22+1)</f>
        <v>51</v>
      </c>
      <c r="C30" s="35">
        <f>SUM(C23:C29)</f>
        <v>58007.1</v>
      </c>
      <c r="D30" s="82">
        <f t="shared" ref="D30:T30" si="32">SUM(D23:D29)</f>
        <v>62096.77418</v>
      </c>
      <c r="E30" s="35">
        <f t="shared" si="32"/>
        <v>39.9</v>
      </c>
      <c r="F30" s="82">
        <f t="shared" si="32"/>
        <v>112.90321</v>
      </c>
      <c r="G30" s="35">
        <f t="shared" si="32"/>
        <v>337.5</v>
      </c>
      <c r="H30" s="82">
        <f t="shared" si="32"/>
        <v>112.90321</v>
      </c>
      <c r="I30" s="35">
        <f t="shared" si="32"/>
        <v>0</v>
      </c>
      <c r="J30" s="82">
        <f t="shared" si="32"/>
        <v>0</v>
      </c>
      <c r="K30" s="35">
        <f t="shared" si="32"/>
        <v>23327.600000000002</v>
      </c>
      <c r="L30" s="82">
        <f t="shared" ref="L30" si="33">SUM(L27:L29)</f>
        <v>0</v>
      </c>
      <c r="M30" s="82">
        <f>SUM(M23:M29)</f>
        <v>23327.600000000002</v>
      </c>
      <c r="N30" s="82">
        <f t="shared" si="32"/>
        <v>20322.580641999997</v>
      </c>
      <c r="O30" s="35">
        <f t="shared" si="32"/>
        <v>1695.3000000000002</v>
      </c>
      <c r="P30" s="82">
        <f t="shared" ref="P30" si="34">SUM(P23:P29)</f>
        <v>8609.1</v>
      </c>
      <c r="Q30" s="297">
        <f>SUM(Q23:Q29)</f>
        <v>10304.4</v>
      </c>
      <c r="R30" s="36">
        <f t="shared" si="32"/>
        <v>5645.1612903000005</v>
      </c>
      <c r="S30" s="35">
        <f t="shared" si="32"/>
        <v>20843.7</v>
      </c>
      <c r="T30" s="82">
        <f t="shared" si="32"/>
        <v>24974.193510000001</v>
      </c>
      <c r="U30" s="35">
        <f>SUM(U23:U29)</f>
        <v>112860.2</v>
      </c>
      <c r="V30" s="36">
        <f t="shared" ref="V30:Z30" si="35">SUM(V23:V29)</f>
        <v>113264.51604230001</v>
      </c>
      <c r="W30" s="38">
        <v>0</v>
      </c>
      <c r="X30" s="37">
        <f t="shared" si="35"/>
        <v>0</v>
      </c>
      <c r="Y30" s="35">
        <f>SUM(Y23:Y29)</f>
        <v>112860.2</v>
      </c>
      <c r="Z30" s="36">
        <f t="shared" si="35"/>
        <v>113264.51604230001</v>
      </c>
      <c r="AA30" s="39" t="s">
        <v>11</v>
      </c>
      <c r="AB30" s="40">
        <f>SUM(AB23:AB29)/7</f>
        <v>4.5714285714285712</v>
      </c>
      <c r="AC30" s="41" t="s">
        <v>7</v>
      </c>
      <c r="AD30" s="42"/>
      <c r="AF30" s="221"/>
    </row>
    <row r="31" spans="1:32" ht="18.600000000000001" customHeight="1" x14ac:dyDescent="0.25">
      <c r="A31" s="321">
        <f>SUM(A29+1)</f>
        <v>23</v>
      </c>
      <c r="B31" s="322" t="s">
        <v>12</v>
      </c>
      <c r="C31" s="123">
        <v>10496.9</v>
      </c>
      <c r="D31" s="265">
        <v>8870.96774</v>
      </c>
      <c r="E31" s="123">
        <v>0</v>
      </c>
      <c r="F31" s="323">
        <v>16.12903</v>
      </c>
      <c r="G31" s="324">
        <v>0</v>
      </c>
      <c r="H31" s="323">
        <v>16.12903</v>
      </c>
      <c r="I31" s="324">
        <v>0</v>
      </c>
      <c r="J31" s="323"/>
      <c r="K31" s="123">
        <v>4358.6000000000004</v>
      </c>
      <c r="L31" s="467"/>
      <c r="M31" s="325">
        <f t="shared" ref="M31:M36" si="36">K31+L31</f>
        <v>4358.6000000000004</v>
      </c>
      <c r="N31" s="265">
        <v>2903.2258059999999</v>
      </c>
      <c r="O31" s="123">
        <v>0</v>
      </c>
      <c r="P31" s="467">
        <v>0</v>
      </c>
      <c r="Q31" s="325">
        <f>SUM(O31:P31)</f>
        <v>0</v>
      </c>
      <c r="R31" s="265">
        <v>806.45161289999999</v>
      </c>
      <c r="S31" s="123">
        <v>3992.9</v>
      </c>
      <c r="T31" s="265">
        <v>3567.7419300000001</v>
      </c>
      <c r="U31" s="326">
        <f t="shared" ref="U31:U37" si="37">SUM(C31+E31+G31+I31+M31+Q31+S31)</f>
        <v>18848.400000000001</v>
      </c>
      <c r="V31" s="327">
        <f>SUM(D31+F31+H31+J31+N31+R31+T31)</f>
        <v>16180.645148900001</v>
      </c>
      <c r="W31" s="123">
        <v>0</v>
      </c>
      <c r="X31" s="265"/>
      <c r="Y31" s="109">
        <f>SUM(U31+W31)</f>
        <v>18848.400000000001</v>
      </c>
      <c r="Z31" s="110">
        <f t="shared" ref="Y31:Z37" si="38">SUM(V31+X31)</f>
        <v>16180.645148900001</v>
      </c>
      <c r="AA31" s="468" t="s">
        <v>205</v>
      </c>
      <c r="AB31" s="469">
        <v>3</v>
      </c>
      <c r="AC31" s="470" t="s">
        <v>7</v>
      </c>
      <c r="AD31" s="463"/>
      <c r="AF31" s="221">
        <f t="shared" si="3"/>
        <v>14855.5</v>
      </c>
    </row>
    <row r="32" spans="1:32" ht="18.600000000000001" customHeight="1" x14ac:dyDescent="0.25">
      <c r="A32" s="23">
        <f>SUM(A31+1)</f>
        <v>24</v>
      </c>
      <c r="B32" s="24" t="s">
        <v>13</v>
      </c>
      <c r="C32" s="25">
        <v>8.6</v>
      </c>
      <c r="D32" s="26">
        <v>8870.96774</v>
      </c>
      <c r="E32" s="25">
        <v>0</v>
      </c>
      <c r="F32" s="27">
        <v>16.12903</v>
      </c>
      <c r="G32" s="28">
        <v>0</v>
      </c>
      <c r="H32" s="27">
        <v>16.12903</v>
      </c>
      <c r="I32" s="28">
        <v>0</v>
      </c>
      <c r="J32" s="27"/>
      <c r="K32" s="25">
        <v>0</v>
      </c>
      <c r="L32" s="81"/>
      <c r="M32" s="239">
        <f t="shared" si="36"/>
        <v>0</v>
      </c>
      <c r="N32" s="26">
        <v>2903.2258059999999</v>
      </c>
      <c r="O32" s="25">
        <v>0</v>
      </c>
      <c r="P32" s="81">
        <v>0</v>
      </c>
      <c r="Q32" s="239">
        <f t="shared" ref="Q32:Q40" si="39">SUM(O32:P32)</f>
        <v>0</v>
      </c>
      <c r="R32" s="26">
        <v>806.45161289999999</v>
      </c>
      <c r="S32" s="25">
        <v>8215.9</v>
      </c>
      <c r="T32" s="26">
        <v>3567.7419300000001</v>
      </c>
      <c r="U32" s="183">
        <f t="shared" si="37"/>
        <v>8224.5</v>
      </c>
      <c r="V32" s="90">
        <f t="shared" ref="V32:V37" si="40">SUM(D32+F32+H32+J32+N32+R32+T32)</f>
        <v>16180.645148900001</v>
      </c>
      <c r="W32" s="25">
        <v>0</v>
      </c>
      <c r="X32" s="26"/>
      <c r="Y32" s="92">
        <f t="shared" si="38"/>
        <v>8224.5</v>
      </c>
      <c r="Z32" s="234">
        <f t="shared" si="38"/>
        <v>16180.645148900001</v>
      </c>
      <c r="AA32" s="29" t="s">
        <v>60</v>
      </c>
      <c r="AB32" s="30">
        <v>2</v>
      </c>
      <c r="AC32" s="31" t="s">
        <v>7</v>
      </c>
      <c r="AD32" s="32" t="s">
        <v>134</v>
      </c>
      <c r="AF32" s="221">
        <f t="shared" si="3"/>
        <v>8.6</v>
      </c>
    </row>
    <row r="33" spans="1:32" ht="18.600000000000001" customHeight="1" x14ac:dyDescent="0.25">
      <c r="A33" s="23">
        <f t="shared" ref="A33:A37" si="41">SUM(A32+1)</f>
        <v>25</v>
      </c>
      <c r="B33" s="24" t="s">
        <v>14</v>
      </c>
      <c r="C33" s="25">
        <v>16538.5</v>
      </c>
      <c r="D33" s="26">
        <v>8870.96774</v>
      </c>
      <c r="E33" s="25">
        <v>0</v>
      </c>
      <c r="F33" s="27">
        <v>16.12903</v>
      </c>
      <c r="G33" s="28">
        <v>0</v>
      </c>
      <c r="H33" s="27">
        <v>16.12903</v>
      </c>
      <c r="I33" s="28">
        <v>0</v>
      </c>
      <c r="J33" s="27"/>
      <c r="K33" s="25">
        <v>1871.8</v>
      </c>
      <c r="L33" s="81"/>
      <c r="M33" s="239">
        <f t="shared" si="36"/>
        <v>1871.8</v>
      </c>
      <c r="N33" s="26">
        <v>2903.2258059999999</v>
      </c>
      <c r="O33" s="25">
        <v>0</v>
      </c>
      <c r="P33" s="81">
        <v>0</v>
      </c>
      <c r="Q33" s="239">
        <f t="shared" si="39"/>
        <v>0</v>
      </c>
      <c r="R33" s="26">
        <v>806.45161289999999</v>
      </c>
      <c r="S33" s="25">
        <v>4657.6000000000004</v>
      </c>
      <c r="T33" s="26">
        <v>3567.7419300000001</v>
      </c>
      <c r="U33" s="183">
        <f t="shared" si="37"/>
        <v>23067.9</v>
      </c>
      <c r="V33" s="90">
        <f t="shared" si="40"/>
        <v>16180.645148900001</v>
      </c>
      <c r="W33" s="25">
        <v>0</v>
      </c>
      <c r="X33" s="26"/>
      <c r="Y33" s="92">
        <f t="shared" si="38"/>
        <v>23067.9</v>
      </c>
      <c r="Z33" s="234">
        <f t="shared" si="38"/>
        <v>16180.645148900001</v>
      </c>
      <c r="AA33" s="29" t="s">
        <v>208</v>
      </c>
      <c r="AB33" s="30">
        <v>2</v>
      </c>
      <c r="AC33" s="31" t="s">
        <v>7</v>
      </c>
      <c r="AD33" s="32" t="s">
        <v>135</v>
      </c>
      <c r="AF33" s="221">
        <f t="shared" si="3"/>
        <v>18410.3</v>
      </c>
    </row>
    <row r="34" spans="1:32" ht="18.600000000000001" customHeight="1" x14ac:dyDescent="0.25">
      <c r="A34" s="23">
        <f t="shared" si="41"/>
        <v>26</v>
      </c>
      <c r="B34" s="24" t="s">
        <v>15</v>
      </c>
      <c r="C34" s="25">
        <v>16494.8</v>
      </c>
      <c r="D34" s="26">
        <v>8870.96774</v>
      </c>
      <c r="E34" s="25">
        <v>0</v>
      </c>
      <c r="F34" s="27">
        <v>16.12903</v>
      </c>
      <c r="G34" s="28">
        <v>0</v>
      </c>
      <c r="H34" s="27">
        <v>16.12903</v>
      </c>
      <c r="I34" s="28">
        <v>0</v>
      </c>
      <c r="J34" s="27"/>
      <c r="K34" s="25">
        <v>0</v>
      </c>
      <c r="L34" s="81"/>
      <c r="M34" s="239">
        <f t="shared" si="36"/>
        <v>0</v>
      </c>
      <c r="N34" s="26">
        <v>2903.2258059999999</v>
      </c>
      <c r="O34" s="25">
        <v>0</v>
      </c>
      <c r="P34" s="81">
        <v>0</v>
      </c>
      <c r="Q34" s="239">
        <f t="shared" si="39"/>
        <v>0</v>
      </c>
      <c r="R34" s="26">
        <v>806.45161289999999</v>
      </c>
      <c r="S34" s="25">
        <v>3802.5</v>
      </c>
      <c r="T34" s="26">
        <v>3567.7419300000001</v>
      </c>
      <c r="U34" s="183">
        <f t="shared" si="37"/>
        <v>20297.3</v>
      </c>
      <c r="V34" s="90">
        <f t="shared" si="40"/>
        <v>16180.645148900001</v>
      </c>
      <c r="W34" s="25">
        <v>0</v>
      </c>
      <c r="X34" s="26"/>
      <c r="Y34" s="92">
        <f t="shared" si="38"/>
        <v>20297.3</v>
      </c>
      <c r="Z34" s="234">
        <f t="shared" si="38"/>
        <v>16180.645148900001</v>
      </c>
      <c r="AA34" s="29" t="s">
        <v>58</v>
      </c>
      <c r="AB34" s="30">
        <v>-1</v>
      </c>
      <c r="AC34" s="31" t="s">
        <v>7</v>
      </c>
      <c r="AD34" s="32" t="s">
        <v>136</v>
      </c>
      <c r="AF34" s="221">
        <f t="shared" si="3"/>
        <v>16494.8</v>
      </c>
    </row>
    <row r="35" spans="1:32" ht="18.600000000000001" customHeight="1" x14ac:dyDescent="0.25">
      <c r="A35" s="47">
        <f t="shared" si="41"/>
        <v>27</v>
      </c>
      <c r="B35" s="15" t="s">
        <v>6</v>
      </c>
      <c r="C35" s="16">
        <v>7977.8</v>
      </c>
      <c r="D35" s="17">
        <v>8870.96774</v>
      </c>
      <c r="E35" s="16">
        <v>0</v>
      </c>
      <c r="F35" s="18">
        <v>16.12903</v>
      </c>
      <c r="G35" s="19">
        <v>0</v>
      </c>
      <c r="H35" s="18">
        <v>16.12903</v>
      </c>
      <c r="I35" s="226">
        <v>0</v>
      </c>
      <c r="J35" s="18"/>
      <c r="K35" s="16">
        <v>551.4</v>
      </c>
      <c r="L35" s="80"/>
      <c r="M35" s="238">
        <f t="shared" si="36"/>
        <v>551.4</v>
      </c>
      <c r="N35" s="17">
        <v>2903.2258059999999</v>
      </c>
      <c r="O35" s="16">
        <v>0</v>
      </c>
      <c r="P35" s="80">
        <v>0</v>
      </c>
      <c r="Q35" s="250">
        <f t="shared" si="39"/>
        <v>0</v>
      </c>
      <c r="R35" s="17">
        <v>806.45161289999999</v>
      </c>
      <c r="S35" s="16">
        <v>4619.5</v>
      </c>
      <c r="T35" s="17">
        <v>3567.7419300000001</v>
      </c>
      <c r="U35" s="91">
        <f t="shared" si="37"/>
        <v>13148.7</v>
      </c>
      <c r="V35" s="89">
        <f>SUM(D35+F35+H35+J35+N35+R35+T35)</f>
        <v>16180.645148900001</v>
      </c>
      <c r="W35" s="16">
        <v>0</v>
      </c>
      <c r="X35" s="17"/>
      <c r="Y35" s="109">
        <f>SUM(U35+W35)</f>
        <v>13148.7</v>
      </c>
      <c r="Z35" s="110">
        <f>SUM(V35+X35)</f>
        <v>16180.645148900001</v>
      </c>
      <c r="AA35" s="45" t="s">
        <v>60</v>
      </c>
      <c r="AB35" s="46">
        <v>-1</v>
      </c>
      <c r="AC35" s="21" t="s">
        <v>7</v>
      </c>
      <c r="AD35" s="22"/>
      <c r="AF35" s="221">
        <f t="shared" si="3"/>
        <v>8529.2000000000007</v>
      </c>
    </row>
    <row r="36" spans="1:32" ht="18.600000000000001" customHeight="1" x14ac:dyDescent="0.25">
      <c r="A36" s="23">
        <f t="shared" si="41"/>
        <v>28</v>
      </c>
      <c r="B36" s="24" t="s">
        <v>8</v>
      </c>
      <c r="C36" s="25">
        <v>8812.4</v>
      </c>
      <c r="D36" s="26">
        <v>8870.96774</v>
      </c>
      <c r="E36" s="25">
        <v>0</v>
      </c>
      <c r="F36" s="27">
        <v>16.12903</v>
      </c>
      <c r="G36" s="28">
        <v>0</v>
      </c>
      <c r="H36" s="27">
        <v>16.12903</v>
      </c>
      <c r="I36" s="28">
        <v>0</v>
      </c>
      <c r="J36" s="27"/>
      <c r="K36" s="25">
        <v>2127.6999999999998</v>
      </c>
      <c r="L36" s="81"/>
      <c r="M36" s="239">
        <f t="shared" si="36"/>
        <v>2127.6999999999998</v>
      </c>
      <c r="N36" s="26">
        <v>2903.2258059999999</v>
      </c>
      <c r="O36" s="25">
        <v>0</v>
      </c>
      <c r="P36" s="81">
        <v>0</v>
      </c>
      <c r="Q36" s="239">
        <f t="shared" si="39"/>
        <v>0</v>
      </c>
      <c r="R36" s="26">
        <v>806.45161289999999</v>
      </c>
      <c r="S36" s="25">
        <v>4783.3</v>
      </c>
      <c r="T36" s="26">
        <v>3567.7419300000001</v>
      </c>
      <c r="U36" s="183">
        <f t="shared" si="37"/>
        <v>15723.399999999998</v>
      </c>
      <c r="V36" s="90">
        <f t="shared" ref="V36" si="42">SUM(D36+F36+H36+J36+N36+R36+T36)</f>
        <v>16180.645148900001</v>
      </c>
      <c r="W36" s="25">
        <v>0</v>
      </c>
      <c r="X36" s="26"/>
      <c r="Y36" s="92">
        <f t="shared" ref="Y36" si="43">SUM(U36+W36)</f>
        <v>15723.399999999998</v>
      </c>
      <c r="Z36" s="234">
        <f t="shared" ref="Z36" si="44">SUM(V36+X36)</f>
        <v>16180.645148900001</v>
      </c>
      <c r="AA36" s="29" t="s">
        <v>78</v>
      </c>
      <c r="AB36" s="30">
        <v>2</v>
      </c>
      <c r="AC36" s="31" t="s">
        <v>7</v>
      </c>
      <c r="AD36" s="32"/>
      <c r="AF36" s="221">
        <f t="shared" si="3"/>
        <v>10940.099999999999</v>
      </c>
    </row>
    <row r="37" spans="1:32" ht="18.600000000000001" customHeight="1" x14ac:dyDescent="0.25">
      <c r="A37" s="23">
        <f t="shared" si="41"/>
        <v>29</v>
      </c>
      <c r="B37" s="24" t="s">
        <v>9</v>
      </c>
      <c r="C37" s="25">
        <v>8640.7999999999993</v>
      </c>
      <c r="D37" s="26">
        <v>8870.96774</v>
      </c>
      <c r="E37" s="25">
        <v>0</v>
      </c>
      <c r="F37" s="27">
        <v>16.12903</v>
      </c>
      <c r="G37" s="28">
        <v>0</v>
      </c>
      <c r="H37" s="27">
        <v>16.12903</v>
      </c>
      <c r="I37" s="28">
        <v>0</v>
      </c>
      <c r="J37" s="27"/>
      <c r="K37" s="25">
        <v>1490</v>
      </c>
      <c r="L37" s="81"/>
      <c r="M37" s="239">
        <f>K37+L37</f>
        <v>1490</v>
      </c>
      <c r="N37" s="26">
        <v>2903.2258059999999</v>
      </c>
      <c r="O37" s="25">
        <v>0</v>
      </c>
      <c r="P37" s="81">
        <v>0</v>
      </c>
      <c r="Q37" s="239">
        <f t="shared" si="39"/>
        <v>0</v>
      </c>
      <c r="R37" s="26">
        <v>806.45161289999999</v>
      </c>
      <c r="S37" s="25">
        <v>3106.3</v>
      </c>
      <c r="T37" s="26">
        <v>3567.7419300000001</v>
      </c>
      <c r="U37" s="183">
        <f t="shared" si="37"/>
        <v>13237.099999999999</v>
      </c>
      <c r="V37" s="90">
        <f t="shared" si="40"/>
        <v>16180.645148900001</v>
      </c>
      <c r="W37" s="25">
        <v>0</v>
      </c>
      <c r="X37" s="26"/>
      <c r="Y37" s="92">
        <f t="shared" si="38"/>
        <v>13237.099999999999</v>
      </c>
      <c r="Z37" s="234">
        <f t="shared" si="38"/>
        <v>16180.645148900001</v>
      </c>
      <c r="AA37" s="29" t="s">
        <v>78</v>
      </c>
      <c r="AB37" s="30">
        <v>1</v>
      </c>
      <c r="AC37" s="31" t="s">
        <v>7</v>
      </c>
      <c r="AD37" s="32"/>
      <c r="AF37" s="221">
        <f t="shared" si="3"/>
        <v>10130.799999999999</v>
      </c>
    </row>
    <row r="38" spans="1:32" ht="19.149999999999999" customHeight="1" thickBot="1" x14ac:dyDescent="0.3">
      <c r="A38" s="33" t="s">
        <v>10</v>
      </c>
      <c r="B38" s="34">
        <f>SUM(B30+1)</f>
        <v>52</v>
      </c>
      <c r="C38" s="68">
        <f>SUM(C31:C37)</f>
        <v>68969.8</v>
      </c>
      <c r="D38" s="70">
        <f>SUM(D31:D37)</f>
        <v>62096.77418</v>
      </c>
      <c r="E38" s="68">
        <f t="shared" ref="E38:X38" si="45">SUM(E31:E37)</f>
        <v>0</v>
      </c>
      <c r="F38" s="70">
        <f t="shared" si="45"/>
        <v>112.90321</v>
      </c>
      <c r="G38" s="68">
        <f t="shared" si="45"/>
        <v>0</v>
      </c>
      <c r="H38" s="70">
        <f t="shared" si="45"/>
        <v>112.90321</v>
      </c>
      <c r="I38" s="68">
        <f>SUM(I31:I37)</f>
        <v>0</v>
      </c>
      <c r="J38" s="70">
        <f>SUM(J31:J37)</f>
        <v>0</v>
      </c>
      <c r="K38" s="68">
        <f t="shared" si="45"/>
        <v>10399.5</v>
      </c>
      <c r="L38" s="70">
        <f t="shared" ref="L38" si="46">SUM(L35:L37)</f>
        <v>0</v>
      </c>
      <c r="M38" s="70">
        <f>SUM(M31:M37)</f>
        <v>10399.5</v>
      </c>
      <c r="N38" s="70">
        <f t="shared" si="45"/>
        <v>20322.580641999997</v>
      </c>
      <c r="O38" s="68">
        <f t="shared" si="45"/>
        <v>0</v>
      </c>
      <c r="P38" s="70">
        <f t="shared" si="45"/>
        <v>0</v>
      </c>
      <c r="Q38" s="70">
        <f t="shared" si="45"/>
        <v>0</v>
      </c>
      <c r="R38" s="70">
        <f t="shared" si="45"/>
        <v>5645.1612903000005</v>
      </c>
      <c r="S38" s="68">
        <f t="shared" si="45"/>
        <v>33178</v>
      </c>
      <c r="T38" s="70">
        <f t="shared" si="45"/>
        <v>24974.193510000001</v>
      </c>
      <c r="U38" s="68">
        <f t="shared" si="45"/>
        <v>112547.29999999999</v>
      </c>
      <c r="V38" s="118">
        <f t="shared" si="45"/>
        <v>113264.51604230001</v>
      </c>
      <c r="W38" s="70">
        <v>0</v>
      </c>
      <c r="X38" s="70">
        <f t="shared" si="45"/>
        <v>0</v>
      </c>
      <c r="Y38" s="68">
        <f>SUM(Y31:Y37)</f>
        <v>112547.29999999999</v>
      </c>
      <c r="Z38" s="118">
        <f>SUM(Z31:Z37)</f>
        <v>113264.51604230001</v>
      </c>
      <c r="AA38" s="93" t="s">
        <v>11</v>
      </c>
      <c r="AB38" s="40">
        <f>SUM(AB31:AB37)/5</f>
        <v>1.6</v>
      </c>
      <c r="AC38" s="41" t="s">
        <v>7</v>
      </c>
      <c r="AD38" s="42"/>
      <c r="AF38" s="221"/>
    </row>
    <row r="39" spans="1:32" ht="19.149999999999999" customHeight="1" x14ac:dyDescent="0.25">
      <c r="A39" s="466">
        <f>SUM(A37+1)</f>
        <v>30</v>
      </c>
      <c r="B39" s="15" t="s">
        <v>12</v>
      </c>
      <c r="C39" s="464">
        <v>8225.5</v>
      </c>
      <c r="D39" s="465">
        <v>8870.96774</v>
      </c>
      <c r="E39" s="464">
        <v>0</v>
      </c>
      <c r="F39" s="465">
        <v>16.12903</v>
      </c>
      <c r="G39" s="464">
        <v>0</v>
      </c>
      <c r="H39" s="465">
        <v>16.12903</v>
      </c>
      <c r="I39" s="464">
        <v>0</v>
      </c>
      <c r="J39" s="465"/>
      <c r="K39" s="464">
        <v>0</v>
      </c>
      <c r="L39" s="465">
        <v>0</v>
      </c>
      <c r="M39" s="465">
        <f t="shared" ref="M39:M40" si="47">K39+L39</f>
        <v>0</v>
      </c>
      <c r="N39" s="465">
        <v>2903.2258059999999</v>
      </c>
      <c r="O39" s="464">
        <v>0</v>
      </c>
      <c r="P39" s="465">
        <v>0</v>
      </c>
      <c r="Q39" s="465">
        <f t="shared" si="39"/>
        <v>0</v>
      </c>
      <c r="R39" s="465">
        <v>806.45161289999999</v>
      </c>
      <c r="S39" s="464">
        <v>4026</v>
      </c>
      <c r="T39" s="465">
        <v>3567.7419300000001</v>
      </c>
      <c r="U39" s="464">
        <f t="shared" ref="U39:U40" si="48">SUM(C39+E39+G39+I39+M39+Q39+S39)</f>
        <v>12251.5</v>
      </c>
      <c r="V39" s="475">
        <f t="shared" ref="V39:V40" si="49">SUM(D39+F39+H39+J39+N39+R39+T39)</f>
        <v>16180.645148900001</v>
      </c>
      <c r="W39" s="465">
        <v>0</v>
      </c>
      <c r="X39" s="465"/>
      <c r="Y39" s="478">
        <f>SUM(U39+W39)</f>
        <v>12251.5</v>
      </c>
      <c r="Z39" s="479">
        <f>SUM(V39+X39)</f>
        <v>16180.645148900001</v>
      </c>
      <c r="AA39" s="462" t="s">
        <v>60</v>
      </c>
      <c r="AB39" s="46">
        <v>1</v>
      </c>
      <c r="AC39" s="21" t="s">
        <v>7</v>
      </c>
      <c r="AD39" s="463"/>
      <c r="AF39" s="221">
        <f t="shared" si="3"/>
        <v>8225.5</v>
      </c>
    </row>
    <row r="40" spans="1:32" ht="19.149999999999999" customHeight="1" x14ac:dyDescent="0.25">
      <c r="A40" s="471">
        <f>SUM(A39+1)</f>
        <v>31</v>
      </c>
      <c r="B40" s="24" t="s">
        <v>13</v>
      </c>
      <c r="C40" s="472">
        <v>45857.5</v>
      </c>
      <c r="D40" s="473">
        <v>8870.96774</v>
      </c>
      <c r="E40" s="472">
        <v>174.7</v>
      </c>
      <c r="F40" s="473">
        <v>16.12903</v>
      </c>
      <c r="G40" s="472">
        <v>70.3</v>
      </c>
      <c r="H40" s="473">
        <v>16.12903</v>
      </c>
      <c r="I40" s="472">
        <v>0</v>
      </c>
      <c r="J40" s="473"/>
      <c r="K40" s="472">
        <v>0</v>
      </c>
      <c r="L40" s="473"/>
      <c r="M40" s="473">
        <f t="shared" si="47"/>
        <v>0</v>
      </c>
      <c r="N40" s="473">
        <v>2903.2258059999999</v>
      </c>
      <c r="O40" s="472">
        <v>0</v>
      </c>
      <c r="P40" s="473">
        <v>0</v>
      </c>
      <c r="Q40" s="473">
        <f t="shared" si="39"/>
        <v>0</v>
      </c>
      <c r="R40" s="473">
        <v>806.45161289999999</v>
      </c>
      <c r="S40" s="472">
        <v>23542</v>
      </c>
      <c r="T40" s="473">
        <v>3567.7419300000001</v>
      </c>
      <c r="U40" s="472">
        <f t="shared" si="48"/>
        <v>69644.5</v>
      </c>
      <c r="V40" s="476">
        <f t="shared" si="49"/>
        <v>16180.645148900001</v>
      </c>
      <c r="W40" s="473">
        <v>0</v>
      </c>
      <c r="X40" s="473"/>
      <c r="Y40" s="472">
        <f>SUM(U40+W40)</f>
        <v>69644.5</v>
      </c>
      <c r="Z40" s="476">
        <f t="shared" ref="Z40" si="50">SUM(V40+X40)</f>
        <v>16180.645148900001</v>
      </c>
      <c r="AA40" s="474" t="s">
        <v>209</v>
      </c>
      <c r="AB40" s="30">
        <v>1</v>
      </c>
      <c r="AC40" s="31" t="s">
        <v>7</v>
      </c>
      <c r="AD40" s="32" t="s">
        <v>133</v>
      </c>
      <c r="AF40" s="221">
        <f t="shared" si="3"/>
        <v>46102.5</v>
      </c>
    </row>
    <row r="41" spans="1:32" ht="19.149999999999999" customHeight="1" thickBot="1" x14ac:dyDescent="0.3">
      <c r="A41" s="453" t="s">
        <v>10</v>
      </c>
      <c r="B41" s="444">
        <v>1</v>
      </c>
      <c r="C41" s="54">
        <f>SUM(C39:C40)</f>
        <v>54083</v>
      </c>
      <c r="D41" s="454">
        <f t="shared" ref="D41:Z41" si="51">SUM(D39:D40)</f>
        <v>17741.93548</v>
      </c>
      <c r="E41" s="54">
        <f t="shared" si="51"/>
        <v>174.7</v>
      </c>
      <c r="F41" s="454">
        <f t="shared" si="51"/>
        <v>32.25806</v>
      </c>
      <c r="G41" s="54">
        <f t="shared" si="51"/>
        <v>70.3</v>
      </c>
      <c r="H41" s="454">
        <f t="shared" si="51"/>
        <v>32.25806</v>
      </c>
      <c r="I41" s="54">
        <f t="shared" si="51"/>
        <v>0</v>
      </c>
      <c r="J41" s="454">
        <f t="shared" si="51"/>
        <v>0</v>
      </c>
      <c r="K41" s="54">
        <f t="shared" si="51"/>
        <v>0</v>
      </c>
      <c r="L41" s="454">
        <f t="shared" si="51"/>
        <v>0</v>
      </c>
      <c r="M41" s="454">
        <f t="shared" si="51"/>
        <v>0</v>
      </c>
      <c r="N41" s="454">
        <f t="shared" si="51"/>
        <v>5806.4516119999998</v>
      </c>
      <c r="O41" s="54">
        <f t="shared" si="51"/>
        <v>0</v>
      </c>
      <c r="P41" s="454">
        <f t="shared" si="51"/>
        <v>0</v>
      </c>
      <c r="Q41" s="454">
        <f t="shared" si="51"/>
        <v>0</v>
      </c>
      <c r="R41" s="454">
        <f t="shared" si="51"/>
        <v>1612.9032258</v>
      </c>
      <c r="S41" s="54">
        <f t="shared" si="51"/>
        <v>27568</v>
      </c>
      <c r="T41" s="454">
        <f t="shared" si="51"/>
        <v>7135.4838600000003</v>
      </c>
      <c r="U41" s="54">
        <f t="shared" si="51"/>
        <v>81896</v>
      </c>
      <c r="V41" s="426">
        <f t="shared" si="51"/>
        <v>32361.290297800002</v>
      </c>
      <c r="W41" s="454">
        <f t="shared" si="51"/>
        <v>0</v>
      </c>
      <c r="X41" s="454">
        <f t="shared" si="51"/>
        <v>0</v>
      </c>
      <c r="Y41" s="54">
        <f>SUM(Y39:Y40)</f>
        <v>81896</v>
      </c>
      <c r="Z41" s="426">
        <f t="shared" si="51"/>
        <v>32361.290297800002</v>
      </c>
      <c r="AA41" s="455" t="s">
        <v>75</v>
      </c>
      <c r="AB41" s="456">
        <v>0</v>
      </c>
      <c r="AC41" s="457" t="s">
        <v>7</v>
      </c>
      <c r="AD41" s="445"/>
      <c r="AF41" s="221">
        <f>SUM(AF5:AF40)</f>
        <v>426449.64999999997</v>
      </c>
    </row>
    <row r="42" spans="1:32" ht="19.149999999999999" customHeight="1" x14ac:dyDescent="0.25">
      <c r="A42" s="175" t="s">
        <v>16</v>
      </c>
      <c r="B42" s="127"/>
      <c r="C42" s="115">
        <f>SUM(C6+C14+C22+C30+C38+C41)</f>
        <v>304869.75</v>
      </c>
      <c r="D42" s="116">
        <f t="shared" ref="D42:Z42" si="52">SUM(D6+D14+D22+D30+D38+D41)</f>
        <v>274999.99994000001</v>
      </c>
      <c r="E42" s="115">
        <f t="shared" si="52"/>
        <v>232.6</v>
      </c>
      <c r="F42" s="116">
        <f t="shared" si="52"/>
        <v>499.99993000000001</v>
      </c>
      <c r="G42" s="115">
        <f t="shared" si="52"/>
        <v>608.79999999999995</v>
      </c>
      <c r="H42" s="116">
        <f t="shared" si="52"/>
        <v>499.99993000000001</v>
      </c>
      <c r="I42" s="115">
        <f t="shared" si="52"/>
        <v>0</v>
      </c>
      <c r="J42" s="116">
        <f t="shared" si="52"/>
        <v>0</v>
      </c>
      <c r="K42" s="115">
        <f>SUM(K6+K14+K22+K30+K38+K41)</f>
        <v>111014.6</v>
      </c>
      <c r="L42" s="116">
        <f t="shared" si="52"/>
        <v>0</v>
      </c>
      <c r="M42" s="116">
        <f>SUM(M6+M14+M22+M30+M38+M41)</f>
        <v>111014.6</v>
      </c>
      <c r="N42" s="116">
        <f t="shared" si="52"/>
        <v>89999.999985999995</v>
      </c>
      <c r="O42" s="115">
        <f t="shared" si="52"/>
        <v>9723.8999999999978</v>
      </c>
      <c r="P42" s="244">
        <f t="shared" si="52"/>
        <v>38946.1</v>
      </c>
      <c r="Q42" s="116">
        <f>SUM(Q6+Q14+Q22+Q30+Q38+Q41)</f>
        <v>48670.000000000007</v>
      </c>
      <c r="R42" s="116">
        <f t="shared" si="52"/>
        <v>24999.999999899999</v>
      </c>
      <c r="S42" s="115">
        <f t="shared" si="52"/>
        <v>139268</v>
      </c>
      <c r="T42" s="116">
        <f t="shared" si="52"/>
        <v>110599.99982999999</v>
      </c>
      <c r="U42" s="115">
        <f t="shared" si="52"/>
        <v>604663.75</v>
      </c>
      <c r="V42" s="116">
        <f t="shared" si="52"/>
        <v>501599.99961589999</v>
      </c>
      <c r="W42" s="115">
        <f t="shared" si="52"/>
        <v>0</v>
      </c>
      <c r="X42" s="116">
        <f t="shared" si="52"/>
        <v>0</v>
      </c>
      <c r="Y42" s="115">
        <f>SUM(Y6+Y14+Y22+Y30+Y38+Y41)</f>
        <v>604663.75</v>
      </c>
      <c r="Z42" s="116">
        <f t="shared" si="52"/>
        <v>501599.99961589999</v>
      </c>
      <c r="AA42" s="126" t="s">
        <v>16</v>
      </c>
      <c r="AB42" s="101"/>
      <c r="AC42" s="102"/>
      <c r="AD42" s="103"/>
    </row>
    <row r="43" spans="1:32" ht="19.149999999999999" customHeight="1" thickBot="1" x14ac:dyDescent="0.3">
      <c r="A43" s="177" t="s">
        <v>28</v>
      </c>
      <c r="B43" s="178"/>
      <c r="C43" s="65">
        <f t="shared" ref="C43:Z43" si="53">C42/31</f>
        <v>9834.5080645161288</v>
      </c>
      <c r="D43" s="66">
        <f t="shared" si="53"/>
        <v>8870.96774</v>
      </c>
      <c r="E43" s="65">
        <f t="shared" si="53"/>
        <v>7.5032258064516126</v>
      </c>
      <c r="F43" s="66">
        <f t="shared" si="53"/>
        <v>16.12903</v>
      </c>
      <c r="G43" s="65">
        <f t="shared" si="53"/>
        <v>19.638709677419353</v>
      </c>
      <c r="H43" s="66">
        <f t="shared" si="53"/>
        <v>16.12903</v>
      </c>
      <c r="I43" s="65">
        <f>I42/31</f>
        <v>0</v>
      </c>
      <c r="J43" s="66">
        <f>J42/31</f>
        <v>0</v>
      </c>
      <c r="K43" s="65">
        <f t="shared" si="53"/>
        <v>3581.1161290322584</v>
      </c>
      <c r="L43" s="83">
        <f t="shared" si="53"/>
        <v>0</v>
      </c>
      <c r="M43" s="240">
        <f t="shared" si="53"/>
        <v>3581.1161290322584</v>
      </c>
      <c r="N43" s="66">
        <f t="shared" si="53"/>
        <v>2903.2258059999999</v>
      </c>
      <c r="O43" s="65">
        <f t="shared" si="53"/>
        <v>313.67419354838705</v>
      </c>
      <c r="P43" s="245">
        <f t="shared" si="53"/>
        <v>1256.3258064516128</v>
      </c>
      <c r="Q43" s="83">
        <f t="shared" si="53"/>
        <v>1570.0000000000002</v>
      </c>
      <c r="R43" s="66">
        <f t="shared" si="53"/>
        <v>806.45161289999999</v>
      </c>
      <c r="S43" s="65">
        <f t="shared" si="53"/>
        <v>4492.5161290322585</v>
      </c>
      <c r="T43" s="66">
        <f t="shared" si="53"/>
        <v>3567.7419299999997</v>
      </c>
      <c r="U43" s="65">
        <f t="shared" si="53"/>
        <v>19505.282258064515</v>
      </c>
      <c r="V43" s="66">
        <f t="shared" si="53"/>
        <v>16180.645148899999</v>
      </c>
      <c r="W43" s="65">
        <f t="shared" si="53"/>
        <v>0</v>
      </c>
      <c r="X43" s="66">
        <f t="shared" si="53"/>
        <v>0</v>
      </c>
      <c r="Y43" s="65">
        <f t="shared" si="53"/>
        <v>19505.282258064515</v>
      </c>
      <c r="Z43" s="66">
        <f t="shared" si="53"/>
        <v>16180.645148899999</v>
      </c>
      <c r="AA43" s="69" t="s">
        <v>17</v>
      </c>
      <c r="AB43" s="98"/>
      <c r="AC43" s="99"/>
      <c r="AD43" s="100"/>
    </row>
    <row r="44" spans="1:32" ht="20.100000000000001" customHeight="1" x14ac:dyDescent="0.25">
      <c r="A44" s="72" t="s">
        <v>18</v>
      </c>
      <c r="B44" s="73"/>
      <c r="C44" s="74">
        <f>SUM(C42-D42)</f>
        <v>29869.750059999991</v>
      </c>
      <c r="D44" s="75"/>
      <c r="E44" s="74">
        <f>SUM(E42-F42)</f>
        <v>-267.39993000000004</v>
      </c>
      <c r="F44" s="75"/>
      <c r="G44" s="74">
        <f>SUM(G42-H42)</f>
        <v>108.80006999999995</v>
      </c>
      <c r="H44" s="75"/>
      <c r="I44" s="74">
        <f>SUM(I42-J42)</f>
        <v>0</v>
      </c>
      <c r="J44" s="75"/>
      <c r="K44" s="74"/>
      <c r="L44" s="133"/>
      <c r="M44" s="241">
        <f>SUM(M42-N42)</f>
        <v>21014.600014000011</v>
      </c>
      <c r="N44" s="75"/>
      <c r="O44" s="74"/>
      <c r="P44" s="246"/>
      <c r="Q44" s="133">
        <f>SUM(Q42-R42)</f>
        <v>23670.000000100008</v>
      </c>
      <c r="R44" s="75"/>
      <c r="S44" s="74">
        <f>SUM(S42-T42)</f>
        <v>28668.000170000014</v>
      </c>
      <c r="T44" s="75"/>
      <c r="U44" s="96">
        <f>SUM(U42-V42)</f>
        <v>103063.75038410001</v>
      </c>
      <c r="V44" s="75"/>
      <c r="W44" s="74">
        <f>SUM(W42-X42)</f>
        <v>0</v>
      </c>
      <c r="X44" s="75"/>
      <c r="Y44" s="111">
        <f>SUM(Y42-Z42)</f>
        <v>103063.75038410001</v>
      </c>
      <c r="Z44" s="112"/>
      <c r="AC44" s="2"/>
      <c r="AD44" s="2"/>
    </row>
    <row r="45" spans="1:32" ht="20.100000000000001" customHeight="1" thickBot="1" x14ac:dyDescent="0.3">
      <c r="A45" s="76" t="s">
        <v>19</v>
      </c>
      <c r="B45" s="77"/>
      <c r="C45" s="95">
        <f>SUM(100/D42*C42)</f>
        <v>110.86172729691529</v>
      </c>
      <c r="D45" s="78"/>
      <c r="E45" s="95">
        <f>SUM(100/F42*E42)</f>
        <v>46.520006512800911</v>
      </c>
      <c r="F45" s="78"/>
      <c r="G45" s="95">
        <f>SUM(100/H42*G42)</f>
        <v>121.76001704640237</v>
      </c>
      <c r="H45" s="78"/>
      <c r="I45" s="95" t="e">
        <f>SUM(100/J42*I42)</f>
        <v>#DIV/0!</v>
      </c>
      <c r="J45" s="78"/>
      <c r="K45" s="95"/>
      <c r="L45" s="257"/>
      <c r="M45" s="242">
        <f>SUM(100/N42*M42)</f>
        <v>123.34955557474328</v>
      </c>
      <c r="N45" s="78"/>
      <c r="O45" s="95">
        <f>SUM(100/R42*O42)</f>
        <v>38.895600000155575</v>
      </c>
      <c r="P45" s="242"/>
      <c r="Q45" s="242"/>
      <c r="R45" s="78"/>
      <c r="S45" s="95">
        <f>SUM(100/T42*S42)</f>
        <v>125.92043418993197</v>
      </c>
      <c r="T45" s="78"/>
      <c r="U45" s="97">
        <f>SUM(100/V42*U42)</f>
        <v>120.54699969358474</v>
      </c>
      <c r="V45" s="78"/>
      <c r="W45" s="95" t="e">
        <f>SUM(100/X42*W42)</f>
        <v>#DIV/0!</v>
      </c>
      <c r="X45" s="78"/>
      <c r="Y45" s="113">
        <f>SUM(100/Z42*Y42)</f>
        <v>120.54699969358474</v>
      </c>
      <c r="Z45" s="114"/>
      <c r="AC45" s="2"/>
      <c r="AD45" s="2"/>
    </row>
    <row r="47" spans="1:32" x14ac:dyDescent="0.25">
      <c r="A47" s="393"/>
      <c r="B47" s="230"/>
      <c r="C47" s="505"/>
      <c r="D47" s="230"/>
      <c r="E47" s="505"/>
      <c r="F47" s="230"/>
      <c r="G47" s="505"/>
      <c r="H47" s="230"/>
      <c r="I47" s="360"/>
      <c r="J47" s="360"/>
      <c r="K47" s="505"/>
      <c r="L47" s="230"/>
      <c r="M47" s="230"/>
      <c r="N47" s="230"/>
      <c r="O47" s="505"/>
      <c r="P47" s="230"/>
      <c r="Q47" s="230"/>
      <c r="R47" s="230"/>
      <c r="S47" s="505"/>
      <c r="AF47" s="230"/>
    </row>
  </sheetData>
  <customSheetViews>
    <customSheetView guid="{512075D7-6EE7-4EEF-842F-09AF15E6D8B5}" scale="70" showPageBreaks="1" fitToPage="1" printArea="1">
      <pane ySplit="4" topLeftCell="A5" activePane="bottomLeft" state="frozen"/>
      <selection pane="bottomLeft" activeCell="A53" sqref="A53"/>
      <pageMargins left="0.59055118110236227" right="0.59055118110236227" top="1.1811023622047245" bottom="0.59055118110236227" header="0.11811023622047245" footer="0.31496062992125984"/>
      <pageSetup paperSize="9" scale="36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 topLeftCell="R1">
      <pane ySplit="4" topLeftCell="A32" activePane="bottomLeft" state="frozen"/>
      <selection pane="bottomLeft" activeCell="AD59" sqref="AD59"/>
      <pageMargins left="0.59055118110236227" right="0.59055118110236227" top="1.1811023622047245" bottom="0.59055118110236227" header="0.11811023622047245" footer="0.31496062992125984"/>
      <pageSetup paperSize="9" scale="3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70" showPageBreaks="1" fitToPage="1" printArea="1" topLeftCell="H1">
      <pane ySplit="4" topLeftCell="A14" activePane="bottomLeft" state="frozen"/>
      <selection pane="bottomLeft" activeCell="A40" sqref="A40:XFD40"/>
      <pageMargins left="0.59055118110236227" right="0.59055118110236227" top="1.1811023622047245" bottom="0.59055118110236227" header="0.11811023622047245" footer="0.31496062992125984"/>
      <pageSetup paperSize="9" scale="3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H1">
      <pane ySplit="4" topLeftCell="A17" activePane="bottomLeft" state="frozen"/>
      <selection pane="bottomLeft" activeCell="AD37" sqref="AD37"/>
      <pageMargins left="0.59055118110236227" right="0.59055118110236227" top="1.1811023622047245" bottom="0.59055118110236227" header="0.11811023622047245" footer="0.31496062992125984"/>
      <pageSetup paperSize="9" scale="3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20" activePane="bottomLeft" state="frozen"/>
      <selection pane="bottomLeft" activeCell="P20" sqref="P20"/>
      <pageMargins left="0.59055118110236227" right="0.59055118110236227" top="1.1811023622047245" bottom="0.59055118110236227" header="0.11811023622047245" footer="0.31496062992125984"/>
      <pageSetup paperSize="9" scale="39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20" activePane="bottomLeft" state="frozen"/>
      <selection pane="bottomLeft" activeCell="P47" sqref="P47"/>
      <pageMargins left="0.59055118110236227" right="0.59055118110236227" top="1.1811023622047245" bottom="0.59055118110236227" header="0.11811023622047245" footer="0.31496062992125984"/>
      <pageSetup paperSize="9" scale="39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8" activePane="bottomLeft" state="frozen"/>
      <selection pane="bottomLeft" activeCell="AD47" sqref="AD47"/>
      <pageMargins left="0.59055118110236227" right="0.59055118110236227" top="1.1811023622047245" bottom="0.59055118110236227" header="0.11811023622047245" footer="0.31496062992125984"/>
      <pageSetup paperSize="9" scale="43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Y46" sqref="Y46"/>
      <pageMargins left="0.59055118110236227" right="0.59055118110236227" top="1.1811023622047245" bottom="0.59055118110236227" header="0.11811023622047245" footer="0.31496062992125984"/>
      <pageSetup paperSize="9" scale="47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0" showPageBreaks="1" fitToPage="1" printArea="1">
      <pane ySplit="4" topLeftCell="A5" activePane="bottomLeft" state="frozen"/>
      <selection pane="bottomLeft" activeCell="Y46" sqref="Y46"/>
      <pageMargins left="0.59055118110236227" right="0.59055118110236227" top="1.1811023622047245" bottom="0.59055118110236227" header="0.11811023622047245" footer="0.31496062992125984"/>
      <pageSetup paperSize="9" scale="39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20" activePane="bottomLeft" state="frozen"/>
      <selection pane="bottomLeft" activeCell="I29" sqref="I29"/>
      <pageMargins left="0.59055118110236227" right="0.59055118110236227" top="1.1811023622047245" bottom="0.59055118110236227" header="0.11811023622047245" footer="0.31496062992125984"/>
      <pageSetup paperSize="9" scale="39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5" activePane="bottomLeft" state="frozen"/>
      <selection pane="bottomLeft" activeCell="P28" sqref="P28"/>
      <pageMargins left="0.59055118110236227" right="0.59055118110236227" top="1.1811023622047245" bottom="0.59055118110236227" header="0.11811023622047245" footer="0.31496062992125984"/>
      <pageSetup paperSize="9" scale="39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O3:R3"/>
    <mergeCell ref="I3:J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6" orientation="landscape" r:id="rId12"/>
  <headerFooter>
    <oddHeader>&amp;L&amp;G</oddHeader>
    <oddFooter>&amp;L&amp;"DIN Offc Light,Standard"&amp;7&amp;F / Version &amp;D&amp;R&amp;"DIN Offc Light,Standard"&amp;7Seite &amp;P von &amp;N</oddFooter>
  </headerFooter>
  <legacyDrawingHF r:id="rId1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73"/>
  <sheetViews>
    <sheetView zoomScale="90" zoomScaleNormal="80" workbookViewId="0">
      <selection activeCell="A36" sqref="A36"/>
    </sheetView>
  </sheetViews>
  <sheetFormatPr baseColWidth="10" defaultColWidth="11.42578125" defaultRowHeight="15" x14ac:dyDescent="0.25"/>
  <cols>
    <col min="1" max="1" width="9.28515625" style="4" customWidth="1"/>
    <col min="2" max="2" width="9.28515625" style="2" customWidth="1"/>
    <col min="3" max="5" width="12.7109375" style="2" customWidth="1"/>
    <col min="6" max="6" width="12.7109375" style="6" customWidth="1"/>
    <col min="7" max="22" width="12.7109375" style="2" customWidth="1"/>
    <col min="23" max="23" width="12.5703125" style="2" bestFit="1" customWidth="1"/>
    <col min="24" max="16384" width="11.42578125" style="2"/>
  </cols>
  <sheetData>
    <row r="1" spans="1:23" ht="34.15" customHeight="1" x14ac:dyDescent="0.25">
      <c r="A1" s="119" t="s">
        <v>43</v>
      </c>
      <c r="F1" s="2"/>
      <c r="H1" s="3" t="s">
        <v>92</v>
      </c>
      <c r="J1" s="3"/>
      <c r="R1" s="4"/>
    </row>
    <row r="2" spans="1:23" ht="34.15" customHeight="1" x14ac:dyDescent="0.25">
      <c r="A2" s="2"/>
      <c r="C2" s="120"/>
      <c r="F2" s="2"/>
      <c r="G2" s="6"/>
      <c r="H2" s="184" t="s">
        <v>63</v>
      </c>
      <c r="I2" s="6"/>
      <c r="J2" s="120"/>
      <c r="R2" s="4"/>
    </row>
    <row r="3" spans="1:23" ht="21" thickBot="1" x14ac:dyDescent="0.3">
      <c r="A3" s="105"/>
    </row>
    <row r="4" spans="1:23" s="8" customFormat="1" ht="47.25" customHeight="1" thickBot="1" x14ac:dyDescent="0.3">
      <c r="A4" s="105"/>
      <c r="B4" s="121"/>
      <c r="C4" s="532" t="s">
        <v>20</v>
      </c>
      <c r="D4" s="533"/>
      <c r="E4" s="534" t="s">
        <v>23</v>
      </c>
      <c r="F4" s="535"/>
      <c r="G4" s="536" t="s">
        <v>24</v>
      </c>
      <c r="H4" s="537"/>
      <c r="I4" s="536" t="s">
        <v>53</v>
      </c>
      <c r="J4" s="537"/>
      <c r="K4" s="541" t="s">
        <v>25</v>
      </c>
      <c r="L4" s="542"/>
      <c r="M4" s="543" t="s">
        <v>30</v>
      </c>
      <c r="N4" s="544"/>
      <c r="O4" s="538" t="s">
        <v>2</v>
      </c>
      <c r="P4" s="538"/>
      <c r="Q4" s="522" t="s">
        <v>29</v>
      </c>
      <c r="R4" s="523"/>
      <c r="S4" s="513" t="s">
        <v>26</v>
      </c>
      <c r="T4" s="514"/>
      <c r="U4" s="524" t="s">
        <v>27</v>
      </c>
      <c r="V4" s="525"/>
    </row>
    <row r="5" spans="1:23" s="4" customFormat="1" ht="18.600000000000001" customHeight="1" x14ac:dyDescent="0.25">
      <c r="A5" s="539"/>
      <c r="B5" s="540"/>
      <c r="C5" s="11" t="s">
        <v>22</v>
      </c>
      <c r="D5" s="124" t="s">
        <v>21</v>
      </c>
      <c r="E5" s="11" t="s">
        <v>22</v>
      </c>
      <c r="F5" s="124" t="s">
        <v>21</v>
      </c>
      <c r="G5" s="11" t="s">
        <v>22</v>
      </c>
      <c r="H5" s="124" t="s">
        <v>21</v>
      </c>
      <c r="I5" s="11" t="s">
        <v>22</v>
      </c>
      <c r="J5" s="124" t="s">
        <v>21</v>
      </c>
      <c r="K5" s="11" t="s">
        <v>22</v>
      </c>
      <c r="L5" s="124" t="s">
        <v>21</v>
      </c>
      <c r="M5" s="11" t="s">
        <v>22</v>
      </c>
      <c r="N5" s="124" t="s">
        <v>21</v>
      </c>
      <c r="O5" s="84" t="s">
        <v>22</v>
      </c>
      <c r="P5" s="124" t="s">
        <v>21</v>
      </c>
      <c r="Q5" s="84" t="s">
        <v>22</v>
      </c>
      <c r="R5" s="124" t="s">
        <v>21</v>
      </c>
      <c r="S5" s="11" t="s">
        <v>22</v>
      </c>
      <c r="T5" s="124" t="s">
        <v>21</v>
      </c>
      <c r="U5" s="136" t="s">
        <v>22</v>
      </c>
      <c r="V5" s="108" t="s">
        <v>21</v>
      </c>
    </row>
    <row r="6" spans="1:23" s="43" customFormat="1" ht="20.100000000000001" customHeight="1" x14ac:dyDescent="0.25">
      <c r="A6" s="530" t="s">
        <v>31</v>
      </c>
      <c r="B6" s="531"/>
      <c r="C6" s="123">
        <f>'01_24'!C41</f>
        <v>196428.56</v>
      </c>
      <c r="D6" s="81">
        <f>'01_24'!D41</f>
        <v>199999.9999</v>
      </c>
      <c r="E6" s="123">
        <f>'01_24'!E41</f>
        <v>2166.9</v>
      </c>
      <c r="F6" s="81">
        <f>'01_24'!F41</f>
        <v>2499.9999600000006</v>
      </c>
      <c r="G6" s="123">
        <f>'01_24'!G41</f>
        <v>2301.4</v>
      </c>
      <c r="H6" s="81">
        <f>'01_24'!H41</f>
        <v>999.99986000000001</v>
      </c>
      <c r="I6" s="123">
        <f>'01_24'!K41</f>
        <v>0</v>
      </c>
      <c r="J6" s="81">
        <f>'01_24'!L41</f>
        <v>0</v>
      </c>
      <c r="K6" s="123">
        <f>'01_24'!O41</f>
        <v>63505.4</v>
      </c>
      <c r="L6" s="81">
        <f>'01_24'!P41</f>
        <v>59999.999970000004</v>
      </c>
      <c r="M6" s="123">
        <f>'01_24'!S41</f>
        <v>115919.1</v>
      </c>
      <c r="N6" s="81">
        <f>'01_24'!T41</f>
        <v>70000.000119999997</v>
      </c>
      <c r="O6" s="123">
        <f>'01_24'!U41</f>
        <v>124595.66</v>
      </c>
      <c r="P6" s="81">
        <f>'01_24'!V41</f>
        <v>96599.999930000005</v>
      </c>
      <c r="Q6" s="123">
        <f>C6+E6+G6+I6+K6+M6+O6</f>
        <v>504917.02</v>
      </c>
      <c r="R6" s="81">
        <f>D6+F6+H6+J6+L6+N6+P6</f>
        <v>430099.99973999994</v>
      </c>
      <c r="S6" s="123">
        <f>'01_24'!Y41</f>
        <v>0</v>
      </c>
      <c r="T6" s="81">
        <f>'01_24'!Z41</f>
        <v>0</v>
      </c>
      <c r="U6" s="117">
        <f>Q6+S6</f>
        <v>504917.02</v>
      </c>
      <c r="V6" s="137">
        <f>T6+R6</f>
        <v>430099.99973999994</v>
      </c>
      <c r="W6" s="223"/>
    </row>
    <row r="7" spans="1:23" s="43" customFormat="1" ht="20.100000000000001" customHeight="1" x14ac:dyDescent="0.25">
      <c r="A7" s="530" t="s">
        <v>32</v>
      </c>
      <c r="B7" s="531"/>
      <c r="C7" s="123">
        <f>'02_24'!C39</f>
        <v>239354.4</v>
      </c>
      <c r="D7" s="81">
        <f>'02_24'!D39</f>
        <v>221999.99999999991</v>
      </c>
      <c r="E7" s="123">
        <f>'02_24'!E39</f>
        <v>8837.1</v>
      </c>
      <c r="F7" s="81">
        <f>'02_24'!F39</f>
        <v>9999.9999999999818</v>
      </c>
      <c r="G7" s="123">
        <f>'02_24'!G39</f>
        <v>5287.2000000000007</v>
      </c>
      <c r="H7" s="81">
        <f>'02_24'!H39</f>
        <v>4999.9999999999909</v>
      </c>
      <c r="I7" s="123"/>
      <c r="J7" s="81">
        <f>'02_24'!J39</f>
        <v>0</v>
      </c>
      <c r="K7" s="123">
        <f>'02_24'!K39</f>
        <v>23964.3</v>
      </c>
      <c r="L7" s="81">
        <f>'02_24'!N39</f>
        <v>39999.999999999818</v>
      </c>
      <c r="M7" s="123">
        <f>'02_24'!Q39</f>
        <v>58379.399999999994</v>
      </c>
      <c r="N7" s="81">
        <f>'02_24'!R39</f>
        <v>30000.000000000011</v>
      </c>
      <c r="O7" s="123">
        <f>'02_24'!S39</f>
        <v>76089.100000000006</v>
      </c>
      <c r="P7" s="81">
        <f>'02_24'!T39</f>
        <v>81999.999999999956</v>
      </c>
      <c r="Q7" s="123">
        <f t="shared" ref="Q7:Q8" si="0">C7+E7+G7+I7+K7+M7+O7</f>
        <v>411911.5</v>
      </c>
      <c r="R7" s="81">
        <f t="shared" ref="R7:R17" si="1">D7+F7+H7+J7+L7+N7+P7</f>
        <v>388999.99999999965</v>
      </c>
      <c r="S7" s="123">
        <f>'02_24'!W39</f>
        <v>0</v>
      </c>
      <c r="T7" s="81">
        <f>'02_24'!X39</f>
        <v>0</v>
      </c>
      <c r="U7" s="117">
        <f t="shared" ref="U7:U15" si="2">Q7+S7</f>
        <v>411911.5</v>
      </c>
      <c r="V7" s="137">
        <f t="shared" ref="V7:V17" si="3">T7+R7</f>
        <v>388999.99999999965</v>
      </c>
      <c r="W7" s="223"/>
    </row>
    <row r="8" spans="1:23" s="43" customFormat="1" ht="20.100000000000001" customHeight="1" x14ac:dyDescent="0.25">
      <c r="A8" s="530" t="s">
        <v>33</v>
      </c>
      <c r="B8" s="531"/>
      <c r="C8" s="123">
        <f>'03_24'!C41</f>
        <v>290727.40000000002</v>
      </c>
      <c r="D8" s="81">
        <f>'03_24'!D41</f>
        <v>249999.99972000002</v>
      </c>
      <c r="E8" s="123">
        <f>'03_24'!E41</f>
        <v>15026.7</v>
      </c>
      <c r="F8" s="81">
        <f>'03_24'!F41</f>
        <v>19999.99999</v>
      </c>
      <c r="G8" s="123">
        <f>'03_24'!G41</f>
        <v>8136.7000000000007</v>
      </c>
      <c r="H8" s="81">
        <f>'03_24'!H41</f>
        <v>4999.9999820000012</v>
      </c>
      <c r="I8" s="123">
        <f>'03_24'!I41</f>
        <v>0</v>
      </c>
      <c r="J8" s="81">
        <f>'03_24'!J41</f>
        <v>0</v>
      </c>
      <c r="K8" s="123">
        <f>'03_24'!K41</f>
        <v>83501.7</v>
      </c>
      <c r="L8" s="81">
        <f>'03_24'!N41</f>
        <v>59999.999970000004</v>
      </c>
      <c r="M8" s="123">
        <f>'03_24'!Q41</f>
        <v>101200</v>
      </c>
      <c r="N8" s="81">
        <f>'03_24'!R41</f>
        <v>99999.999949999998</v>
      </c>
      <c r="O8" s="123">
        <f>'03_24'!S41</f>
        <v>146459.19999999998</v>
      </c>
      <c r="P8" s="81">
        <f>'03_24'!T41</f>
        <v>115799.99997</v>
      </c>
      <c r="Q8" s="123">
        <f t="shared" si="0"/>
        <v>645051.70000000007</v>
      </c>
      <c r="R8" s="81">
        <f t="shared" si="1"/>
        <v>550799.99958199996</v>
      </c>
      <c r="S8" s="123">
        <f>'03_24'!W41</f>
        <v>0</v>
      </c>
      <c r="T8" s="81">
        <f>'03_24'!X41</f>
        <v>0</v>
      </c>
      <c r="U8" s="117">
        <f t="shared" si="2"/>
        <v>645051.70000000007</v>
      </c>
      <c r="V8" s="137">
        <f t="shared" si="3"/>
        <v>550799.99958199996</v>
      </c>
      <c r="W8" s="223"/>
    </row>
    <row r="9" spans="1:23" s="43" customFormat="1" ht="20.100000000000001" customHeight="1" x14ac:dyDescent="0.25">
      <c r="A9" s="530" t="s">
        <v>34</v>
      </c>
      <c r="B9" s="531"/>
      <c r="C9" s="123">
        <f>'04_24'!C40</f>
        <v>250780.05</v>
      </c>
      <c r="D9" s="81">
        <f>'04_24'!D40</f>
        <v>289999.99979999999</v>
      </c>
      <c r="E9" s="123">
        <f>'04_24'!E40</f>
        <v>93116.099999999991</v>
      </c>
      <c r="F9" s="81">
        <f>'04_24'!F40</f>
        <v>39999.999999999993</v>
      </c>
      <c r="G9" s="123">
        <f>'04_24'!G40</f>
        <v>12188.600000000002</v>
      </c>
      <c r="H9" s="81">
        <f>'04_24'!H40</f>
        <v>9999.9999999999982</v>
      </c>
      <c r="I9" s="123">
        <f>'04_24'!I40</f>
        <v>0</v>
      </c>
      <c r="J9" s="81">
        <f>'04_24'!J40</f>
        <v>0</v>
      </c>
      <c r="K9" s="123">
        <f>'04_24'!K40</f>
        <v>151952.4</v>
      </c>
      <c r="L9" s="81">
        <f>'04_24'!N40</f>
        <v>99999.99990000001</v>
      </c>
      <c r="M9" s="123">
        <f>'04_24'!Q40</f>
        <v>91010.6</v>
      </c>
      <c r="N9" s="81">
        <f>'04_24'!R40</f>
        <v>60000</v>
      </c>
      <c r="O9" s="123">
        <f>'04_24'!S40</f>
        <v>159613.79999999999</v>
      </c>
      <c r="P9" s="81">
        <f>'04_24'!T40</f>
        <v>162999.99999999997</v>
      </c>
      <c r="Q9" s="123">
        <f>C9+E9+G9+I9+K9+M9+O9</f>
        <v>758661.54999999981</v>
      </c>
      <c r="R9" s="81">
        <f t="shared" si="1"/>
        <v>662999.99969999993</v>
      </c>
      <c r="S9" s="123">
        <f>'04_24'!W40</f>
        <v>0</v>
      </c>
      <c r="T9" s="81">
        <f>'04_24'!X40</f>
        <v>1999.9997999999996</v>
      </c>
      <c r="U9" s="117">
        <f t="shared" ref="U9:U14" si="4">Q9+S9</f>
        <v>758661.54999999981</v>
      </c>
      <c r="V9" s="137">
        <f t="shared" si="3"/>
        <v>664999.99949999992</v>
      </c>
      <c r="W9" s="223"/>
    </row>
    <row r="10" spans="1:23" s="43" customFormat="1" ht="20.100000000000001" customHeight="1" x14ac:dyDescent="0.25">
      <c r="A10" s="530" t="s">
        <v>35</v>
      </c>
      <c r="B10" s="531"/>
      <c r="C10" s="123">
        <f>'05_24'!C41</f>
        <v>262086.30000000005</v>
      </c>
      <c r="D10" s="81">
        <f>'05_24'!D41</f>
        <v>250000.00000000003</v>
      </c>
      <c r="E10" s="123">
        <f>'05_24'!E41</f>
        <v>151015.30000000002</v>
      </c>
      <c r="F10" s="81">
        <f>'05_24'!F41</f>
        <v>200000</v>
      </c>
      <c r="G10" s="123">
        <f>'05_24'!G41</f>
        <v>18169.8</v>
      </c>
      <c r="H10" s="81">
        <f>'05_24'!H41</f>
        <v>17000</v>
      </c>
      <c r="I10" s="123">
        <f>'05_24'!I41</f>
        <v>25908.199999999997</v>
      </c>
      <c r="J10" s="81">
        <f>'05_24'!J41</f>
        <v>15000.000000000002</v>
      </c>
      <c r="K10" s="123">
        <f>'05_24'!K41</f>
        <v>260163.1</v>
      </c>
      <c r="L10" s="81">
        <f>'05_24'!N41</f>
        <v>169999.99999999997</v>
      </c>
      <c r="M10" s="123">
        <f>'05_24'!Q41</f>
        <v>81071.199999999997</v>
      </c>
      <c r="N10" s="81">
        <f>'05_24'!R41</f>
        <v>110000</v>
      </c>
      <c r="O10" s="123">
        <f>'05_24'!S41</f>
        <v>222080.20000000004</v>
      </c>
      <c r="P10" s="81">
        <f>'05_24'!T41</f>
        <v>197200</v>
      </c>
      <c r="Q10" s="123">
        <f>C10+E10+G10+I10+K10+M10+O10</f>
        <v>1020494.1000000001</v>
      </c>
      <c r="R10" s="81">
        <f t="shared" si="1"/>
        <v>959200</v>
      </c>
      <c r="S10" s="123">
        <f>'05_24'!W41</f>
        <v>13787</v>
      </c>
      <c r="T10" s="81">
        <f>'05_24'!X41</f>
        <v>20000</v>
      </c>
      <c r="U10" s="117">
        <f t="shared" si="4"/>
        <v>1034281.1000000001</v>
      </c>
      <c r="V10" s="137">
        <f t="shared" si="3"/>
        <v>979200</v>
      </c>
      <c r="W10" s="223"/>
    </row>
    <row r="11" spans="1:23" s="43" customFormat="1" ht="20.100000000000001" customHeight="1" thickBot="1" x14ac:dyDescent="0.3">
      <c r="A11" s="545" t="s">
        <v>36</v>
      </c>
      <c r="B11" s="546"/>
      <c r="C11" s="125">
        <f>'06_24'!C40</f>
        <v>226260.68</v>
      </c>
      <c r="D11" s="135">
        <f>'06_24'!D40</f>
        <v>120000</v>
      </c>
      <c r="E11" s="125">
        <f>'06_24'!E40</f>
        <v>174785.85</v>
      </c>
      <c r="F11" s="135">
        <f>'06_24'!F40</f>
        <v>399999.99999999994</v>
      </c>
      <c r="G11" s="125">
        <f>'06_24'!G40</f>
        <v>15666.5</v>
      </c>
      <c r="H11" s="135">
        <f>'06_24'!H40</f>
        <v>21999.999999999996</v>
      </c>
      <c r="I11" s="125">
        <f>'06_24'!I40</f>
        <v>31104.5</v>
      </c>
      <c r="J11" s="135">
        <f>'06_24'!J40</f>
        <v>27999.999999999996</v>
      </c>
      <c r="K11" s="125">
        <f>'06_24'!K40</f>
        <v>267263.5</v>
      </c>
      <c r="L11" s="135">
        <f>'06_24'!N40</f>
        <v>180000</v>
      </c>
      <c r="M11" s="125">
        <f>'06_24'!Q40</f>
        <v>133804.4</v>
      </c>
      <c r="N11" s="135">
        <f>'06_24'!R40</f>
        <v>129999.99999999997</v>
      </c>
      <c r="O11" s="125">
        <f>'06_24'!S40</f>
        <v>258532.43</v>
      </c>
      <c r="P11" s="135">
        <f>'06_24'!T40</f>
        <v>258100.00000000006</v>
      </c>
      <c r="Q11" s="313">
        <f t="shared" ref="Q11:Q15" si="5">C11+E11+G11+I11+K11+M11+O11</f>
        <v>1107417.8600000001</v>
      </c>
      <c r="R11" s="316">
        <f t="shared" si="1"/>
        <v>1138100</v>
      </c>
      <c r="S11" s="125">
        <f>'06_24'!W40</f>
        <v>22939.59</v>
      </c>
      <c r="T11" s="135">
        <f>'06_24'!X40</f>
        <v>84999.999999999985</v>
      </c>
      <c r="U11" s="134">
        <f t="shared" si="4"/>
        <v>1130357.4500000002</v>
      </c>
      <c r="V11" s="318">
        <f t="shared" si="3"/>
        <v>1223100</v>
      </c>
      <c r="W11" s="223"/>
    </row>
    <row r="12" spans="1:23" s="43" customFormat="1" ht="20.100000000000001" customHeight="1" x14ac:dyDescent="0.25">
      <c r="A12" s="549" t="s">
        <v>37</v>
      </c>
      <c r="B12" s="550"/>
      <c r="C12" s="123">
        <f>'07_24'!C41</f>
        <v>185832.1</v>
      </c>
      <c r="D12" s="81">
        <f>'07_24'!D41</f>
        <v>149999.99998699999</v>
      </c>
      <c r="E12" s="123">
        <f>'07_24'!E41</f>
        <v>403154.94</v>
      </c>
      <c r="F12" s="81">
        <f>'07_24'!F41</f>
        <v>399999.99979999999</v>
      </c>
      <c r="G12" s="123">
        <f>'07_24'!G41</f>
        <v>25301.7</v>
      </c>
      <c r="H12" s="81">
        <f>'07_24'!H41</f>
        <v>24999.999909999999</v>
      </c>
      <c r="I12" s="123">
        <f>'07_24'!I41</f>
        <v>24716</v>
      </c>
      <c r="J12" s="81">
        <f>'07_24'!J41</f>
        <v>39999.999980000001</v>
      </c>
      <c r="K12" s="123">
        <f>'07_24'!K41</f>
        <v>150934.5</v>
      </c>
      <c r="L12" s="81">
        <f>'07_24'!N41</f>
        <v>159999.99998199998</v>
      </c>
      <c r="M12" s="123">
        <f>'07_24'!Q41</f>
        <v>35192.400000000001</v>
      </c>
      <c r="N12" s="81">
        <f>'07_24'!R41</f>
        <v>39999.999980000001</v>
      </c>
      <c r="O12" s="123">
        <f>'07_24'!S41</f>
        <v>279546.34999999998</v>
      </c>
      <c r="P12" s="81">
        <f>'07_24'!T41</f>
        <v>261900.00000000003</v>
      </c>
      <c r="Q12" s="314">
        <f t="shared" si="5"/>
        <v>1104677.99</v>
      </c>
      <c r="R12" s="315">
        <f t="shared" si="1"/>
        <v>1076899.999639</v>
      </c>
      <c r="S12" s="123">
        <f>'07_24'!W41</f>
        <v>97584.8</v>
      </c>
      <c r="T12" s="81">
        <f>'07_24'!X41</f>
        <v>84999.999997799998</v>
      </c>
      <c r="U12" s="267">
        <f t="shared" si="4"/>
        <v>1202262.79</v>
      </c>
      <c r="V12" s="317">
        <f t="shared" si="3"/>
        <v>1161899.9996368</v>
      </c>
      <c r="W12" s="223"/>
    </row>
    <row r="13" spans="1:23" s="43" customFormat="1" ht="20.100000000000001" customHeight="1" x14ac:dyDescent="0.25">
      <c r="A13" s="530" t="s">
        <v>38</v>
      </c>
      <c r="B13" s="531"/>
      <c r="C13" s="123">
        <f>'08_24'!C41</f>
        <v>124608.62000000001</v>
      </c>
      <c r="D13" s="81">
        <f>'08_24'!D41</f>
        <v>129999.99999699999</v>
      </c>
      <c r="E13" s="123">
        <f>'08_24'!E41</f>
        <v>440200.72</v>
      </c>
      <c r="F13" s="81">
        <f>'08_24'!F41</f>
        <v>399999.99979999999</v>
      </c>
      <c r="G13" s="123">
        <f>'08_24'!G41</f>
        <v>27623</v>
      </c>
      <c r="H13" s="81">
        <f>'08_24'!H41</f>
        <v>24999.999600000003</v>
      </c>
      <c r="I13" s="123">
        <f>'08_24'!I41</f>
        <v>34727</v>
      </c>
      <c r="J13" s="81">
        <f>'08_24'!J41</f>
        <v>30000</v>
      </c>
      <c r="K13" s="123">
        <f>'08_24'!K41</f>
        <v>183408</v>
      </c>
      <c r="L13" s="81">
        <f>'08_24'!N41</f>
        <v>159999.99992</v>
      </c>
      <c r="M13" s="123">
        <f>'08_24'!Q41</f>
        <v>104942.7</v>
      </c>
      <c r="N13" s="81">
        <f>'08_24'!R41</f>
        <v>59999.999969999997</v>
      </c>
      <c r="O13" s="123">
        <f>'08_24'!S41</f>
        <v>295815.84999999998</v>
      </c>
      <c r="P13" s="81">
        <f>'08_24'!T41</f>
        <v>234499.99999899993</v>
      </c>
      <c r="Q13" s="123">
        <f t="shared" si="5"/>
        <v>1211325.8899999999</v>
      </c>
      <c r="R13" s="81">
        <f t="shared" si="1"/>
        <v>1039499.9992859999</v>
      </c>
      <c r="S13" s="123">
        <f>'08_24'!W41</f>
        <v>120748.19</v>
      </c>
      <c r="T13" s="81">
        <f>'08_24'!X41</f>
        <v>84999.999880000003</v>
      </c>
      <c r="U13" s="117">
        <f t="shared" si="4"/>
        <v>1332074.0799999998</v>
      </c>
      <c r="V13" s="137">
        <f t="shared" si="3"/>
        <v>1124499.9991659999</v>
      </c>
      <c r="W13" s="223"/>
    </row>
    <row r="14" spans="1:23" s="43" customFormat="1" ht="20.100000000000001" customHeight="1" x14ac:dyDescent="0.25">
      <c r="A14" s="530" t="s">
        <v>39</v>
      </c>
      <c r="B14" s="531"/>
      <c r="C14" s="123">
        <f>'09_24'!C41</f>
        <v>237704.37</v>
      </c>
      <c r="D14" s="81">
        <f>'09_24'!D41</f>
        <v>199999.99980000002</v>
      </c>
      <c r="E14" s="123">
        <f>'09_24'!E41</f>
        <v>110609.75</v>
      </c>
      <c r="F14" s="81">
        <f>'09_24'!F41</f>
        <v>219999.9999</v>
      </c>
      <c r="G14" s="123">
        <f>'09_24'!G41</f>
        <v>11830.4</v>
      </c>
      <c r="H14" s="81">
        <f>'09_24'!H41</f>
        <v>18000</v>
      </c>
      <c r="I14" s="123">
        <f>'09_24'!I41</f>
        <v>28675</v>
      </c>
      <c r="J14" s="81">
        <f>'09_24'!J41</f>
        <v>25000</v>
      </c>
      <c r="K14" s="123">
        <f>'09_24'!K41</f>
        <v>207098</v>
      </c>
      <c r="L14" s="81">
        <f>'09_24'!N41</f>
        <v>199999.99980000002</v>
      </c>
      <c r="M14" s="123">
        <f>'09_24'!Q41</f>
        <v>117671.2</v>
      </c>
      <c r="N14" s="81">
        <f>'09_24'!R41</f>
        <v>139999.99979999999</v>
      </c>
      <c r="O14" s="123">
        <f>'09_24'!S41</f>
        <v>223136.5</v>
      </c>
      <c r="P14" s="81">
        <f>'09_24'!T41</f>
        <v>247500</v>
      </c>
      <c r="Q14" s="123">
        <f t="shared" si="5"/>
        <v>936725.22</v>
      </c>
      <c r="R14" s="81">
        <f t="shared" si="1"/>
        <v>1050499.9993</v>
      </c>
      <c r="S14" s="123">
        <f>'09_24'!W41</f>
        <v>18574.800000000003</v>
      </c>
      <c r="T14" s="81">
        <f>'09_24'!X41</f>
        <v>49999.999800000012</v>
      </c>
      <c r="U14" s="117">
        <f t="shared" si="4"/>
        <v>955300.02</v>
      </c>
      <c r="V14" s="137">
        <f t="shared" si="3"/>
        <v>1100499.9991000001</v>
      </c>
      <c r="W14" s="223"/>
    </row>
    <row r="15" spans="1:23" s="43" customFormat="1" ht="20.100000000000001" customHeight="1" x14ac:dyDescent="0.25">
      <c r="A15" s="530" t="s">
        <v>40</v>
      </c>
      <c r="B15" s="531"/>
      <c r="C15" s="123">
        <f>'10_24'!C41</f>
        <v>288141.90000000002</v>
      </c>
      <c r="D15" s="81">
        <f>'10_24'!D41</f>
        <v>289999.99970000004</v>
      </c>
      <c r="E15" s="123">
        <f>'10_24'!E41</f>
        <v>14928.900000000001</v>
      </c>
      <c r="F15" s="81">
        <f>'10_24'!F41</f>
        <v>79999.999960000001</v>
      </c>
      <c r="G15" s="123">
        <f>'10_24'!G41</f>
        <v>5659.5</v>
      </c>
      <c r="H15" s="81">
        <f>'10_24'!H41</f>
        <v>9999.9999950000001</v>
      </c>
      <c r="I15" s="123">
        <f>'10_24'!I41</f>
        <v>4253</v>
      </c>
      <c r="J15" s="81">
        <f>'10_24'!J41</f>
        <v>0</v>
      </c>
      <c r="K15" s="123">
        <f>'10_24'!K41</f>
        <v>137658.80000000002</v>
      </c>
      <c r="L15" s="81">
        <f>'10_24'!N41</f>
        <v>119999.99994000001</v>
      </c>
      <c r="M15" s="123">
        <f>'10_24'!Q41</f>
        <v>112360.6</v>
      </c>
      <c r="N15" s="81">
        <f>'10_24'!R41</f>
        <v>79999.999960000001</v>
      </c>
      <c r="O15" s="123">
        <f>'10_24'!S41</f>
        <v>181301.85</v>
      </c>
      <c r="P15" s="81">
        <f>'10_24'!T41</f>
        <v>152799.99999800001</v>
      </c>
      <c r="Q15" s="123">
        <f t="shared" si="5"/>
        <v>744304.55</v>
      </c>
      <c r="R15" s="81">
        <f t="shared" si="1"/>
        <v>732799.99955300009</v>
      </c>
      <c r="S15" s="123">
        <f>'10_24'!W41</f>
        <v>0</v>
      </c>
      <c r="T15" s="81">
        <f>'10_24'!X41</f>
        <v>0</v>
      </c>
      <c r="U15" s="117">
        <f t="shared" si="2"/>
        <v>744304.55</v>
      </c>
      <c r="V15" s="137">
        <f t="shared" si="3"/>
        <v>732799.99955300009</v>
      </c>
      <c r="W15" s="223"/>
    </row>
    <row r="16" spans="1:23" s="43" customFormat="1" ht="20.100000000000001" customHeight="1" x14ac:dyDescent="0.25">
      <c r="A16" s="530" t="s">
        <v>41</v>
      </c>
      <c r="B16" s="531"/>
      <c r="C16" s="123">
        <f>'11_24'!C40</f>
        <v>254793.95</v>
      </c>
      <c r="D16" s="81">
        <f>'11_24'!D40</f>
        <v>240000</v>
      </c>
      <c r="E16" s="123">
        <f>'11_24'!E40</f>
        <v>1808.1</v>
      </c>
      <c r="F16" s="81">
        <f>'11_24'!F40</f>
        <v>3499.9998000000001</v>
      </c>
      <c r="G16" s="123">
        <f>'11_24'!G40</f>
        <v>1436.6999999999998</v>
      </c>
      <c r="H16" s="81">
        <f>'11_24'!H40</f>
        <v>1500</v>
      </c>
      <c r="I16" s="123">
        <f>'11_24'!I40</f>
        <v>0</v>
      </c>
      <c r="J16" s="81">
        <f>'11_24'!J40</f>
        <v>0</v>
      </c>
      <c r="K16" s="123">
        <f>'11_24'!K40</f>
        <v>96432.2</v>
      </c>
      <c r="L16" s="81">
        <f>'11_24'!N40</f>
        <v>90000</v>
      </c>
      <c r="M16" s="123">
        <f>'11_24'!Q40</f>
        <v>117804.49999999999</v>
      </c>
      <c r="N16" s="81">
        <f>'11_24'!R40</f>
        <v>124999.99980000001</v>
      </c>
      <c r="O16" s="123">
        <f>'11_24'!S40</f>
        <v>127068.1</v>
      </c>
      <c r="P16" s="81">
        <f>'11_24'!T40</f>
        <v>130899.99990000002</v>
      </c>
      <c r="Q16" s="123">
        <f>C16+E16+G16+I16+K16+M16+O16</f>
        <v>599343.55000000005</v>
      </c>
      <c r="R16" s="81">
        <f t="shared" si="1"/>
        <v>590899.99950000003</v>
      </c>
      <c r="S16" s="123">
        <f>'11_24'!W40</f>
        <v>0</v>
      </c>
      <c r="T16" s="81">
        <f>'11_24'!X40</f>
        <v>0</v>
      </c>
      <c r="U16" s="117">
        <f>Q16+S16</f>
        <v>599343.55000000005</v>
      </c>
      <c r="V16" s="137">
        <f t="shared" si="3"/>
        <v>590899.99950000003</v>
      </c>
      <c r="W16" s="223"/>
    </row>
    <row r="17" spans="1:23" s="43" customFormat="1" ht="20.100000000000001" customHeight="1" thickBot="1" x14ac:dyDescent="0.3">
      <c r="A17" s="547" t="s">
        <v>42</v>
      </c>
      <c r="B17" s="548"/>
      <c r="C17" s="125">
        <f>'12_24'!C42</f>
        <v>304869.75</v>
      </c>
      <c r="D17" s="135">
        <f>'12_24'!D42</f>
        <v>274999.99994000001</v>
      </c>
      <c r="E17" s="125">
        <f>'12_24'!E42</f>
        <v>232.6</v>
      </c>
      <c r="F17" s="135">
        <f>'12_24'!F42</f>
        <v>499.99993000000001</v>
      </c>
      <c r="G17" s="125">
        <f>'12_24'!G42</f>
        <v>608.79999999999995</v>
      </c>
      <c r="H17" s="135">
        <f>'12_24'!H42</f>
        <v>499.99993000000001</v>
      </c>
      <c r="I17" s="125">
        <f>'12_24'!I42</f>
        <v>0</v>
      </c>
      <c r="J17" s="135">
        <f>'12_24'!J42</f>
        <v>0</v>
      </c>
      <c r="K17" s="125">
        <f>'12_24'!K42</f>
        <v>111014.6</v>
      </c>
      <c r="L17" s="135">
        <f>'12_24'!N42</f>
        <v>89999.999985999995</v>
      </c>
      <c r="M17" s="125">
        <f>'12_24'!Q42</f>
        <v>48670.000000000007</v>
      </c>
      <c r="N17" s="135">
        <f>'12_24'!R42</f>
        <v>24999.999999899999</v>
      </c>
      <c r="O17" s="125">
        <f>'12_24'!S42</f>
        <v>139268</v>
      </c>
      <c r="P17" s="135">
        <f>'12_24'!T42</f>
        <v>110599.99982999999</v>
      </c>
      <c r="Q17" s="123">
        <f>C17+E17+G17+I17+K17+M17+O17</f>
        <v>604663.75</v>
      </c>
      <c r="R17" s="81">
        <f t="shared" si="1"/>
        <v>501599.99961589999</v>
      </c>
      <c r="S17" s="125">
        <f>'12_24'!W42</f>
        <v>0</v>
      </c>
      <c r="T17" s="135">
        <f>'12_24'!X42</f>
        <v>0</v>
      </c>
      <c r="U17" s="117">
        <f>Q17+S17</f>
        <v>604663.75</v>
      </c>
      <c r="V17" s="137">
        <f t="shared" si="3"/>
        <v>501599.99961589999</v>
      </c>
      <c r="W17" s="223"/>
    </row>
    <row r="18" spans="1:23" ht="20.100000000000001" customHeight="1" x14ac:dyDescent="0.25">
      <c r="A18" s="62" t="s">
        <v>16</v>
      </c>
      <c r="B18" s="61"/>
      <c r="C18" s="115">
        <f>SUM(C6:C17)</f>
        <v>2861588.08</v>
      </c>
      <c r="D18" s="116">
        <f t="shared" ref="D18:T18" si="6">SUM(D6:D17)</f>
        <v>2616999.998844</v>
      </c>
      <c r="E18" s="115">
        <f t="shared" si="6"/>
        <v>1415882.96</v>
      </c>
      <c r="F18" s="116">
        <f t="shared" si="6"/>
        <v>1776499.9991399997</v>
      </c>
      <c r="G18" s="115">
        <f t="shared" si="6"/>
        <v>134210.29999999999</v>
      </c>
      <c r="H18" s="116">
        <f t="shared" si="6"/>
        <v>139999.99927699997</v>
      </c>
      <c r="I18" s="115">
        <f t="shared" si="6"/>
        <v>149383.70000000001</v>
      </c>
      <c r="J18" s="116">
        <f t="shared" si="6"/>
        <v>137999.99997999999</v>
      </c>
      <c r="K18" s="115">
        <f>SUM(K6:K17)</f>
        <v>1736896.5</v>
      </c>
      <c r="L18" s="116">
        <f t="shared" si="6"/>
        <v>1429999.9994679997</v>
      </c>
      <c r="M18" s="115">
        <f>SUM(M6:M17)</f>
        <v>1118026.0999999999</v>
      </c>
      <c r="N18" s="116">
        <f>SUM(N6:N17)</f>
        <v>969999.99957989994</v>
      </c>
      <c r="O18" s="263">
        <f t="shared" si="6"/>
        <v>2233507.04</v>
      </c>
      <c r="P18" s="115">
        <f t="shared" si="6"/>
        <v>2050899.9996269997</v>
      </c>
      <c r="Q18" s="336">
        <f t="shared" si="6"/>
        <v>9649494.6800000016</v>
      </c>
      <c r="R18" s="128">
        <f t="shared" si="6"/>
        <v>9122399.9959159009</v>
      </c>
      <c r="S18" s="115">
        <f t="shared" si="6"/>
        <v>273634.38</v>
      </c>
      <c r="T18" s="116">
        <f t="shared" si="6"/>
        <v>326999.99947779998</v>
      </c>
      <c r="U18" s="115">
        <f>SUM(U6:U17)</f>
        <v>9923129.0600000024</v>
      </c>
      <c r="V18" s="128">
        <f>SUM(V6:V17)</f>
        <v>9449399.9953937009</v>
      </c>
      <c r="W18" s="221"/>
    </row>
    <row r="19" spans="1:23" ht="20.100000000000001" customHeight="1" x14ac:dyDescent="0.25">
      <c r="A19" s="129" t="s">
        <v>44</v>
      </c>
      <c r="B19" s="130"/>
      <c r="C19" s="131">
        <f>SUM(C18/12)</f>
        <v>238465.67333333334</v>
      </c>
      <c r="D19" s="132">
        <f t="shared" ref="D19:T19" si="7">SUM(D18/12)</f>
        <v>218083.33323700001</v>
      </c>
      <c r="E19" s="131">
        <f t="shared" si="7"/>
        <v>117990.24666666666</v>
      </c>
      <c r="F19" s="132">
        <f t="shared" si="7"/>
        <v>148041.66659499999</v>
      </c>
      <c r="G19" s="131">
        <f t="shared" si="7"/>
        <v>11184.191666666666</v>
      </c>
      <c r="H19" s="132">
        <f t="shared" si="7"/>
        <v>11666.666606416664</v>
      </c>
      <c r="I19" s="131">
        <f t="shared" si="7"/>
        <v>12448.641666666668</v>
      </c>
      <c r="J19" s="132">
        <f t="shared" si="7"/>
        <v>11499.999998333333</v>
      </c>
      <c r="K19" s="131">
        <f t="shared" si="7"/>
        <v>144741.375</v>
      </c>
      <c r="L19" s="132">
        <f t="shared" si="7"/>
        <v>119166.6666223333</v>
      </c>
      <c r="M19" s="131">
        <f t="shared" si="7"/>
        <v>93168.84166666666</v>
      </c>
      <c r="N19" s="132">
        <f t="shared" si="7"/>
        <v>80833.333298325</v>
      </c>
      <c r="O19" s="370">
        <f t="shared" si="7"/>
        <v>186125.58666666667</v>
      </c>
      <c r="P19" s="131">
        <f t="shared" si="7"/>
        <v>170908.33330224999</v>
      </c>
      <c r="Q19" s="371">
        <f t="shared" si="7"/>
        <v>804124.55666666676</v>
      </c>
      <c r="R19" s="367">
        <f t="shared" si="7"/>
        <v>760199.99965965841</v>
      </c>
      <c r="S19" s="131">
        <f t="shared" si="7"/>
        <v>22802.865000000002</v>
      </c>
      <c r="T19" s="132">
        <f t="shared" si="7"/>
        <v>27249.999956483331</v>
      </c>
      <c r="U19" s="131">
        <f>SUM(U18/12)</f>
        <v>826927.42166666687</v>
      </c>
      <c r="V19" s="367">
        <f>SUM(V18/12)</f>
        <v>787449.99961614178</v>
      </c>
    </row>
    <row r="20" spans="1:23" ht="17.25" thickBot="1" x14ac:dyDescent="0.3">
      <c r="A20" s="368" t="s">
        <v>85</v>
      </c>
      <c r="B20" s="369"/>
      <c r="C20" s="383">
        <f>D18-C18</f>
        <v>-244588.08115600003</v>
      </c>
      <c r="D20" s="386">
        <f>SUM(100/D18*C18)</f>
        <v>109.34612461841961</v>
      </c>
      <c r="E20" s="384">
        <f t="shared" ref="E20:U20" si="8">F18-E18</f>
        <v>360617.03913999978</v>
      </c>
      <c r="F20" s="386">
        <f>SUM(100/F18*E18)</f>
        <v>79.700701417699193</v>
      </c>
      <c r="G20" s="383">
        <f t="shared" si="8"/>
        <v>5789.6992769999779</v>
      </c>
      <c r="H20" s="386">
        <f>SUM(100/H18*G18)</f>
        <v>95.864500495071695</v>
      </c>
      <c r="I20" s="383">
        <f t="shared" si="8"/>
        <v>-11383.700020000018</v>
      </c>
      <c r="J20" s="386">
        <f>SUM(100/J18*I18)</f>
        <v>108.24905798670277</v>
      </c>
      <c r="K20" s="384">
        <f t="shared" si="8"/>
        <v>-306896.50053200033</v>
      </c>
      <c r="L20" s="386">
        <f>SUM(100/L18*K18)</f>
        <v>121.46129375148074</v>
      </c>
      <c r="M20" s="384">
        <f t="shared" si="8"/>
        <v>-148026.10042009992</v>
      </c>
      <c r="N20" s="386">
        <f>SUM(100/N18*M18)</f>
        <v>115.26042273033083</v>
      </c>
      <c r="O20" s="387">
        <f t="shared" si="8"/>
        <v>-182607.04037300032</v>
      </c>
      <c r="P20" s="388">
        <f>SUM(100/P18*O18)</f>
        <v>108.90375154352779</v>
      </c>
      <c r="Q20" s="383">
        <f t="shared" si="8"/>
        <v>-527094.68408410065</v>
      </c>
      <c r="R20" s="386">
        <f>SUM(100/R18*Q18)</f>
        <v>105.77802644391915</v>
      </c>
      <c r="S20" s="384">
        <f t="shared" si="8"/>
        <v>53365.619477799977</v>
      </c>
      <c r="T20" s="386">
        <f>SUM(100/T18*S18)</f>
        <v>83.680238665742579</v>
      </c>
      <c r="U20" s="383">
        <f t="shared" si="8"/>
        <v>-473729.06460630149</v>
      </c>
      <c r="V20" s="386">
        <f>SUM(100/V18*U18)</f>
        <v>105.01332428341725</v>
      </c>
    </row>
    <row r="21" spans="1:23" x14ac:dyDescent="0.25">
      <c r="E21" s="292"/>
      <c r="K21" s="292"/>
      <c r="M21" s="385"/>
      <c r="S21" s="292"/>
    </row>
    <row r="22" spans="1:23" x14ac:dyDescent="0.25">
      <c r="Q22" s="221"/>
      <c r="U22" s="221"/>
    </row>
    <row r="50" spans="2:22" s="4" customFormat="1" ht="18.600000000000001" customHeight="1" x14ac:dyDescent="0.25">
      <c r="B50" s="2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s="4" customFormat="1" ht="18.600000000000001" customHeight="1" x14ac:dyDescent="0.25">
      <c r="B51" s="2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2:22" s="4" customFormat="1" ht="18.600000000000001" customHeight="1" x14ac:dyDescent="0.25">
      <c r="B52" s="2"/>
      <c r="C52" s="2"/>
      <c r="D52" s="2"/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 s="4" customFormat="1" ht="18.600000000000001" customHeight="1" x14ac:dyDescent="0.25">
      <c r="B53" s="2"/>
      <c r="C53" s="2"/>
      <c r="D53" s="2"/>
      <c r="E53" s="2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 s="4" customFormat="1" ht="18.600000000000001" customHeight="1" x14ac:dyDescent="0.25">
      <c r="B54" s="2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s="4" customFormat="1" ht="18.600000000000001" customHeight="1" x14ac:dyDescent="0.25">
      <c r="B55" s="2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s="4" customFormat="1" ht="18.600000000000001" customHeight="1" x14ac:dyDescent="0.25">
      <c r="B56" s="2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 s="4" customFormat="1" ht="18.600000000000001" customHeight="1" x14ac:dyDescent="0.25">
      <c r="B57" s="2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2:22" s="4" customFormat="1" ht="18.600000000000001" customHeight="1" x14ac:dyDescent="0.25">
      <c r="B58" s="2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2:22" s="4" customFormat="1" ht="18.600000000000001" customHeight="1" x14ac:dyDescent="0.25">
      <c r="B59" s="2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2:22" s="4" customFormat="1" ht="18.600000000000001" customHeight="1" x14ac:dyDescent="0.25">
      <c r="B60" s="2"/>
      <c r="C60" s="2"/>
      <c r="D60" s="2"/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2:22" s="4" customFormat="1" ht="18.600000000000001" customHeight="1" x14ac:dyDescent="0.25">
      <c r="B61" s="2"/>
      <c r="C61" s="2"/>
      <c r="D61" s="2"/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2" s="4" customFormat="1" ht="18.600000000000001" customHeight="1" x14ac:dyDescent="0.25">
      <c r="B62" s="2"/>
      <c r="C62" s="2"/>
      <c r="D62" s="2"/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2:22" s="4" customFormat="1" ht="18.600000000000001" customHeight="1" x14ac:dyDescent="0.25">
      <c r="B63" s="2"/>
      <c r="C63" s="2"/>
      <c r="D63" s="2"/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2" s="4" customFormat="1" ht="18.600000000000001" customHeight="1" x14ac:dyDescent="0.25">
      <c r="B64" s="2"/>
      <c r="C64" s="2"/>
      <c r="D64" s="2"/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2:22" s="4" customFormat="1" ht="18.600000000000001" customHeight="1" x14ac:dyDescent="0.25">
      <c r="B65" s="2"/>
      <c r="C65" s="2"/>
      <c r="D65" s="2"/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2:22" s="4" customFormat="1" ht="18.600000000000001" customHeight="1" x14ac:dyDescent="0.25">
      <c r="B66" s="2"/>
      <c r="C66" s="2"/>
      <c r="D66" s="2"/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2" s="4" customFormat="1" ht="18.600000000000001" customHeight="1" x14ac:dyDescent="0.25">
      <c r="B67" s="2"/>
      <c r="C67" s="2"/>
      <c r="D67" s="2"/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2:22" s="4" customFormat="1" ht="18.600000000000001" customHeight="1" x14ac:dyDescent="0.25">
      <c r="B68" s="2"/>
      <c r="C68" s="2"/>
      <c r="D68" s="2"/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2:22" s="4" customFormat="1" ht="18.600000000000001" customHeight="1" x14ac:dyDescent="0.25">
      <c r="B69" s="2"/>
      <c r="C69" s="2"/>
      <c r="D69" s="2"/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2:22" s="4" customFormat="1" ht="18.600000000000001" customHeight="1" x14ac:dyDescent="0.25">
      <c r="B70" s="2"/>
      <c r="C70" s="2"/>
      <c r="D70" s="2"/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2:22" s="4" customFormat="1" ht="19.149999999999999" customHeight="1" x14ac:dyDescent="0.25">
      <c r="B71" s="2"/>
      <c r="C71" s="2"/>
      <c r="D71" s="2"/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2:22" s="4" customFormat="1" ht="18.600000000000001" customHeight="1" x14ac:dyDescent="0.25">
      <c r="B72" s="2"/>
      <c r="C72" s="2"/>
      <c r="D72" s="2"/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2:22" s="4" customFormat="1" ht="18.600000000000001" customHeight="1" x14ac:dyDescent="0.25">
      <c r="B73" s="2"/>
      <c r="C73" s="2"/>
      <c r="D73" s="2"/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</sheetData>
  <customSheetViews>
    <customSheetView guid="{512075D7-6EE7-4EEF-842F-09AF15E6D8B5}" scale="90" fitToPage="1">
      <selection activeCell="A36" sqref="A36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90" showPageBreaks="1" fitToPage="1">
      <selection activeCell="Q26" sqref="Q26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90" showPageBreaks="1" fitToPage="1">
      <selection activeCell="E27" sqref="E27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90" showPageBreaks="1" fitToPage="1">
      <selection activeCell="M18" sqref="M18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90" showPageBreaks="1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90" showPageBreaks="1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fitToPage="1">
      <selection activeCell="O25" sqref="O25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90" fitToPage="1">
      <selection activeCell="E27" sqref="E27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23">
    <mergeCell ref="A14:B14"/>
    <mergeCell ref="A15:B15"/>
    <mergeCell ref="A16:B16"/>
    <mergeCell ref="A17:B17"/>
    <mergeCell ref="A12:B12"/>
    <mergeCell ref="A13:B13"/>
    <mergeCell ref="A7:B7"/>
    <mergeCell ref="A8:B8"/>
    <mergeCell ref="A9:B9"/>
    <mergeCell ref="A10:B10"/>
    <mergeCell ref="A11:B11"/>
    <mergeCell ref="O4:P4"/>
    <mergeCell ref="Q4:R4"/>
    <mergeCell ref="S4:T4"/>
    <mergeCell ref="U4:V4"/>
    <mergeCell ref="A5:B5"/>
    <mergeCell ref="K4:L4"/>
    <mergeCell ref="M4:N4"/>
    <mergeCell ref="A6:B6"/>
    <mergeCell ref="C4:D4"/>
    <mergeCell ref="E4:F4"/>
    <mergeCell ref="G4:H4"/>
    <mergeCell ref="I4:J4"/>
  </mergeCells>
  <pageMargins left="0.59055118110236227" right="0.59055118110236227" top="1.1811023622047245" bottom="0.59055118110236227" header="0.11811023622047245" footer="0.31496062992125984"/>
  <pageSetup paperSize="9" scale="49" fitToHeight="0" orientation="landscape" r:id="rId12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28" max="16383" man="1"/>
  </rowBreaks>
  <legacyDrawingHF r:id="rId1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9"/>
  <sheetViews>
    <sheetView zoomScaleNormal="100" workbookViewId="0">
      <selection activeCell="A33" sqref="A33"/>
    </sheetView>
  </sheetViews>
  <sheetFormatPr baseColWidth="10" defaultColWidth="11.42578125" defaultRowHeight="16.5" x14ac:dyDescent="0.25"/>
  <cols>
    <col min="1" max="1" width="14.5703125" style="149" customWidth="1"/>
    <col min="2" max="2" width="14.140625" style="143" bestFit="1" customWidth="1"/>
    <col min="3" max="3" width="16.42578125" style="143" bestFit="1" customWidth="1"/>
    <col min="4" max="9" width="13.7109375" style="143" customWidth="1"/>
    <col min="10" max="10" width="14.7109375" style="143" customWidth="1"/>
    <col min="11" max="11" width="9.7109375" style="143" customWidth="1"/>
    <col min="12" max="12" width="15.5703125" style="142" bestFit="1" customWidth="1"/>
    <col min="13" max="15" width="11.42578125" style="143"/>
    <col min="16" max="16" width="13.85546875" style="143" bestFit="1" customWidth="1"/>
    <col min="17" max="17" width="12.42578125" style="143" bestFit="1" customWidth="1"/>
    <col min="18" max="16384" width="11.42578125" style="143"/>
  </cols>
  <sheetData>
    <row r="1" spans="1:16" s="139" customFormat="1" ht="34.15" customHeight="1" x14ac:dyDescent="0.25">
      <c r="A1" s="156" t="s">
        <v>76</v>
      </c>
      <c r="I1" s="140"/>
      <c r="L1" s="140"/>
    </row>
    <row r="2" spans="1:16" s="145" customFormat="1" x14ac:dyDescent="0.25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3"/>
      <c r="L2" s="142"/>
      <c r="M2" s="143"/>
    </row>
    <row r="3" spans="1:16" s="145" customFormat="1" ht="17.25" thickBot="1" x14ac:dyDescent="0.3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2"/>
      <c r="L3" s="142"/>
      <c r="M3" s="143"/>
    </row>
    <row r="4" spans="1:16" s="141" customFormat="1" ht="18" customHeight="1" x14ac:dyDescent="0.25">
      <c r="A4" s="551" t="s">
        <v>46</v>
      </c>
      <c r="B4" s="157" t="s">
        <v>20</v>
      </c>
      <c r="C4" s="157" t="s">
        <v>23</v>
      </c>
      <c r="D4" s="157" t="s">
        <v>24</v>
      </c>
      <c r="E4" s="157" t="s">
        <v>53</v>
      </c>
      <c r="F4" s="157" t="s">
        <v>25</v>
      </c>
      <c r="G4" s="157" t="s">
        <v>30</v>
      </c>
      <c r="H4" s="157" t="s">
        <v>2</v>
      </c>
      <c r="I4" s="157" t="s">
        <v>26</v>
      </c>
      <c r="J4" s="157" t="s">
        <v>45</v>
      </c>
      <c r="K4" s="553" t="s">
        <v>49</v>
      </c>
      <c r="L4" s="555" t="s">
        <v>50</v>
      </c>
      <c r="M4" s="143"/>
      <c r="N4" s="144"/>
      <c r="O4" s="143"/>
      <c r="P4" s="216"/>
    </row>
    <row r="5" spans="1:16" s="141" customFormat="1" ht="27" customHeight="1" x14ac:dyDescent="0.25">
      <c r="A5" s="552"/>
      <c r="B5" s="158" t="s">
        <v>47</v>
      </c>
      <c r="C5" s="158" t="s">
        <v>47</v>
      </c>
      <c r="D5" s="158" t="s">
        <v>47</v>
      </c>
      <c r="E5" s="158" t="s">
        <v>47</v>
      </c>
      <c r="F5" s="158" t="s">
        <v>47</v>
      </c>
      <c r="G5" s="158" t="s">
        <v>47</v>
      </c>
      <c r="H5" s="158" t="s">
        <v>47</v>
      </c>
      <c r="I5" s="158" t="s">
        <v>47</v>
      </c>
      <c r="J5" s="158" t="s">
        <v>51</v>
      </c>
      <c r="K5" s="554"/>
      <c r="L5" s="556"/>
      <c r="M5" s="143"/>
      <c r="N5" s="144"/>
      <c r="O5" s="143"/>
      <c r="P5" s="216"/>
    </row>
    <row r="6" spans="1:16" s="146" customFormat="1" ht="18.600000000000001" customHeight="1" x14ac:dyDescent="0.25">
      <c r="A6" s="170">
        <v>2009</v>
      </c>
      <c r="B6" s="162">
        <v>765914.22</v>
      </c>
      <c r="C6" s="19">
        <v>776262.5</v>
      </c>
      <c r="D6" s="19">
        <v>159128.20000000001</v>
      </c>
      <c r="E6" s="19"/>
      <c r="F6" s="19">
        <v>402224.78</v>
      </c>
      <c r="G6" s="19">
        <v>79395.899999999994</v>
      </c>
      <c r="H6" s="19">
        <v>357666.25</v>
      </c>
      <c r="I6" s="19">
        <v>127661.3</v>
      </c>
      <c r="J6" s="181">
        <f>B6+C6+D6+F6+G6+H6+I6</f>
        <v>2668253.15</v>
      </c>
      <c r="K6" s="163"/>
      <c r="L6" s="159">
        <v>45.54</v>
      </c>
      <c r="M6" s="143"/>
      <c r="N6" s="144"/>
      <c r="O6" s="143"/>
      <c r="P6" s="216"/>
    </row>
    <row r="7" spans="1:16" s="146" customFormat="1" ht="18.600000000000001" customHeight="1" x14ac:dyDescent="0.25">
      <c r="A7" s="171" t="s">
        <v>48</v>
      </c>
      <c r="B7" s="80">
        <v>1113854.8327137546</v>
      </c>
      <c r="C7" s="19">
        <v>700302.55576208176</v>
      </c>
      <c r="D7" s="19">
        <v>136123.42007434941</v>
      </c>
      <c r="E7" s="19"/>
      <c r="F7" s="19">
        <v>542363.01115241635</v>
      </c>
      <c r="G7" s="19">
        <v>199201.95167286246</v>
      </c>
      <c r="H7" s="19">
        <v>750026.30111524172</v>
      </c>
      <c r="I7" s="19">
        <v>119139.03345724907</v>
      </c>
      <c r="J7" s="181">
        <f t="shared" ref="J7:J16" si="0">B7+C7+D7+F7+G7+H7+I7</f>
        <v>3561011.105947955</v>
      </c>
      <c r="K7" s="268">
        <f>(100/J6*J7)-100</f>
        <v>33.458517830212429</v>
      </c>
      <c r="L7" s="160">
        <v>45.12</v>
      </c>
      <c r="M7" s="143"/>
      <c r="N7" s="147"/>
      <c r="O7" s="143"/>
      <c r="P7" s="216"/>
    </row>
    <row r="8" spans="1:16" s="146" customFormat="1" ht="18.600000000000001" customHeight="1" x14ac:dyDescent="0.25">
      <c r="A8" s="171">
        <v>2011</v>
      </c>
      <c r="B8" s="80">
        <v>1107949.1171003717</v>
      </c>
      <c r="C8" s="19">
        <v>890175.60408921947</v>
      </c>
      <c r="D8" s="19">
        <v>180010.50185873604</v>
      </c>
      <c r="E8" s="19"/>
      <c r="F8" s="19">
        <v>520873.09479553916</v>
      </c>
      <c r="G8" s="19">
        <v>279049.44237918215</v>
      </c>
      <c r="H8" s="19">
        <v>829293.86617100367</v>
      </c>
      <c r="I8" s="19">
        <v>128764.86988847583</v>
      </c>
      <c r="J8" s="182">
        <f t="shared" si="0"/>
        <v>3936116.4962825277</v>
      </c>
      <c r="K8" s="268">
        <f t="shared" ref="K8:K17" si="1">(100/J7*J8)-100</f>
        <v>10.533676508563374</v>
      </c>
      <c r="L8" s="160">
        <v>41.28</v>
      </c>
      <c r="M8" s="143"/>
      <c r="N8" s="144"/>
      <c r="O8" s="143"/>
      <c r="P8" s="216"/>
    </row>
    <row r="9" spans="1:16" s="146" customFormat="1" ht="18.600000000000001" customHeight="1" x14ac:dyDescent="0.25">
      <c r="A9" s="171">
        <v>2012</v>
      </c>
      <c r="B9" s="80">
        <v>1262801.7592592593</v>
      </c>
      <c r="C9" s="19">
        <v>841552.59259259258</v>
      </c>
      <c r="D9" s="19">
        <v>180857.3148148148</v>
      </c>
      <c r="E9" s="19"/>
      <c r="F9" s="19">
        <v>519307.77777777775</v>
      </c>
      <c r="G9" s="19">
        <v>257983.47222222225</v>
      </c>
      <c r="H9" s="19">
        <v>830185.50925925933</v>
      </c>
      <c r="I9" s="19">
        <v>169559.35185185185</v>
      </c>
      <c r="J9" s="182">
        <f t="shared" si="0"/>
        <v>4062247.7777777771</v>
      </c>
      <c r="K9" s="268">
        <f t="shared" si="1"/>
        <v>3.2044600716054532</v>
      </c>
      <c r="L9" s="160">
        <v>42.03</v>
      </c>
      <c r="M9" s="143"/>
      <c r="N9" s="144"/>
      <c r="O9" s="143"/>
      <c r="P9" s="216"/>
    </row>
    <row r="10" spans="1:16" s="146" customFormat="1" ht="18.600000000000001" customHeight="1" x14ac:dyDescent="0.25">
      <c r="A10" s="171">
        <v>2013</v>
      </c>
      <c r="B10" s="80">
        <v>1247170.2314814813</v>
      </c>
      <c r="C10" s="19">
        <v>803203.88888888888</v>
      </c>
      <c r="D10" s="19">
        <v>175825.55555555559</v>
      </c>
      <c r="E10" s="19"/>
      <c r="F10" s="19">
        <v>535238.59259259258</v>
      </c>
      <c r="G10" s="169">
        <v>348104.8055555555</v>
      </c>
      <c r="H10" s="19">
        <v>796817.87037037034</v>
      </c>
      <c r="I10" s="19">
        <v>210992.40740740742</v>
      </c>
      <c r="J10" s="182">
        <f t="shared" si="0"/>
        <v>4117353.3518518517</v>
      </c>
      <c r="K10" s="268">
        <f t="shared" si="1"/>
        <v>1.3565291210330912</v>
      </c>
      <c r="L10" s="160">
        <v>45.12</v>
      </c>
      <c r="M10" s="143"/>
      <c r="N10" s="144"/>
      <c r="O10" s="143"/>
      <c r="P10" s="216"/>
    </row>
    <row r="11" spans="1:16" s="146" customFormat="1" ht="18.600000000000001" customHeight="1" x14ac:dyDescent="0.25">
      <c r="A11" s="171">
        <v>2014</v>
      </c>
      <c r="B11" s="80">
        <v>1292656.2037037038</v>
      </c>
      <c r="C11" s="19">
        <v>838752.12962962955</v>
      </c>
      <c r="D11" s="19">
        <v>188712.54629629632</v>
      </c>
      <c r="E11" s="19"/>
      <c r="F11" s="19">
        <v>615417.54629629641</v>
      </c>
      <c r="G11" s="19">
        <v>347623.28703703702</v>
      </c>
      <c r="H11" s="19">
        <v>790610.60185185191</v>
      </c>
      <c r="I11" s="19">
        <v>108487.96296296295</v>
      </c>
      <c r="J11" s="182">
        <f t="shared" si="0"/>
        <v>4182260.2777777785</v>
      </c>
      <c r="K11" s="268">
        <f t="shared" si="1"/>
        <v>1.5764235026545208</v>
      </c>
      <c r="L11" s="160">
        <v>43.46</v>
      </c>
      <c r="M11" s="143"/>
      <c r="N11" s="144"/>
      <c r="O11" s="143"/>
      <c r="P11" s="216"/>
    </row>
    <row r="12" spans="1:16" s="146" customFormat="1" ht="18.600000000000001" customHeight="1" x14ac:dyDescent="0.25">
      <c r="A12" s="171">
        <v>2015</v>
      </c>
      <c r="B12" s="80">
        <v>1293206.0648148148</v>
      </c>
      <c r="C12" s="19">
        <v>972928.42592592607</v>
      </c>
      <c r="D12" s="19">
        <v>230142.73148148149</v>
      </c>
      <c r="E12" s="19"/>
      <c r="F12" s="19">
        <v>702665.41666666663</v>
      </c>
      <c r="G12" s="19">
        <v>305247.54629629629</v>
      </c>
      <c r="H12" s="19">
        <v>810327.40740740742</v>
      </c>
      <c r="I12" s="19">
        <v>253387.40740740742</v>
      </c>
      <c r="J12" s="182">
        <f t="shared" si="0"/>
        <v>4567905</v>
      </c>
      <c r="K12" s="268">
        <f t="shared" si="1"/>
        <v>9.2209641822467319</v>
      </c>
      <c r="L12" s="160">
        <v>43.22</v>
      </c>
      <c r="M12" s="143"/>
      <c r="N12" s="144"/>
      <c r="O12" s="143"/>
      <c r="P12" s="216"/>
    </row>
    <row r="13" spans="1:16" s="146" customFormat="1" ht="18.600000000000001" customHeight="1" x14ac:dyDescent="0.25">
      <c r="A13" s="171">
        <v>2016</v>
      </c>
      <c r="B13" s="80">
        <v>1371310.7407407407</v>
      </c>
      <c r="C13" s="19">
        <v>953607.77777777764</v>
      </c>
      <c r="D13" s="19">
        <v>213920.23148148146</v>
      </c>
      <c r="E13" s="19"/>
      <c r="F13" s="19">
        <v>768301.9907407409</v>
      </c>
      <c r="G13" s="19">
        <v>311877.22222222219</v>
      </c>
      <c r="H13" s="19">
        <v>740851.29629629618</v>
      </c>
      <c r="I13" s="19">
        <v>216036.66666666669</v>
      </c>
      <c r="J13" s="182">
        <f t="shared" si="0"/>
        <v>4575905.9259259263</v>
      </c>
      <c r="K13" s="268">
        <f t="shared" si="1"/>
        <v>0.17515526102066303</v>
      </c>
      <c r="L13" s="160">
        <v>42.21</v>
      </c>
      <c r="M13" s="143"/>
      <c r="N13" s="144"/>
      <c r="O13" s="143"/>
      <c r="P13" s="216"/>
    </row>
    <row r="14" spans="1:16" s="146" customFormat="1" ht="18.600000000000001" customHeight="1" x14ac:dyDescent="0.25">
      <c r="A14" s="171">
        <v>2017</v>
      </c>
      <c r="B14" s="80">
        <v>1338448.0501392758</v>
      </c>
      <c r="C14" s="19">
        <v>1052895.3240740742</v>
      </c>
      <c r="D14" s="19">
        <v>248394.53703703708</v>
      </c>
      <c r="E14" s="19"/>
      <c r="F14" s="19">
        <v>769078.33333333337</v>
      </c>
      <c r="G14" s="19">
        <v>282599.12037037034</v>
      </c>
      <c r="H14" s="19">
        <v>824060.01851851854</v>
      </c>
      <c r="I14" s="19">
        <v>211605.09259259258</v>
      </c>
      <c r="J14" s="182">
        <f t="shared" si="0"/>
        <v>4727080.4760652017</v>
      </c>
      <c r="K14" s="268">
        <f t="shared" si="1"/>
        <v>3.3037075627529617</v>
      </c>
      <c r="L14" s="160">
        <v>42.83</v>
      </c>
      <c r="M14" s="143"/>
      <c r="N14" s="144"/>
      <c r="O14" s="143"/>
      <c r="P14" s="216"/>
    </row>
    <row r="15" spans="1:16" s="146" customFormat="1" ht="18.600000000000001" customHeight="1" x14ac:dyDescent="0.25">
      <c r="A15" s="171">
        <v>2018</v>
      </c>
      <c r="B15" s="80">
        <v>1304911.095636026</v>
      </c>
      <c r="C15" s="19">
        <v>1282862.7669452182</v>
      </c>
      <c r="D15" s="169">
        <v>289065.83101207053</v>
      </c>
      <c r="E15" s="19"/>
      <c r="F15" s="169">
        <v>796041.87558031559</v>
      </c>
      <c r="G15" s="19">
        <v>276561.51346332399</v>
      </c>
      <c r="H15" s="169">
        <v>892229.29433611885</v>
      </c>
      <c r="I15" s="19">
        <v>274674.93036211701</v>
      </c>
      <c r="J15" s="163">
        <f t="shared" si="0"/>
        <v>5116347.3073351905</v>
      </c>
      <c r="K15" s="268">
        <f t="shared" si="1"/>
        <v>8.2348255596869535</v>
      </c>
      <c r="L15" s="160">
        <v>44.25</v>
      </c>
      <c r="M15" s="143"/>
      <c r="N15" s="144"/>
      <c r="O15" s="143"/>
      <c r="P15" s="216"/>
    </row>
    <row r="16" spans="1:16" s="146" customFormat="1" ht="18.600000000000001" customHeight="1" x14ac:dyDescent="0.25">
      <c r="A16" s="171">
        <v>2019</v>
      </c>
      <c r="B16" s="81">
        <v>1436096.35097493</v>
      </c>
      <c r="C16" s="19">
        <v>1136138.7650882078</v>
      </c>
      <c r="D16" s="19">
        <v>253088.30083565463</v>
      </c>
      <c r="E16" s="19"/>
      <c r="F16" s="19">
        <v>813889.69359331473</v>
      </c>
      <c r="G16" s="19">
        <v>259024.09470752091</v>
      </c>
      <c r="H16" s="19">
        <v>842220.42711234919</v>
      </c>
      <c r="I16" s="19">
        <v>227878.62581244195</v>
      </c>
      <c r="J16" s="182">
        <f t="shared" si="0"/>
        <v>4968336.2581244195</v>
      </c>
      <c r="K16" s="269">
        <f t="shared" si="1"/>
        <v>-2.8929046509131808</v>
      </c>
      <c r="L16" s="160">
        <v>45.6</v>
      </c>
      <c r="M16" s="143"/>
      <c r="N16" s="144"/>
      <c r="O16" s="143"/>
      <c r="P16" s="216"/>
    </row>
    <row r="17" spans="1:16" s="146" customFormat="1" ht="18.600000000000001" customHeight="1" x14ac:dyDescent="0.25">
      <c r="A17" s="171">
        <v>2020</v>
      </c>
      <c r="B17" s="80">
        <v>1057005.25</v>
      </c>
      <c r="C17" s="19">
        <v>1238610.5</v>
      </c>
      <c r="D17" s="19">
        <v>179706.13</v>
      </c>
      <c r="E17" s="19">
        <v>102362.12</v>
      </c>
      <c r="F17" s="19">
        <v>473573.63</v>
      </c>
      <c r="G17" s="19">
        <v>179097.45</v>
      </c>
      <c r="H17" s="19">
        <v>727928.3</v>
      </c>
      <c r="I17" s="19">
        <v>269176.51</v>
      </c>
      <c r="J17" s="182">
        <f>B17+C17+D17+F17+G17+H17+I17+E17</f>
        <v>4227459.8899999997</v>
      </c>
      <c r="K17" s="269">
        <f t="shared" si="1"/>
        <v>-14.911961059658751</v>
      </c>
      <c r="L17" s="160">
        <v>43.29</v>
      </c>
      <c r="M17" s="143"/>
      <c r="N17" s="144"/>
      <c r="O17" s="143"/>
      <c r="P17" s="216"/>
    </row>
    <row r="18" spans="1:16" s="146" customFormat="1" ht="18.600000000000001" customHeight="1" x14ac:dyDescent="0.25">
      <c r="A18" s="171" t="s">
        <v>64</v>
      </c>
      <c r="B18" s="172">
        <v>1085074.8999999999</v>
      </c>
      <c r="C18" s="169">
        <v>1283313.5</v>
      </c>
      <c r="D18" s="173">
        <v>163511.1</v>
      </c>
      <c r="E18" s="173">
        <v>80524.600000000006</v>
      </c>
      <c r="F18" s="173">
        <v>575115.05000000005</v>
      </c>
      <c r="G18" s="173">
        <v>193571.55</v>
      </c>
      <c r="H18" s="173">
        <v>1109220.69</v>
      </c>
      <c r="I18" s="173">
        <v>189426.5</v>
      </c>
      <c r="J18" s="182">
        <f>SUM(B18:I18)</f>
        <v>4679757.8900000006</v>
      </c>
      <c r="K18" s="270">
        <f>(100/J17*J18)-100</f>
        <v>10.699048879680831</v>
      </c>
      <c r="L18" s="174">
        <v>49.14</v>
      </c>
      <c r="M18" s="143"/>
      <c r="N18" s="144"/>
      <c r="O18" s="143"/>
    </row>
    <row r="19" spans="1:16" s="146" customFormat="1" ht="18.600000000000001" customHeight="1" x14ac:dyDescent="0.25">
      <c r="A19" s="171" t="s">
        <v>52</v>
      </c>
      <c r="B19" s="80">
        <v>1865998.9</v>
      </c>
      <c r="C19" s="80">
        <v>1723530.0000000002</v>
      </c>
      <c r="D19" s="80">
        <v>124907.85</v>
      </c>
      <c r="E19" s="80">
        <v>116153.8</v>
      </c>
      <c r="F19" s="80">
        <v>1133372.25</v>
      </c>
      <c r="G19" s="80">
        <v>439209.8</v>
      </c>
      <c r="H19" s="80">
        <v>1354943.9500000002</v>
      </c>
      <c r="I19" s="19">
        <v>341615</v>
      </c>
      <c r="J19" s="182">
        <v>7099731.5500000007</v>
      </c>
      <c r="K19" s="270">
        <v>67.943203122856858</v>
      </c>
      <c r="L19" s="160">
        <v>44.1</v>
      </c>
      <c r="M19" s="143"/>
      <c r="N19" s="144"/>
      <c r="O19" s="143"/>
      <c r="P19" s="216"/>
    </row>
    <row r="20" spans="1:16" s="146" customFormat="1" ht="18.600000000000001" customHeight="1" x14ac:dyDescent="0.25">
      <c r="A20" s="171" t="s">
        <v>65</v>
      </c>
      <c r="B20" s="122">
        <v>2484457.9300000002</v>
      </c>
      <c r="C20" s="512">
        <v>1775014.0010000002</v>
      </c>
      <c r="D20" s="512">
        <v>141249.38</v>
      </c>
      <c r="E20" s="122">
        <v>129542.8</v>
      </c>
      <c r="F20" s="122">
        <v>1388599.8</v>
      </c>
      <c r="G20" s="122">
        <v>1009545.95</v>
      </c>
      <c r="H20" s="122">
        <v>2031906.9700000002</v>
      </c>
      <c r="I20" s="122">
        <v>366711.15</v>
      </c>
      <c r="J20" s="182">
        <f>SUM(B20:I20)</f>
        <v>9327027.9810000006</v>
      </c>
      <c r="K20" s="270">
        <f>(100/J19*J20)-100</f>
        <v>31.371558421811017</v>
      </c>
      <c r="L20" s="414">
        <v>43.03</v>
      </c>
      <c r="M20" s="143"/>
      <c r="N20" s="144"/>
      <c r="O20" s="143"/>
    </row>
    <row r="21" spans="1:16" s="146" customFormat="1" ht="18.600000000000001" customHeight="1" thickBot="1" x14ac:dyDescent="0.3">
      <c r="A21" s="413" t="s">
        <v>108</v>
      </c>
      <c r="B21" s="509">
        <f>'Jahresumsatz Monat 2024'!C18</f>
        <v>2861588.08</v>
      </c>
      <c r="C21" s="172">
        <f>'Jahresumsatz Monat 2024'!E18</f>
        <v>1415882.96</v>
      </c>
      <c r="D21" s="172">
        <f>'Jahresumsatz Monat 2024'!G18</f>
        <v>134210.29999999999</v>
      </c>
      <c r="E21" s="509">
        <f>'Jahresumsatz Monat 2024'!I18</f>
        <v>149383.70000000001</v>
      </c>
      <c r="F21" s="509">
        <f>'Jahresumsatz Monat 2024'!K18</f>
        <v>1736896.5</v>
      </c>
      <c r="G21" s="509">
        <f>'Jahresumsatz Monat 2024'!M18</f>
        <v>1118026.0999999999</v>
      </c>
      <c r="H21" s="509">
        <f>'Jahresumsatz Monat 2024'!O18</f>
        <v>2233507.04</v>
      </c>
      <c r="I21" s="172">
        <f>'Jahresumsatz Monat 2024'!S18</f>
        <v>273634.38</v>
      </c>
      <c r="J21" s="510">
        <f>SUM(B21:I21)</f>
        <v>9923129.0600000005</v>
      </c>
      <c r="K21" s="270">
        <f>(100/J20*J21)-100</f>
        <v>6.3911149426624547</v>
      </c>
      <c r="L21" s="511">
        <v>41</v>
      </c>
      <c r="M21" s="143"/>
      <c r="N21" s="144"/>
      <c r="O21" s="143"/>
    </row>
    <row r="22" spans="1:16" s="148" customFormat="1" ht="30" customHeight="1" thickBot="1" x14ac:dyDescent="0.3">
      <c r="A22" s="164" t="s">
        <v>16</v>
      </c>
      <c r="B22" s="165">
        <f>SUM(B6:B21)</f>
        <v>22888443.726564355</v>
      </c>
      <c r="C22" s="166">
        <f t="shared" ref="C22:J22" si="2">SUM(C6:C21)</f>
        <v>17685033.291773617</v>
      </c>
      <c r="D22" s="166">
        <f t="shared" si="2"/>
        <v>2998853.9304474769</v>
      </c>
      <c r="E22" s="166">
        <f t="shared" si="2"/>
        <v>577967.02</v>
      </c>
      <c r="F22" s="166">
        <f t="shared" si="2"/>
        <v>12292959.342528995</v>
      </c>
      <c r="G22" s="166">
        <f t="shared" si="2"/>
        <v>5886119.2059265925</v>
      </c>
      <c r="H22" s="166">
        <f t="shared" si="2"/>
        <v>15921795.792438421</v>
      </c>
      <c r="I22" s="166">
        <f t="shared" si="2"/>
        <v>3488751.1884091725</v>
      </c>
      <c r="J22" s="165">
        <f t="shared" si="2"/>
        <v>81739923.498088643</v>
      </c>
      <c r="K22" s="167"/>
      <c r="L22" s="161"/>
      <c r="M22" s="143"/>
      <c r="N22" s="144"/>
      <c r="O22" s="143"/>
    </row>
    <row r="23" spans="1:16" ht="17.25" thickBot="1" x14ac:dyDescent="0.3">
      <c r="K23" s="142"/>
      <c r="L23" s="143"/>
      <c r="N23" s="144"/>
    </row>
    <row r="24" spans="1:16" ht="17.25" thickBot="1" x14ac:dyDescent="0.3">
      <c r="A24" s="149" t="s">
        <v>61</v>
      </c>
      <c r="B24" s="222">
        <f>B22/16</f>
        <v>1430527.7329102722</v>
      </c>
      <c r="C24" s="222">
        <f t="shared" ref="C24:J24" si="3">C22/16</f>
        <v>1105314.5807358511</v>
      </c>
      <c r="D24" s="222">
        <f t="shared" si="3"/>
        <v>187428.37065296731</v>
      </c>
      <c r="E24" s="222">
        <f t="shared" si="3"/>
        <v>36122.938750000001</v>
      </c>
      <c r="F24" s="222">
        <f t="shared" si="3"/>
        <v>768309.9589080622</v>
      </c>
      <c r="G24" s="222">
        <f t="shared" si="3"/>
        <v>367882.45037041203</v>
      </c>
      <c r="H24" s="222">
        <f t="shared" si="3"/>
        <v>995112.23702740134</v>
      </c>
      <c r="I24" s="222">
        <f t="shared" si="3"/>
        <v>218046.94927557328</v>
      </c>
      <c r="J24" s="222">
        <f t="shared" si="3"/>
        <v>5108745.2186305402</v>
      </c>
    </row>
    <row r="25" spans="1:16" x14ac:dyDescent="0.25">
      <c r="B25" s="150"/>
      <c r="C25" s="152"/>
      <c r="D25" s="152"/>
      <c r="E25" s="152"/>
      <c r="J25" s="142"/>
      <c r="K25" s="142"/>
    </row>
    <row r="26" spans="1:16" ht="20.25" x14ac:dyDescent="0.25">
      <c r="B26" s="150"/>
      <c r="C26" s="153"/>
      <c r="D26" s="154"/>
      <c r="E26" s="154"/>
      <c r="K26" s="155"/>
      <c r="L26" s="151"/>
    </row>
    <row r="27" spans="1:16" x14ac:dyDescent="0.25">
      <c r="C27" s="152"/>
      <c r="D27" s="152"/>
      <c r="E27" s="152"/>
      <c r="J27" s="155"/>
      <c r="K27" s="155"/>
      <c r="L27" s="151"/>
    </row>
    <row r="28" spans="1:16" ht="20.25" x14ac:dyDescent="0.25">
      <c r="C28" s="506"/>
      <c r="D28" s="154"/>
      <c r="E28" s="154"/>
      <c r="F28" s="151"/>
      <c r="J28" s="151"/>
      <c r="L28" s="224"/>
    </row>
    <row r="29" spans="1:16" x14ac:dyDescent="0.25">
      <c r="C29" s="507"/>
      <c r="D29" s="142"/>
      <c r="E29" s="142"/>
      <c r="F29" s="508"/>
      <c r="G29" s="508"/>
    </row>
  </sheetData>
  <customSheetViews>
    <customSheetView guid="{512075D7-6EE7-4EEF-842F-09AF15E6D8B5}" fitToPage="1">
      <selection activeCell="A33" sqref="A33"/>
      <rowBreaks count="1" manualBreakCount="1">
        <brk id="47" max="16383" man="1"/>
      </rowBreaks>
      <pageMargins left="0.59055118110236227" right="0.59055118110236227" top="1.1811023622047245" bottom="0.59055118110236227" header="0.11811023622047245" footer="0.31496062992125984"/>
      <pageSetup paperSize="9" scale="80" fitToHeight="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howPageBreaks="1" fitToPage="1">
      <selection activeCell="K28" sqref="K28"/>
      <rowBreaks count="1" manualBreakCount="1">
        <brk id="47" max="16383" man="1"/>
      </rowBreaks>
      <pageMargins left="0.59055118110236227" right="0.59055118110236227" top="1.1811023622047245" bottom="0.59055118110236227" header="0.11811023622047245" footer="0.31496062992125984"/>
      <pageSetup paperSize="9" scale="80" fitToHeight="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howPageBreaks="1" fitToPage="1">
      <selection activeCell="C15" sqref="C15"/>
      <rowBreaks count="1" manualBreakCount="1">
        <brk id="47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howPageBreaks="1" fitToPage="1">
      <selection activeCell="J21" sqref="J21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howPageBreaks="1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howPageBreaks="1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fitToPage="1">
      <selection activeCell="K27" sqref="K27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fitToPage="1">
      <selection activeCell="C15" sqref="C15"/>
      <rowBreaks count="1" manualBreakCount="1">
        <brk id="47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3">
    <mergeCell ref="A4:A5"/>
    <mergeCell ref="K4:K5"/>
    <mergeCell ref="L4:L5"/>
  </mergeCells>
  <pageMargins left="0.59055118110236227" right="0.59055118110236227" top="1.1811023622047245" bottom="0.59055118110236227" header="0.11811023622047245" footer="0.31496062992125984"/>
  <pageSetup paperSize="9" scale="80" fitToHeight="0" orientation="landscape" r:id="rId12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47" max="16383" man="1"/>
  </rowBreaks>
  <legacyDrawingHF r:id="rId1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S91"/>
  <sheetViews>
    <sheetView zoomScaleNormal="100" workbookViewId="0">
      <selection activeCell="P9" sqref="P9"/>
    </sheetView>
  </sheetViews>
  <sheetFormatPr baseColWidth="10" defaultColWidth="11.42578125" defaultRowHeight="16.5" x14ac:dyDescent="0.25"/>
  <cols>
    <col min="1" max="1" width="9.28515625" style="188" customWidth="1"/>
    <col min="2" max="2" width="9.28515625" style="186" customWidth="1"/>
    <col min="3" max="4" width="13.7109375" style="186" customWidth="1"/>
    <col min="5" max="5" width="7.7109375" style="190" customWidth="1"/>
    <col min="6" max="6" width="13.7109375" style="186" customWidth="1"/>
    <col min="7" max="7" width="7.7109375" style="190" customWidth="1"/>
    <col min="8" max="8" width="13.7109375" style="186" customWidth="1"/>
    <col min="9" max="9" width="9" style="190" bestFit="1" customWidth="1"/>
    <col min="10" max="10" width="13.7109375" style="186" customWidth="1"/>
    <col min="11" max="11" width="7.7109375" style="190" customWidth="1"/>
    <col min="12" max="12" width="13.7109375" style="186" customWidth="1"/>
    <col min="13" max="13" width="8" style="190" bestFit="1" customWidth="1"/>
    <col min="14" max="14" width="13" style="190" bestFit="1" customWidth="1"/>
    <col min="15" max="15" width="9" style="190" bestFit="1" customWidth="1"/>
    <col min="16" max="16" width="13.7109375" style="186" customWidth="1"/>
    <col min="17" max="17" width="9.85546875" style="186" bestFit="1" customWidth="1"/>
    <col min="18" max="18" width="13.7109375" style="186" customWidth="1"/>
    <col min="19" max="19" width="9" style="190" bestFit="1" customWidth="1"/>
    <col min="20" max="16384" width="11.42578125" style="186"/>
  </cols>
  <sheetData>
    <row r="1" spans="1:19" ht="34.15" customHeight="1" x14ac:dyDescent="0.25">
      <c r="A1" s="185" t="s">
        <v>56</v>
      </c>
      <c r="E1" s="186"/>
      <c r="G1" s="186"/>
      <c r="H1" s="187"/>
      <c r="I1" s="186"/>
      <c r="J1" s="188"/>
      <c r="K1" s="186"/>
      <c r="L1" s="188"/>
      <c r="M1" s="186"/>
      <c r="N1" s="186"/>
      <c r="O1" s="186"/>
      <c r="P1" s="188"/>
      <c r="Q1" s="188"/>
      <c r="R1" s="188"/>
      <c r="S1" s="186"/>
    </row>
    <row r="2" spans="1:19" ht="21" thickBot="1" x14ac:dyDescent="0.3">
      <c r="A2" s="189"/>
      <c r="P2" s="372"/>
      <c r="Q2" s="372"/>
      <c r="R2" s="372"/>
      <c r="S2" s="373"/>
    </row>
    <row r="3" spans="1:19" s="191" customFormat="1" ht="19.149999999999999" customHeight="1" x14ac:dyDescent="0.25">
      <c r="A3" s="561" t="s">
        <v>45</v>
      </c>
      <c r="B3" s="562"/>
      <c r="C3" s="202">
        <v>2016</v>
      </c>
      <c r="D3" s="378">
        <v>2017</v>
      </c>
      <c r="E3" s="374" t="s">
        <v>19</v>
      </c>
      <c r="F3" s="203">
        <v>2018</v>
      </c>
      <c r="G3" s="204" t="s">
        <v>19</v>
      </c>
      <c r="H3" s="378">
        <v>2019</v>
      </c>
      <c r="I3" s="374" t="s">
        <v>19</v>
      </c>
      <c r="J3" s="203">
        <v>2020</v>
      </c>
      <c r="K3" s="204" t="s">
        <v>19</v>
      </c>
      <c r="L3" s="378">
        <v>2021</v>
      </c>
      <c r="M3" s="374" t="s">
        <v>19</v>
      </c>
      <c r="N3" s="374">
        <v>2022</v>
      </c>
      <c r="O3" s="319" t="s">
        <v>19</v>
      </c>
      <c r="P3" s="484">
        <v>2023</v>
      </c>
      <c r="Q3" s="485" t="s">
        <v>19</v>
      </c>
      <c r="R3" s="485">
        <v>2024</v>
      </c>
      <c r="S3" s="204" t="s">
        <v>19</v>
      </c>
    </row>
    <row r="4" spans="1:19" s="194" customFormat="1" ht="18.600000000000001" customHeight="1" x14ac:dyDescent="0.25">
      <c r="A4" s="557" t="s">
        <v>31</v>
      </c>
      <c r="B4" s="565"/>
      <c r="C4" s="192">
        <v>204263.90000000002</v>
      </c>
      <c r="D4" s="192">
        <v>179373.3</v>
      </c>
      <c r="E4" s="192">
        <f>SUM(100/C4*D4)</f>
        <v>87.814489001727637</v>
      </c>
      <c r="F4" s="192">
        <v>219740.15000000002</v>
      </c>
      <c r="G4" s="192">
        <f>SUM(100/D4*F4)</f>
        <v>122.50438052932071</v>
      </c>
      <c r="H4" s="192">
        <v>201541</v>
      </c>
      <c r="I4" s="192">
        <f>SUM(100/F4*H4)</f>
        <v>91.717876773998725</v>
      </c>
      <c r="J4" s="192">
        <v>232934.2</v>
      </c>
      <c r="K4" s="192">
        <f>SUM(100/H4*J4)</f>
        <v>115.57658243235868</v>
      </c>
      <c r="L4" s="192">
        <v>54079.700000000004</v>
      </c>
      <c r="M4" s="192">
        <f>SUM(100/J4*L4)</f>
        <v>23.21672815756553</v>
      </c>
      <c r="N4" s="192">
        <v>126012.8</v>
      </c>
      <c r="O4" s="192">
        <v>233.01312692193201</v>
      </c>
      <c r="P4" s="192">
        <v>422125.75</v>
      </c>
      <c r="Q4" s="192">
        <f>SUM(100/N4*P4)</f>
        <v>334.98640614286802</v>
      </c>
      <c r="R4" s="192">
        <f>'01_24'!AA41</f>
        <v>504917.02000000008</v>
      </c>
      <c r="S4" s="192">
        <f>SUM(100/P4*R4)</f>
        <v>119.61293998293165</v>
      </c>
    </row>
    <row r="5" spans="1:19" s="194" customFormat="1" ht="18.600000000000001" customHeight="1" x14ac:dyDescent="0.25">
      <c r="A5" s="557" t="s">
        <v>32</v>
      </c>
      <c r="B5" s="565"/>
      <c r="C5" s="195">
        <v>233986.1</v>
      </c>
      <c r="D5" s="192">
        <v>215691.40000000005</v>
      </c>
      <c r="E5" s="192">
        <f t="shared" ref="E5:E16" si="0">SUM(100/C5*D5)</f>
        <v>92.181287691875724</v>
      </c>
      <c r="F5" s="192">
        <v>234335.15</v>
      </c>
      <c r="G5" s="192">
        <f t="shared" ref="G5:G16" si="1">SUM(100/D5*F5)</f>
        <v>108.64371504844419</v>
      </c>
      <c r="H5" s="192">
        <v>240754.09999999998</v>
      </c>
      <c r="I5" s="192">
        <f t="shared" ref="I5:I16" si="2">SUM(100/F5*H5)</f>
        <v>102.7392177400616</v>
      </c>
      <c r="J5" s="192">
        <v>240468.54999999996</v>
      </c>
      <c r="K5" s="192">
        <f t="shared" ref="K5:K16" si="3">SUM(100/H5*J5)</f>
        <v>99.881393504825041</v>
      </c>
      <c r="L5" s="192">
        <v>15384.62</v>
      </c>
      <c r="M5" s="192">
        <f t="shared" ref="M5:M16" si="4">SUM(100/J5*L5)</f>
        <v>6.3977680241345505</v>
      </c>
      <c r="N5" s="192">
        <v>0</v>
      </c>
      <c r="O5" s="192">
        <v>0</v>
      </c>
      <c r="P5" s="192">
        <v>384517.45</v>
      </c>
      <c r="Q5" s="192" t="e">
        <f t="shared" ref="Q5:Q15" si="5">SUM(100/N5*P5)</f>
        <v>#DIV/0!</v>
      </c>
      <c r="R5" s="192">
        <f>'02_24'!Y39</f>
        <v>411911.5</v>
      </c>
      <c r="S5" s="192">
        <f t="shared" ref="S5:S15" si="6">SUM(100/P5*R5)</f>
        <v>107.12426705211948</v>
      </c>
    </row>
    <row r="6" spans="1:19" s="194" customFormat="1" ht="18.600000000000001" customHeight="1" x14ac:dyDescent="0.25">
      <c r="A6" s="557" t="s">
        <v>33</v>
      </c>
      <c r="B6" s="565"/>
      <c r="C6" s="195">
        <v>270561.1999999999</v>
      </c>
      <c r="D6" s="192">
        <v>334461.75</v>
      </c>
      <c r="E6" s="192">
        <f t="shared" si="0"/>
        <v>123.61778037649157</v>
      </c>
      <c r="F6" s="192">
        <v>294214</v>
      </c>
      <c r="G6" s="192">
        <f t="shared" si="1"/>
        <v>87.966411704776405</v>
      </c>
      <c r="H6" s="192">
        <v>336458.62000000005</v>
      </c>
      <c r="I6" s="192">
        <f t="shared" si="2"/>
        <v>114.35846696622188</v>
      </c>
      <c r="J6" s="192">
        <v>134204.19999999998</v>
      </c>
      <c r="K6" s="192">
        <f t="shared" si="3"/>
        <v>39.887282424210134</v>
      </c>
      <c r="L6" s="192">
        <v>130222.05000000002</v>
      </c>
      <c r="M6" s="192">
        <f t="shared" si="4"/>
        <v>97.032767975965015</v>
      </c>
      <c r="N6" s="192">
        <v>176143.85</v>
      </c>
      <c r="O6" s="192">
        <v>135.26422752521557</v>
      </c>
      <c r="P6" s="192">
        <v>528928.80000000005</v>
      </c>
      <c r="Q6" s="192">
        <f t="shared" si="5"/>
        <v>300.28229767885739</v>
      </c>
      <c r="R6" s="192">
        <f>'03_24'!Y41</f>
        <v>645051.69999999995</v>
      </c>
      <c r="S6" s="192">
        <f>SUM(100/P6*R6)</f>
        <v>121.95435378069787</v>
      </c>
    </row>
    <row r="7" spans="1:19" s="194" customFormat="1" ht="18.600000000000001" customHeight="1" x14ac:dyDescent="0.25">
      <c r="A7" s="557" t="s">
        <v>34</v>
      </c>
      <c r="B7" s="558"/>
      <c r="C7" s="195">
        <v>399174.69999999995</v>
      </c>
      <c r="D7" s="192">
        <v>400480</v>
      </c>
      <c r="E7" s="192">
        <f t="shared" si="0"/>
        <v>100.3269996820941</v>
      </c>
      <c r="F7" s="192">
        <v>446260.2</v>
      </c>
      <c r="G7" s="192">
        <f t="shared" si="1"/>
        <v>111.43133240111865</v>
      </c>
      <c r="H7" s="192">
        <v>376600.7</v>
      </c>
      <c r="I7" s="192">
        <f t="shared" si="2"/>
        <v>84.390384802409002</v>
      </c>
      <c r="J7" s="192">
        <v>0</v>
      </c>
      <c r="K7" s="192">
        <f t="shared" si="3"/>
        <v>0</v>
      </c>
      <c r="L7" s="192">
        <v>302767.5</v>
      </c>
      <c r="M7" s="192" t="e">
        <f t="shared" si="4"/>
        <v>#DIV/0!</v>
      </c>
      <c r="N7" s="192">
        <v>323379.95</v>
      </c>
      <c r="O7" s="192">
        <v>106.80801274905663</v>
      </c>
      <c r="P7" s="192">
        <v>644276.071</v>
      </c>
      <c r="Q7" s="192">
        <f t="shared" si="5"/>
        <v>199.23191620259698</v>
      </c>
      <c r="R7" s="192">
        <f>'04_24'!Y40</f>
        <v>758661.55</v>
      </c>
      <c r="S7" s="192">
        <f t="shared" si="6"/>
        <v>117.75410948018899</v>
      </c>
    </row>
    <row r="8" spans="1:19" s="194" customFormat="1" ht="18.600000000000001" customHeight="1" x14ac:dyDescent="0.25">
      <c r="A8" s="557" t="s">
        <v>35</v>
      </c>
      <c r="B8" s="558"/>
      <c r="C8" s="195">
        <v>511488.55000000005</v>
      </c>
      <c r="D8" s="192">
        <v>563147.32000000007</v>
      </c>
      <c r="E8" s="192">
        <f t="shared" si="0"/>
        <v>110.0996923587048</v>
      </c>
      <c r="F8" s="192">
        <v>546136.54999999993</v>
      </c>
      <c r="G8" s="192">
        <f t="shared" si="1"/>
        <v>96.97933926063962</v>
      </c>
      <c r="H8" s="192">
        <v>500817.39999999997</v>
      </c>
      <c r="I8" s="192">
        <f t="shared" si="2"/>
        <v>91.701864671024126</v>
      </c>
      <c r="J8" s="192">
        <v>297315.24999999994</v>
      </c>
      <c r="K8" s="192">
        <f t="shared" si="3"/>
        <v>59.365998465708252</v>
      </c>
      <c r="L8" s="192">
        <v>407951.68</v>
      </c>
      <c r="M8" s="192">
        <f t="shared" si="4"/>
        <v>137.21182482230563</v>
      </c>
      <c r="N8" s="192">
        <v>704030.39999999991</v>
      </c>
      <c r="O8" s="192">
        <v>172.57690910845125</v>
      </c>
      <c r="P8" s="192">
        <v>941132.3600000001</v>
      </c>
      <c r="Q8" s="192">
        <f t="shared" si="5"/>
        <v>133.67780141312082</v>
      </c>
      <c r="R8" s="192">
        <f>'05_24'!Y41</f>
        <v>1034281.1</v>
      </c>
      <c r="S8" s="192">
        <f t="shared" si="6"/>
        <v>109.89751749690127</v>
      </c>
    </row>
    <row r="9" spans="1:19" s="194" customFormat="1" ht="18.600000000000001" customHeight="1" x14ac:dyDescent="0.25">
      <c r="A9" s="557" t="s">
        <v>36</v>
      </c>
      <c r="B9" s="558"/>
      <c r="C9" s="195">
        <v>521007.1999999999</v>
      </c>
      <c r="D9" s="192">
        <v>695577.55</v>
      </c>
      <c r="E9" s="192">
        <f t="shared" si="0"/>
        <v>133.50632198556954</v>
      </c>
      <c r="F9" s="192">
        <v>670536.09999999986</v>
      </c>
      <c r="G9" s="192">
        <f t="shared" si="1"/>
        <v>96.399905373599225</v>
      </c>
      <c r="H9" s="192">
        <v>729953.15</v>
      </c>
      <c r="I9" s="192">
        <f t="shared" si="2"/>
        <v>108.86112619439881</v>
      </c>
      <c r="J9" s="192">
        <v>563135.66</v>
      </c>
      <c r="K9" s="192">
        <f t="shared" si="3"/>
        <v>77.146822367983489</v>
      </c>
      <c r="L9" s="192">
        <v>661507.81999999995</v>
      </c>
      <c r="M9" s="192">
        <f t="shared" si="4"/>
        <v>117.46864334608109</v>
      </c>
      <c r="N9" s="192">
        <v>962253</v>
      </c>
      <c r="O9" s="192">
        <v>145.46358650756392</v>
      </c>
      <c r="P9" s="192">
        <v>1240223.4899999998</v>
      </c>
      <c r="Q9" s="192">
        <f t="shared" si="5"/>
        <v>128.88746410767229</v>
      </c>
      <c r="R9" s="192">
        <f>'06_24'!Y40</f>
        <v>1130357.45</v>
      </c>
      <c r="S9" s="192">
        <f t="shared" si="6"/>
        <v>91.141432097855215</v>
      </c>
    </row>
    <row r="10" spans="1:19" s="194" customFormat="1" ht="18.600000000000001" customHeight="1" x14ac:dyDescent="0.25">
      <c r="A10" s="557" t="s">
        <v>37</v>
      </c>
      <c r="B10" s="558"/>
      <c r="C10" s="195">
        <v>732020.80000000016</v>
      </c>
      <c r="D10" s="192">
        <v>664239.20000000019</v>
      </c>
      <c r="E10" s="192">
        <f t="shared" si="0"/>
        <v>90.740481691230642</v>
      </c>
      <c r="F10" s="192">
        <v>824792.10000000009</v>
      </c>
      <c r="G10" s="192">
        <f t="shared" si="1"/>
        <v>124.17094624948359</v>
      </c>
      <c r="H10" s="192">
        <v>779466.42999999982</v>
      </c>
      <c r="I10" s="192">
        <f t="shared" si="2"/>
        <v>94.504594551766402</v>
      </c>
      <c r="J10" s="192">
        <v>893650.74999999988</v>
      </c>
      <c r="K10" s="192">
        <f t="shared" si="3"/>
        <v>114.64903626446107</v>
      </c>
      <c r="L10" s="192">
        <v>731008.39999999991</v>
      </c>
      <c r="M10" s="192">
        <f t="shared" si="4"/>
        <v>81.80023348047321</v>
      </c>
      <c r="N10" s="192">
        <v>1173916</v>
      </c>
      <c r="O10" s="192">
        <v>160.58857873589415</v>
      </c>
      <c r="P10" s="192">
        <v>1158136.3599999999</v>
      </c>
      <c r="Q10" s="192">
        <f t="shared" si="5"/>
        <v>98.655811829807234</v>
      </c>
      <c r="R10" s="192">
        <f>'07_24'!Y41</f>
        <v>1202262.7900000003</v>
      </c>
      <c r="S10" s="192">
        <f t="shared" si="6"/>
        <v>103.81012387867699</v>
      </c>
    </row>
    <row r="11" spans="1:19" s="194" customFormat="1" ht="18.600000000000001" customHeight="1" x14ac:dyDescent="0.25">
      <c r="A11" s="557" t="s">
        <v>38</v>
      </c>
      <c r="B11" s="558"/>
      <c r="C11" s="195">
        <v>746475.29999999981</v>
      </c>
      <c r="D11" s="192">
        <v>736748.2</v>
      </c>
      <c r="E11" s="192">
        <f t="shared" si="0"/>
        <v>98.696929422848982</v>
      </c>
      <c r="F11" s="192">
        <v>776466.96000000008</v>
      </c>
      <c r="G11" s="192">
        <f t="shared" si="1"/>
        <v>105.39109019879521</v>
      </c>
      <c r="H11" s="192">
        <v>774217.49999999988</v>
      </c>
      <c r="I11" s="192">
        <f t="shared" si="2"/>
        <v>99.7102954644715</v>
      </c>
      <c r="J11" s="192">
        <v>865526.24999999988</v>
      </c>
      <c r="K11" s="192">
        <f t="shared" si="3"/>
        <v>111.79368200796287</v>
      </c>
      <c r="L11" s="192">
        <v>782280.45000000007</v>
      </c>
      <c r="M11" s="192">
        <f t="shared" si="4"/>
        <v>90.382059469600165</v>
      </c>
      <c r="N11" s="192">
        <v>1065671.55</v>
      </c>
      <c r="O11" s="192">
        <v>136.22627920715647</v>
      </c>
      <c r="P11" s="192">
        <v>1114712.05</v>
      </c>
      <c r="Q11" s="192">
        <f t="shared" si="5"/>
        <v>104.60184003223132</v>
      </c>
      <c r="R11" s="192">
        <f>'08_24'!Y41</f>
        <v>1332074.08</v>
      </c>
      <c r="S11" s="192">
        <f t="shared" si="6"/>
        <v>119.49938820523202</v>
      </c>
    </row>
    <row r="12" spans="1:19" s="194" customFormat="1" ht="18.600000000000001" customHeight="1" x14ac:dyDescent="0.25">
      <c r="A12" s="557" t="s">
        <v>39</v>
      </c>
      <c r="B12" s="558"/>
      <c r="C12" s="195">
        <v>588464.65</v>
      </c>
      <c r="D12" s="192">
        <v>448978.84999999986</v>
      </c>
      <c r="E12" s="192">
        <f t="shared" si="0"/>
        <v>76.296656052321893</v>
      </c>
      <c r="F12" s="192">
        <v>580902.35000000009</v>
      </c>
      <c r="G12" s="192">
        <f t="shared" si="1"/>
        <v>129.38300991238236</v>
      </c>
      <c r="H12" s="192">
        <v>523632.47999999986</v>
      </c>
      <c r="I12" s="192">
        <f t="shared" si="2"/>
        <v>90.141222530774712</v>
      </c>
      <c r="J12" s="192">
        <v>657442.69999999984</v>
      </c>
      <c r="K12" s="192">
        <f t="shared" si="3"/>
        <v>125.5542245966102</v>
      </c>
      <c r="L12" s="192">
        <v>632187.60000000009</v>
      </c>
      <c r="M12" s="192">
        <f t="shared" si="4"/>
        <v>96.158585379379872</v>
      </c>
      <c r="N12" s="192">
        <v>854302.45000000007</v>
      </c>
      <c r="O12" s="192">
        <v>135.13432563372012</v>
      </c>
      <c r="P12" s="192">
        <v>1136534.3</v>
      </c>
      <c r="Q12" s="192">
        <f t="shared" si="5"/>
        <v>133.03652588143694</v>
      </c>
      <c r="R12" s="192">
        <f>'09_24'!Y41</f>
        <v>955300.02000000014</v>
      </c>
      <c r="S12" s="192">
        <f t="shared" si="6"/>
        <v>84.053778227370699</v>
      </c>
    </row>
    <row r="13" spans="1:19" s="194" customFormat="1" ht="18.600000000000001" customHeight="1" x14ac:dyDescent="0.25">
      <c r="A13" s="557" t="s">
        <v>40</v>
      </c>
      <c r="B13" s="558"/>
      <c r="C13" s="195">
        <v>323229.60000000003</v>
      </c>
      <c r="D13" s="192">
        <v>337412.55000000005</v>
      </c>
      <c r="E13" s="192">
        <f t="shared" si="0"/>
        <v>104.38788712419903</v>
      </c>
      <c r="F13" s="192">
        <v>389664.43999999994</v>
      </c>
      <c r="G13" s="192">
        <f t="shared" si="1"/>
        <v>115.48605409016348</v>
      </c>
      <c r="H13" s="192">
        <v>346799.1</v>
      </c>
      <c r="I13" s="192">
        <f t="shared" si="2"/>
        <v>88.999422169495375</v>
      </c>
      <c r="J13" s="192">
        <v>358065.37000000005</v>
      </c>
      <c r="K13" s="192">
        <f t="shared" si="3"/>
        <v>103.24864453223785</v>
      </c>
      <c r="L13" s="192">
        <v>440507.81999999995</v>
      </c>
      <c r="M13" s="192">
        <f t="shared" si="4"/>
        <v>123.02441311205266</v>
      </c>
      <c r="N13" s="192">
        <v>714250.04999999993</v>
      </c>
      <c r="O13" s="192">
        <v>162.14242235245678</v>
      </c>
      <c r="P13" s="192">
        <v>726553.20000000007</v>
      </c>
      <c r="Q13" s="192">
        <f t="shared" si="5"/>
        <v>101.72252700577343</v>
      </c>
      <c r="R13" s="192">
        <f>'10_24'!Y41</f>
        <v>744304.55</v>
      </c>
      <c r="S13" s="192">
        <f t="shared" si="6"/>
        <v>102.44322783245603</v>
      </c>
    </row>
    <row r="14" spans="1:19" s="194" customFormat="1" ht="18.600000000000001" customHeight="1" x14ac:dyDescent="0.25">
      <c r="A14" s="557" t="s">
        <v>41</v>
      </c>
      <c r="B14" s="558"/>
      <c r="C14" s="195">
        <v>251684.69999999998</v>
      </c>
      <c r="D14" s="192">
        <v>284850.55</v>
      </c>
      <c r="E14" s="192">
        <f t="shared" si="0"/>
        <v>113.17753919884682</v>
      </c>
      <c r="F14" s="192">
        <v>283245.75</v>
      </c>
      <c r="G14" s="192">
        <f t="shared" si="1"/>
        <v>99.436616850485279</v>
      </c>
      <c r="H14" s="192">
        <v>278824.8</v>
      </c>
      <c r="I14" s="192">
        <f t="shared" si="2"/>
        <v>98.43918222956566</v>
      </c>
      <c r="J14" s="192">
        <v>176814.86</v>
      </c>
      <c r="K14" s="192">
        <f t="shared" si="3"/>
        <v>63.414323259623956</v>
      </c>
      <c r="L14" s="192">
        <v>275284.25</v>
      </c>
      <c r="M14" s="192">
        <f t="shared" si="4"/>
        <v>155.69067554616169</v>
      </c>
      <c r="N14" s="192">
        <v>570442.35</v>
      </c>
      <c r="O14" s="192">
        <v>207.21939231903022</v>
      </c>
      <c r="P14" s="192">
        <v>537202.45000000007</v>
      </c>
      <c r="Q14" s="192">
        <f t="shared" si="5"/>
        <v>94.172960685685439</v>
      </c>
      <c r="R14" s="192">
        <f>'11_24'!Y40</f>
        <v>599343.55000000005</v>
      </c>
      <c r="S14" s="192">
        <f t="shared" si="6"/>
        <v>111.56753845780115</v>
      </c>
    </row>
    <row r="15" spans="1:19" s="194" customFormat="1" ht="18.600000000000001" customHeight="1" thickBot="1" x14ac:dyDescent="0.3">
      <c r="A15" s="559" t="s">
        <v>42</v>
      </c>
      <c r="B15" s="560"/>
      <c r="C15" s="196">
        <v>267923.30000000005</v>
      </c>
      <c r="D15" s="192">
        <v>255160.70000000004</v>
      </c>
      <c r="E15" s="192">
        <f t="shared" si="0"/>
        <v>95.236472527771937</v>
      </c>
      <c r="F15" s="192">
        <v>266148.75</v>
      </c>
      <c r="G15" s="192">
        <f t="shared" si="1"/>
        <v>104.30632538631535</v>
      </c>
      <c r="H15" s="192">
        <v>277892.97000000009</v>
      </c>
      <c r="I15" s="192">
        <f t="shared" si="2"/>
        <v>104.4126526989137</v>
      </c>
      <c r="J15" s="192">
        <v>133681.60000000001</v>
      </c>
      <c r="K15" s="192">
        <f t="shared" si="3"/>
        <v>48.105427064239862</v>
      </c>
      <c r="L15" s="192">
        <v>246676</v>
      </c>
      <c r="M15" s="192">
        <f t="shared" si="4"/>
        <v>184.52502064607245</v>
      </c>
      <c r="N15" s="192">
        <v>502151.65</v>
      </c>
      <c r="O15" s="192">
        <v>203.56729069710877</v>
      </c>
      <c r="P15" s="192">
        <v>492685.69999999995</v>
      </c>
      <c r="Q15" s="192">
        <f t="shared" si="5"/>
        <v>98.114922055916765</v>
      </c>
      <c r="R15" s="192">
        <f>'12_24'!Y42</f>
        <v>604663.75</v>
      </c>
      <c r="S15" s="192">
        <f t="shared" si="6"/>
        <v>122.72809013941344</v>
      </c>
    </row>
    <row r="16" spans="1:19" ht="19.149999999999999" customHeight="1" x14ac:dyDescent="0.25">
      <c r="A16" s="198" t="s">
        <v>16</v>
      </c>
      <c r="B16" s="199"/>
      <c r="C16" s="200">
        <f>SUM(C4:C15)</f>
        <v>5050280</v>
      </c>
      <c r="D16" s="483">
        <f>SUM(D4:D15)</f>
        <v>5116121.37</v>
      </c>
      <c r="E16" s="482">
        <f t="shared" si="0"/>
        <v>101.30371721963931</v>
      </c>
      <c r="F16" s="415">
        <f>SUM(F4:F15)</f>
        <v>5532442.5</v>
      </c>
      <c r="G16" s="482">
        <f t="shared" si="1"/>
        <v>108.13743654404352</v>
      </c>
      <c r="H16" s="483">
        <f>SUM(H4:H15)</f>
        <v>5366958.2499999981</v>
      </c>
      <c r="I16" s="482">
        <f t="shared" si="2"/>
        <v>97.008839224266637</v>
      </c>
      <c r="J16" s="200">
        <f>SUM(J4:J15)</f>
        <v>4553239.3899999997</v>
      </c>
      <c r="K16" s="201">
        <f t="shared" si="3"/>
        <v>84.838360536901902</v>
      </c>
      <c r="L16" s="483">
        <f>SUM(L4:L15)</f>
        <v>4679857.8900000006</v>
      </c>
      <c r="M16" s="482">
        <f t="shared" si="4"/>
        <v>102.78084434299865</v>
      </c>
      <c r="N16" s="483">
        <v>7172554.0499999998</v>
      </c>
      <c r="O16" s="482">
        <v>153.26435585419023</v>
      </c>
      <c r="P16" s="415">
        <f>SUM(P4:P15)</f>
        <v>9327027.9809999987</v>
      </c>
      <c r="Q16" s="482">
        <f>SUM(100/N16*P16)</f>
        <v>130.03775107139137</v>
      </c>
      <c r="R16" s="415">
        <f>SUM(R4:R15)</f>
        <v>9923129.0600000024</v>
      </c>
      <c r="S16" s="482">
        <f>SUM(100/P16*R16)</f>
        <v>106.39111494266251</v>
      </c>
    </row>
    <row r="17" spans="1:19" ht="21" thickBot="1" x14ac:dyDescent="0.3">
      <c r="A17" s="189"/>
    </row>
    <row r="18" spans="1:19" s="191" customFormat="1" ht="19.149999999999999" customHeight="1" x14ac:dyDescent="0.25">
      <c r="A18" s="561" t="s">
        <v>20</v>
      </c>
      <c r="B18" s="566"/>
      <c r="C18" s="202">
        <v>2016</v>
      </c>
      <c r="D18" s="378">
        <v>2017</v>
      </c>
      <c r="E18" s="374" t="s">
        <v>19</v>
      </c>
      <c r="F18" s="203">
        <v>2018</v>
      </c>
      <c r="G18" s="204" t="s">
        <v>19</v>
      </c>
      <c r="H18" s="378">
        <v>2019</v>
      </c>
      <c r="I18" s="374" t="s">
        <v>19</v>
      </c>
      <c r="J18" s="203">
        <v>2020</v>
      </c>
      <c r="K18" s="204" t="s">
        <v>19</v>
      </c>
      <c r="L18" s="484">
        <v>2021</v>
      </c>
      <c r="M18" s="204" t="s">
        <v>19</v>
      </c>
      <c r="N18" s="484">
        <v>2022</v>
      </c>
      <c r="O18" s="319" t="s">
        <v>19</v>
      </c>
      <c r="P18" s="378">
        <v>2023</v>
      </c>
      <c r="Q18" s="378" t="s">
        <v>19</v>
      </c>
      <c r="R18" s="378">
        <v>2024</v>
      </c>
      <c r="S18" s="374" t="s">
        <v>19</v>
      </c>
    </row>
    <row r="19" spans="1:19" s="194" customFormat="1" ht="18.600000000000001" customHeight="1" x14ac:dyDescent="0.25">
      <c r="A19" s="557" t="s">
        <v>31</v>
      </c>
      <c r="B19" s="565"/>
      <c r="C19" s="205">
        <v>114177.20000000001</v>
      </c>
      <c r="D19" s="205">
        <v>101979.29999999999</v>
      </c>
      <c r="E19" s="205">
        <f>SUM(100/C19*D19)</f>
        <v>89.316693700668765</v>
      </c>
      <c r="F19" s="205">
        <v>124375.14999999998</v>
      </c>
      <c r="G19" s="205">
        <f>SUM(100/D19*F19)</f>
        <v>121.96117251246086</v>
      </c>
      <c r="H19" s="205">
        <v>120879.3</v>
      </c>
      <c r="I19" s="205">
        <f>SUM(100/F19*H19)</f>
        <v>97.189269721483782</v>
      </c>
      <c r="J19" s="205">
        <v>126724.95</v>
      </c>
      <c r="K19" s="205">
        <f>SUM(100/H19*J19)</f>
        <v>104.8359396521985</v>
      </c>
      <c r="L19" s="205">
        <v>19497.900000000001</v>
      </c>
      <c r="M19" s="205">
        <f>SUM(100/J19*L19)</f>
        <v>15.385999363187755</v>
      </c>
      <c r="N19" s="205">
        <v>103421.3</v>
      </c>
      <c r="O19" s="205">
        <v>530.4227634770923</v>
      </c>
      <c r="P19" s="205">
        <v>197624.10000000003</v>
      </c>
      <c r="Q19" s="205">
        <f>SUM(100/N19*P19)</f>
        <v>191.08645897895309</v>
      </c>
      <c r="R19" s="205">
        <f>'01_24'!C41</f>
        <v>196428.56</v>
      </c>
      <c r="S19" s="205">
        <f>SUM(100/P19*R19)</f>
        <v>99.395043418287528</v>
      </c>
    </row>
    <row r="20" spans="1:19" s="194" customFormat="1" ht="18.600000000000001" customHeight="1" x14ac:dyDescent="0.25">
      <c r="A20" s="557" t="s">
        <v>32</v>
      </c>
      <c r="B20" s="565"/>
      <c r="C20" s="205">
        <v>129079.79999999999</v>
      </c>
      <c r="D20" s="205">
        <v>124979.79999999999</v>
      </c>
      <c r="E20" s="205">
        <f t="shared" ref="E20:E31" si="7">SUM(100/C20*D20)</f>
        <v>96.823670318671091</v>
      </c>
      <c r="F20" s="205">
        <v>139845.35</v>
      </c>
      <c r="G20" s="205">
        <f t="shared" ref="G20:K31" si="8">SUM(100/D20*F20)</f>
        <v>111.89436212892005</v>
      </c>
      <c r="H20" s="205">
        <v>139251.80000000002</v>
      </c>
      <c r="I20" s="205">
        <f t="shared" si="8"/>
        <v>99.575566867257294</v>
      </c>
      <c r="J20" s="205">
        <v>136804.59999999998</v>
      </c>
      <c r="K20" s="205">
        <f t="shared" si="8"/>
        <v>98.242607995013316</v>
      </c>
      <c r="L20" s="205">
        <v>6376.7000000000007</v>
      </c>
      <c r="M20" s="205">
        <f t="shared" ref="M20:M31" si="9">SUM(100/J20*L20)</f>
        <v>4.6611736739846474</v>
      </c>
      <c r="N20" s="205">
        <v>0</v>
      </c>
      <c r="O20" s="205">
        <v>0</v>
      </c>
      <c r="P20" s="205">
        <v>220689.95</v>
      </c>
      <c r="Q20" s="205" t="e">
        <f t="shared" ref="Q20:Q31" si="10">SUM(100/N20*P20)</f>
        <v>#DIV/0!</v>
      </c>
      <c r="R20" s="205">
        <f>'02_24'!C39</f>
        <v>239354.4</v>
      </c>
      <c r="S20" s="205">
        <f t="shared" ref="S20:S30" si="11">SUM(100/P20*R20)</f>
        <v>108.45731760780225</v>
      </c>
    </row>
    <row r="21" spans="1:19" s="194" customFormat="1" ht="18.600000000000001" customHeight="1" x14ac:dyDescent="0.25">
      <c r="A21" s="557" t="s">
        <v>33</v>
      </c>
      <c r="B21" s="565"/>
      <c r="C21" s="205">
        <v>137567.6</v>
      </c>
      <c r="D21" s="205">
        <v>140158.84999999998</v>
      </c>
      <c r="E21" s="205">
        <f t="shared" si="7"/>
        <v>101.88361939875377</v>
      </c>
      <c r="F21" s="205">
        <v>152172.30000000002</v>
      </c>
      <c r="G21" s="205">
        <f t="shared" si="8"/>
        <v>108.5713103382341</v>
      </c>
      <c r="H21" s="205">
        <v>159831.12</v>
      </c>
      <c r="I21" s="205">
        <f t="shared" si="8"/>
        <v>105.03299220686024</v>
      </c>
      <c r="J21" s="205">
        <v>70984.750000000015</v>
      </c>
      <c r="K21" s="205">
        <f t="shared" si="8"/>
        <v>44.412345981183151</v>
      </c>
      <c r="L21" s="205">
        <v>42299.1</v>
      </c>
      <c r="M21" s="205">
        <f t="shared" si="9"/>
        <v>59.58899622806306</v>
      </c>
      <c r="N21" s="205">
        <v>101290.4</v>
      </c>
      <c r="O21" s="205">
        <v>239.46230534455816</v>
      </c>
      <c r="P21" s="205">
        <v>241271.1</v>
      </c>
      <c r="Q21" s="205">
        <f t="shared" si="10"/>
        <v>238.19740074084021</v>
      </c>
      <c r="R21" s="205">
        <f>'03_24'!C41</f>
        <v>290727.40000000002</v>
      </c>
      <c r="S21" s="205">
        <f t="shared" si="11"/>
        <v>120.49822792700826</v>
      </c>
    </row>
    <row r="22" spans="1:19" s="194" customFormat="1" ht="18.600000000000001" customHeight="1" x14ac:dyDescent="0.25">
      <c r="A22" s="557" t="s">
        <v>34</v>
      </c>
      <c r="B22" s="558"/>
      <c r="C22" s="205">
        <v>155534.69999999998</v>
      </c>
      <c r="D22" s="205">
        <v>153675</v>
      </c>
      <c r="E22" s="205">
        <f t="shared" si="7"/>
        <v>98.804318264670215</v>
      </c>
      <c r="F22" s="205">
        <v>116420.5</v>
      </c>
      <c r="G22" s="205">
        <f t="shared" si="8"/>
        <v>75.757605335936219</v>
      </c>
      <c r="H22" s="205">
        <v>150195.69999999995</v>
      </c>
      <c r="I22" s="205">
        <f t="shared" si="8"/>
        <v>129.01138545187484</v>
      </c>
      <c r="J22" s="205">
        <v>0</v>
      </c>
      <c r="K22" s="205">
        <f t="shared" si="8"/>
        <v>0</v>
      </c>
      <c r="L22" s="205">
        <v>67295.5</v>
      </c>
      <c r="M22" s="205" t="e">
        <f t="shared" si="9"/>
        <v>#DIV/0!</v>
      </c>
      <c r="N22" s="205">
        <v>165571.4</v>
      </c>
      <c r="O22" s="205">
        <v>246.03636201529076</v>
      </c>
      <c r="P22" s="205">
        <v>289865</v>
      </c>
      <c r="Q22" s="205">
        <f t="shared" si="10"/>
        <v>175.06948663839287</v>
      </c>
      <c r="R22" s="205">
        <f>'04_24'!C40</f>
        <v>250780.05</v>
      </c>
      <c r="S22" s="205">
        <f t="shared" si="11"/>
        <v>86.516154071723037</v>
      </c>
    </row>
    <row r="23" spans="1:19" s="194" customFormat="1" ht="18.600000000000001" customHeight="1" x14ac:dyDescent="0.25">
      <c r="A23" s="557" t="s">
        <v>35</v>
      </c>
      <c r="B23" s="558"/>
      <c r="C23" s="205">
        <v>142069.05000000005</v>
      </c>
      <c r="D23" s="205">
        <v>112913.99999999999</v>
      </c>
      <c r="E23" s="205">
        <f t="shared" si="7"/>
        <v>79.478253708319968</v>
      </c>
      <c r="F23" s="205">
        <v>119667</v>
      </c>
      <c r="G23" s="205">
        <f t="shared" si="8"/>
        <v>105.98065784579416</v>
      </c>
      <c r="H23" s="205">
        <v>165878.95000000001</v>
      </c>
      <c r="I23" s="205">
        <f t="shared" si="8"/>
        <v>138.61712084367454</v>
      </c>
      <c r="J23" s="205">
        <v>53609.7</v>
      </c>
      <c r="K23" s="205">
        <f t="shared" si="8"/>
        <v>32.318567244367046</v>
      </c>
      <c r="L23" s="205">
        <v>70003.600000000006</v>
      </c>
      <c r="M23" s="205">
        <f t="shared" si="9"/>
        <v>130.58010024305307</v>
      </c>
      <c r="N23" s="205">
        <v>147799.39999999997</v>
      </c>
      <c r="O23" s="205">
        <v>211.13114182699169</v>
      </c>
      <c r="P23" s="205">
        <v>246045.73000000004</v>
      </c>
      <c r="Q23" s="205">
        <f t="shared" si="10"/>
        <v>166.47275293404448</v>
      </c>
      <c r="R23" s="205">
        <f>'05_24'!C41</f>
        <v>262086.30000000005</v>
      </c>
      <c r="S23" s="205">
        <f t="shared" si="11"/>
        <v>106.51934500143531</v>
      </c>
    </row>
    <row r="24" spans="1:19" s="194" customFormat="1" ht="18.600000000000001" customHeight="1" x14ac:dyDescent="0.25">
      <c r="A24" s="557" t="s">
        <v>36</v>
      </c>
      <c r="B24" s="558"/>
      <c r="C24" s="205">
        <v>126175.5</v>
      </c>
      <c r="D24" s="205">
        <v>78440.049999999988</v>
      </c>
      <c r="E24" s="205">
        <f t="shared" si="7"/>
        <v>62.167417604844033</v>
      </c>
      <c r="F24" s="205">
        <v>55665.400000000009</v>
      </c>
      <c r="G24" s="205">
        <f t="shared" si="8"/>
        <v>70.965533550781799</v>
      </c>
      <c r="H24" s="205">
        <v>85554.400000000009</v>
      </c>
      <c r="I24" s="205">
        <f t="shared" si="8"/>
        <v>153.69403615172081</v>
      </c>
      <c r="J24" s="205">
        <v>103754.70000000001</v>
      </c>
      <c r="K24" s="205">
        <f t="shared" si="8"/>
        <v>121.27336525064754</v>
      </c>
      <c r="L24" s="205">
        <v>88729.7</v>
      </c>
      <c r="M24" s="205">
        <f t="shared" si="9"/>
        <v>85.518728308211564</v>
      </c>
      <c r="N24" s="205">
        <v>126611.19999999998</v>
      </c>
      <c r="O24" s="205">
        <v>142.69314558710329</v>
      </c>
      <c r="P24" s="205">
        <v>69517.200000000012</v>
      </c>
      <c r="Q24" s="205">
        <f t="shared" si="10"/>
        <v>54.906043067280009</v>
      </c>
      <c r="R24" s="205">
        <f>'06_24'!C40</f>
        <v>226260.68</v>
      </c>
      <c r="S24" s="205">
        <f t="shared" si="11"/>
        <v>325.47438619507108</v>
      </c>
    </row>
    <row r="25" spans="1:19" s="194" customFormat="1" ht="18.600000000000001" customHeight="1" x14ac:dyDescent="0.25">
      <c r="A25" s="557" t="s">
        <v>37</v>
      </c>
      <c r="B25" s="558"/>
      <c r="C25" s="205">
        <v>76474.400000000009</v>
      </c>
      <c r="D25" s="205">
        <v>92865.099999999991</v>
      </c>
      <c r="E25" s="205">
        <f t="shared" si="7"/>
        <v>121.43292395886725</v>
      </c>
      <c r="F25" s="205">
        <v>69833.600000000006</v>
      </c>
      <c r="G25" s="205">
        <f t="shared" si="8"/>
        <v>75.198971411219091</v>
      </c>
      <c r="H25" s="205">
        <v>78102.199999999983</v>
      </c>
      <c r="I25" s="205">
        <f t="shared" si="8"/>
        <v>111.84043211290836</v>
      </c>
      <c r="J25" s="205">
        <v>104966.40000000002</v>
      </c>
      <c r="K25" s="205">
        <f t="shared" si="8"/>
        <v>134.3962141911496</v>
      </c>
      <c r="L25" s="205">
        <v>116898.3</v>
      </c>
      <c r="M25" s="205">
        <f t="shared" si="9"/>
        <v>111.36735183830253</v>
      </c>
      <c r="N25" s="205">
        <v>76764.800000000017</v>
      </c>
      <c r="O25" s="205">
        <v>65.668020835204629</v>
      </c>
      <c r="P25" s="205">
        <v>151595.19999999998</v>
      </c>
      <c r="Q25" s="205">
        <f t="shared" si="10"/>
        <v>197.48009504356156</v>
      </c>
      <c r="R25" s="205">
        <f>'07_24'!C41</f>
        <v>185832.1</v>
      </c>
      <c r="S25" s="205">
        <f t="shared" si="11"/>
        <v>122.58442219806435</v>
      </c>
    </row>
    <row r="26" spans="1:19" s="194" customFormat="1" ht="18.600000000000001" customHeight="1" x14ac:dyDescent="0.25">
      <c r="A26" s="557" t="s">
        <v>38</v>
      </c>
      <c r="B26" s="558"/>
      <c r="C26" s="205">
        <v>89714.9</v>
      </c>
      <c r="D26" s="205">
        <v>84528.7</v>
      </c>
      <c r="E26" s="205">
        <f t="shared" si="7"/>
        <v>94.219243403269687</v>
      </c>
      <c r="F26" s="205">
        <v>77068.800000000003</v>
      </c>
      <c r="G26" s="205">
        <f t="shared" si="8"/>
        <v>91.17471344052376</v>
      </c>
      <c r="H26" s="205">
        <v>93534.650000000009</v>
      </c>
      <c r="I26" s="205">
        <f t="shared" si="8"/>
        <v>121.36513089603056</v>
      </c>
      <c r="J26" s="205">
        <v>103734.15</v>
      </c>
      <c r="K26" s="205">
        <f t="shared" si="8"/>
        <v>110.90451506473802</v>
      </c>
      <c r="L26" s="205">
        <v>125187.05</v>
      </c>
      <c r="M26" s="205">
        <f t="shared" si="9"/>
        <v>120.68065338174556</v>
      </c>
      <c r="N26" s="205">
        <v>127191.75</v>
      </c>
      <c r="O26" s="205">
        <v>101.60136371933039</v>
      </c>
      <c r="P26" s="205">
        <v>189202.69999999995</v>
      </c>
      <c r="Q26" s="205">
        <f t="shared" si="10"/>
        <v>148.75390896029023</v>
      </c>
      <c r="R26" s="205">
        <f>'08_24'!C41</f>
        <v>124608.62000000001</v>
      </c>
      <c r="S26" s="205">
        <f t="shared" si="11"/>
        <v>65.859852951358533</v>
      </c>
    </row>
    <row r="27" spans="1:19" s="194" customFormat="1" ht="18.600000000000001" customHeight="1" x14ac:dyDescent="0.25">
      <c r="A27" s="557" t="s">
        <v>39</v>
      </c>
      <c r="B27" s="558"/>
      <c r="C27" s="205">
        <v>96651.65</v>
      </c>
      <c r="D27" s="205">
        <v>151903.25</v>
      </c>
      <c r="E27" s="205">
        <f t="shared" si="7"/>
        <v>157.16570798325742</v>
      </c>
      <c r="F27" s="205">
        <v>119346.60000000002</v>
      </c>
      <c r="G27" s="205">
        <f t="shared" si="8"/>
        <v>78.567509253422841</v>
      </c>
      <c r="H27" s="205">
        <v>118389.90000000001</v>
      </c>
      <c r="I27" s="205">
        <f t="shared" si="8"/>
        <v>99.198385207454592</v>
      </c>
      <c r="J27" s="205">
        <v>114936.30000000002</v>
      </c>
      <c r="K27" s="205">
        <f t="shared" si="8"/>
        <v>97.082859264177102</v>
      </c>
      <c r="L27" s="205">
        <v>103028.40000000001</v>
      </c>
      <c r="M27" s="205">
        <f t="shared" si="9"/>
        <v>89.639565568058131</v>
      </c>
      <c r="N27" s="205">
        <v>216778.8</v>
      </c>
      <c r="O27" s="205">
        <v>210.40683927926665</v>
      </c>
      <c r="P27" s="205">
        <v>130974.70000000001</v>
      </c>
      <c r="Q27" s="205">
        <f t="shared" si="10"/>
        <v>60.418592593002643</v>
      </c>
      <c r="R27" s="205">
        <f>'09_24'!C41</f>
        <v>237704.37</v>
      </c>
      <c r="S27" s="205">
        <f t="shared" si="11"/>
        <v>181.4887684415387</v>
      </c>
    </row>
    <row r="28" spans="1:19" s="194" customFormat="1" ht="18.600000000000001" customHeight="1" x14ac:dyDescent="0.25">
      <c r="A28" s="557" t="s">
        <v>40</v>
      </c>
      <c r="B28" s="558"/>
      <c r="C28" s="205">
        <v>149330.1</v>
      </c>
      <c r="D28" s="205">
        <v>133230.45000000001</v>
      </c>
      <c r="E28" s="205">
        <f t="shared" si="7"/>
        <v>89.218750941705665</v>
      </c>
      <c r="F28" s="205">
        <v>156135.04999999999</v>
      </c>
      <c r="G28" s="205">
        <f t="shared" si="8"/>
        <v>117.19171555751704</v>
      </c>
      <c r="H28" s="205">
        <v>144379.15</v>
      </c>
      <c r="I28" s="205">
        <f t="shared" si="8"/>
        <v>92.470684833418247</v>
      </c>
      <c r="J28" s="205">
        <v>151371.40000000002</v>
      </c>
      <c r="K28" s="205">
        <f t="shared" si="8"/>
        <v>104.84297767371538</v>
      </c>
      <c r="L28" s="205">
        <v>165886.90000000002</v>
      </c>
      <c r="M28" s="205">
        <f t="shared" si="9"/>
        <v>109.58932797080557</v>
      </c>
      <c r="N28" s="205">
        <v>291440.2</v>
      </c>
      <c r="O28" s="205">
        <v>175.68608491689216</v>
      </c>
      <c r="P28" s="205">
        <v>243030.15000000002</v>
      </c>
      <c r="Q28" s="205">
        <f t="shared" si="10"/>
        <v>83.389371129995112</v>
      </c>
      <c r="R28" s="205">
        <f>'10_24'!C41</f>
        <v>288141.90000000002</v>
      </c>
      <c r="S28" s="205">
        <f t="shared" si="11"/>
        <v>118.562203084679</v>
      </c>
    </row>
    <row r="29" spans="1:19" s="194" customFormat="1" ht="18.600000000000001" customHeight="1" x14ac:dyDescent="0.25">
      <c r="A29" s="557" t="s">
        <v>41</v>
      </c>
      <c r="B29" s="558"/>
      <c r="C29" s="205">
        <v>122133.99999999999</v>
      </c>
      <c r="D29" s="205">
        <v>128277.45000000001</v>
      </c>
      <c r="E29" s="205">
        <f t="shared" si="7"/>
        <v>105.03008990125602</v>
      </c>
      <c r="F29" s="205">
        <v>139451.5</v>
      </c>
      <c r="G29" s="205">
        <f t="shared" si="8"/>
        <v>108.71084512515642</v>
      </c>
      <c r="H29" s="205">
        <v>130959.20000000001</v>
      </c>
      <c r="I29" s="205">
        <f t="shared" si="8"/>
        <v>93.910212511159799</v>
      </c>
      <c r="J29" s="205">
        <v>95238.2</v>
      </c>
      <c r="K29" s="205">
        <f t="shared" si="8"/>
        <v>72.723565812863839</v>
      </c>
      <c r="L29" s="205">
        <v>139116.69999999998</v>
      </c>
      <c r="M29" s="205">
        <f t="shared" si="9"/>
        <v>146.07237432038823</v>
      </c>
      <c r="N29" s="205">
        <v>238417.45</v>
      </c>
      <c r="O29" s="205">
        <v>171.37946055362156</v>
      </c>
      <c r="P29" s="205">
        <v>228903.50000000003</v>
      </c>
      <c r="Q29" s="205">
        <f t="shared" si="10"/>
        <v>96.009541247924602</v>
      </c>
      <c r="R29" s="205">
        <f>'11_24'!C40</f>
        <v>254793.95</v>
      </c>
      <c r="S29" s="205">
        <f t="shared" si="11"/>
        <v>111.3106396363533</v>
      </c>
    </row>
    <row r="30" spans="1:19" s="194" customFormat="1" ht="18.600000000000001" customHeight="1" thickBot="1" x14ac:dyDescent="0.3">
      <c r="A30" s="559" t="s">
        <v>42</v>
      </c>
      <c r="B30" s="560"/>
      <c r="C30" s="207">
        <v>139796.70000000001</v>
      </c>
      <c r="D30" s="205">
        <v>135856.59999999998</v>
      </c>
      <c r="E30" s="205">
        <f t="shared" si="7"/>
        <v>97.181550065201805</v>
      </c>
      <c r="F30" s="205">
        <v>152087.70000000001</v>
      </c>
      <c r="G30" s="205">
        <f t="shared" si="8"/>
        <v>111.94722965244239</v>
      </c>
      <c r="H30" s="205">
        <v>159719.4</v>
      </c>
      <c r="I30" s="205">
        <f t="shared" si="8"/>
        <v>105.01796003227084</v>
      </c>
      <c r="J30" s="205">
        <v>78913.699999999983</v>
      </c>
      <c r="K30" s="205">
        <f t="shared" si="8"/>
        <v>49.40771127364615</v>
      </c>
      <c r="L30" s="205">
        <v>140755.05000000002</v>
      </c>
      <c r="M30" s="205">
        <f t="shared" si="9"/>
        <v>178.36579706692254</v>
      </c>
      <c r="N30" s="205">
        <v>270712.2</v>
      </c>
      <c r="O30" s="205">
        <v>192.32858785528475</v>
      </c>
      <c r="P30" s="205">
        <v>275738.59999999998</v>
      </c>
      <c r="Q30" s="205">
        <f t="shared" si="10"/>
        <v>101.85673198326486</v>
      </c>
      <c r="R30" s="205">
        <f>'12_24'!C42</f>
        <v>304869.75</v>
      </c>
      <c r="S30" s="205">
        <f t="shared" si="11"/>
        <v>110.56477040211273</v>
      </c>
    </row>
    <row r="31" spans="1:19" ht="18.600000000000001" customHeight="1" thickBot="1" x14ac:dyDescent="0.3">
      <c r="A31" s="208" t="s">
        <v>16</v>
      </c>
      <c r="B31" s="209"/>
      <c r="C31" s="210">
        <f>SUM(C19:C30)</f>
        <v>1478705.6</v>
      </c>
      <c r="D31" s="375">
        <f>SUM(D19:D30)</f>
        <v>1438808.5499999998</v>
      </c>
      <c r="E31" s="376">
        <f t="shared" si="7"/>
        <v>97.30189362913076</v>
      </c>
      <c r="F31" s="377">
        <f>SUM(F19:F30)</f>
        <v>1422068.95</v>
      </c>
      <c r="G31" s="376">
        <f t="shared" si="8"/>
        <v>98.836565156636027</v>
      </c>
      <c r="H31" s="210">
        <f>SUM(H19:H30)</f>
        <v>1546675.7699999996</v>
      </c>
      <c r="I31" s="211">
        <f t="shared" si="8"/>
        <v>108.76236134682496</v>
      </c>
      <c r="J31" s="210">
        <f>SUM(J19:J30)</f>
        <v>1141038.8500000001</v>
      </c>
      <c r="K31" s="211">
        <f>SUM(100/H31*J31)</f>
        <v>73.773629362539268</v>
      </c>
      <c r="L31" s="375">
        <f>SUM(L19:L30)</f>
        <v>1085074.8999999999</v>
      </c>
      <c r="M31" s="376">
        <f t="shared" si="9"/>
        <v>95.095351047863076</v>
      </c>
      <c r="N31" s="210">
        <v>1865998.9</v>
      </c>
      <c r="O31" s="320">
        <v>171.96959398839655</v>
      </c>
      <c r="P31" s="210">
        <f>SUM(P19:P30)</f>
        <v>2484457.9300000002</v>
      </c>
      <c r="Q31" s="211">
        <f t="shared" si="10"/>
        <v>133.143590277572</v>
      </c>
      <c r="R31" s="417">
        <f>SUM(R19:R30)</f>
        <v>2861588.08</v>
      </c>
      <c r="S31" s="211">
        <f>SUM(100/P31*R31)</f>
        <v>115.17957480568003</v>
      </c>
    </row>
    <row r="32" spans="1:19" ht="17.25" thickBot="1" x14ac:dyDescent="0.3"/>
    <row r="33" spans="1:19" s="191" customFormat="1" ht="18" customHeight="1" x14ac:dyDescent="0.25">
      <c r="A33" s="561" t="s">
        <v>152</v>
      </c>
      <c r="B33" s="562"/>
      <c r="C33" s="202">
        <v>2016</v>
      </c>
      <c r="D33" s="203">
        <v>2017</v>
      </c>
      <c r="E33" s="204" t="s">
        <v>19</v>
      </c>
      <c r="F33" s="378">
        <v>2018</v>
      </c>
      <c r="G33" s="374" t="s">
        <v>19</v>
      </c>
      <c r="H33" s="203">
        <v>2019</v>
      </c>
      <c r="I33" s="204" t="s">
        <v>19</v>
      </c>
      <c r="J33" s="378">
        <v>2020</v>
      </c>
      <c r="K33" s="374" t="s">
        <v>19</v>
      </c>
      <c r="L33" s="484">
        <v>2021</v>
      </c>
      <c r="M33" s="204" t="s">
        <v>19</v>
      </c>
      <c r="N33" s="319">
        <v>2022</v>
      </c>
      <c r="O33" s="374" t="s">
        <v>19</v>
      </c>
      <c r="P33" s="378">
        <v>2023</v>
      </c>
      <c r="Q33" s="378" t="s">
        <v>19</v>
      </c>
      <c r="R33" s="378">
        <v>2024</v>
      </c>
      <c r="S33" s="374" t="s">
        <v>19</v>
      </c>
    </row>
    <row r="34" spans="1:19" s="194" customFormat="1" ht="18.600000000000001" customHeight="1" x14ac:dyDescent="0.25">
      <c r="A34" s="563" t="s">
        <v>31</v>
      </c>
      <c r="B34" s="564"/>
      <c r="C34" s="205">
        <v>38453.4</v>
      </c>
      <c r="D34" s="205">
        <v>34077.599999999991</v>
      </c>
      <c r="E34" s="205">
        <f>SUM(100/C34*D34)</f>
        <v>88.620512100360401</v>
      </c>
      <c r="F34" s="205">
        <v>39037.099999999991</v>
      </c>
      <c r="G34" s="205">
        <f>SUM(100/D34*F34)</f>
        <v>114.55354837195108</v>
      </c>
      <c r="H34" s="205">
        <v>50151.399999999994</v>
      </c>
      <c r="I34" s="205">
        <f>SUM(100/F34*H34)</f>
        <v>128.47112106175922</v>
      </c>
      <c r="J34" s="205">
        <v>47866.750000000007</v>
      </c>
      <c r="K34" s="205">
        <f>SUM(100/H34*J34)</f>
        <v>95.44449407195016</v>
      </c>
      <c r="L34" s="205">
        <v>32608.9</v>
      </c>
      <c r="M34" s="205">
        <f>SUM(100/J34*L34)</f>
        <v>68.124324296092794</v>
      </c>
      <c r="N34" s="205">
        <v>13230.7</v>
      </c>
      <c r="O34" s="205">
        <v>40.573892403607601</v>
      </c>
      <c r="P34" s="205">
        <f>'[1]01_23'!$Q$42</f>
        <v>93773.15</v>
      </c>
      <c r="Q34" s="205">
        <f>SUM(100/N34*P34)</f>
        <v>708.75426092345822</v>
      </c>
      <c r="R34" s="205">
        <f>'01_24'!U41</f>
        <v>124595.66</v>
      </c>
      <c r="S34" s="205">
        <f>SUM(100/P34*R34)</f>
        <v>132.86922749209131</v>
      </c>
    </row>
    <row r="35" spans="1:19" s="194" customFormat="1" ht="18.600000000000001" customHeight="1" x14ac:dyDescent="0.25">
      <c r="A35" s="557" t="s">
        <v>32</v>
      </c>
      <c r="B35" s="558"/>
      <c r="C35" s="205">
        <v>46389.700000000012</v>
      </c>
      <c r="D35" s="205">
        <v>45083.099999999991</v>
      </c>
      <c r="E35" s="205">
        <f t="shared" ref="E35:E46" si="12">SUM(100/C35*D35)</f>
        <v>97.183426493381035</v>
      </c>
      <c r="F35" s="205">
        <v>56822.700000000004</v>
      </c>
      <c r="G35" s="205">
        <f t="shared" ref="G35:G46" si="13">SUM(100/D35*F35)</f>
        <v>126.03991296073255</v>
      </c>
      <c r="H35" s="205">
        <v>38979.300000000003</v>
      </c>
      <c r="I35" s="205">
        <f t="shared" ref="I35:I46" si="14">SUM(100/F35*H35)</f>
        <v>68.59811307804803</v>
      </c>
      <c r="J35" s="205">
        <v>47489.649999999994</v>
      </c>
      <c r="K35" s="205">
        <f t="shared" ref="K35:K46" si="15">SUM(100/H35*J35)</f>
        <v>121.83299854025081</v>
      </c>
      <c r="L35" s="205">
        <v>7326.42</v>
      </c>
      <c r="M35" s="205">
        <f t="shared" ref="M35:M46" si="16">SUM(100/J35*L35)</f>
        <v>15.427403655322795</v>
      </c>
      <c r="N35" s="205">
        <v>0</v>
      </c>
      <c r="O35" s="205">
        <v>0</v>
      </c>
      <c r="P35" s="205">
        <f>'[1]02_23'!$Q$38</f>
        <v>74800.5</v>
      </c>
      <c r="Q35" s="205" t="e">
        <f t="shared" ref="Q35:Q45" si="17">SUM(100/N35*P35)</f>
        <v>#DIV/0!</v>
      </c>
      <c r="R35" s="205">
        <f>'02_24'!S39</f>
        <v>76089.100000000006</v>
      </c>
      <c r="S35" s="205">
        <f>SUM(100/P35*R35)</f>
        <v>101.72271575724761</v>
      </c>
    </row>
    <row r="36" spans="1:19" s="194" customFormat="1" ht="18.600000000000001" customHeight="1" x14ac:dyDescent="0.25">
      <c r="A36" s="557" t="s">
        <v>33</v>
      </c>
      <c r="B36" s="558"/>
      <c r="C36" s="205">
        <v>41238.400000000009</v>
      </c>
      <c r="D36" s="205">
        <v>60700.099999999991</v>
      </c>
      <c r="E36" s="205">
        <f t="shared" si="12"/>
        <v>147.19315007371765</v>
      </c>
      <c r="F36" s="205">
        <v>56424.599999999991</v>
      </c>
      <c r="G36" s="205">
        <f t="shared" si="13"/>
        <v>92.956354272892455</v>
      </c>
      <c r="H36" s="205">
        <v>46933.75</v>
      </c>
      <c r="I36" s="205">
        <f t="shared" si="14"/>
        <v>83.179588335584143</v>
      </c>
      <c r="J36" s="205">
        <v>16393</v>
      </c>
      <c r="K36" s="205">
        <f t="shared" si="15"/>
        <v>34.927956960609372</v>
      </c>
      <c r="L36" s="205">
        <v>69619.25</v>
      </c>
      <c r="M36" s="205">
        <f t="shared" si="16"/>
        <v>424.68889160007319</v>
      </c>
      <c r="N36" s="205">
        <v>24296.25</v>
      </c>
      <c r="O36" s="205">
        <v>34.898752859302562</v>
      </c>
      <c r="P36" s="205">
        <f>'[1]03_23'!$Q$41</f>
        <v>111699</v>
      </c>
      <c r="Q36" s="205">
        <f t="shared" si="17"/>
        <v>459.73761382929467</v>
      </c>
      <c r="R36" s="205">
        <f>'03_24'!S41</f>
        <v>146459.19999999998</v>
      </c>
      <c r="S36" s="205">
        <f t="shared" ref="S36:S45" si="18">SUM(100/P36*R36)</f>
        <v>131.1195265848396</v>
      </c>
    </row>
    <row r="37" spans="1:19" s="194" customFormat="1" ht="18.600000000000001" customHeight="1" x14ac:dyDescent="0.25">
      <c r="A37" s="557" t="s">
        <v>34</v>
      </c>
      <c r="B37" s="558"/>
      <c r="C37" s="205">
        <v>90124.500000000015</v>
      </c>
      <c r="D37" s="205">
        <v>57563.9</v>
      </c>
      <c r="E37" s="205">
        <f t="shared" si="12"/>
        <v>63.87153326786833</v>
      </c>
      <c r="F37" s="205">
        <v>60028</v>
      </c>
      <c r="G37" s="205">
        <f t="shared" si="13"/>
        <v>104.28063421693109</v>
      </c>
      <c r="H37" s="205">
        <v>59453.5</v>
      </c>
      <c r="I37" s="205">
        <f t="shared" si="14"/>
        <v>99.042946624908367</v>
      </c>
      <c r="J37" s="205">
        <v>0</v>
      </c>
      <c r="K37" s="205">
        <f t="shared" si="15"/>
        <v>0</v>
      </c>
      <c r="L37" s="205">
        <v>119108.9</v>
      </c>
      <c r="M37" s="205" t="e">
        <f t="shared" si="16"/>
        <v>#DIV/0!</v>
      </c>
      <c r="N37" s="205">
        <v>68169.149999999994</v>
      </c>
      <c r="O37" s="205">
        <v>57.23262493398898</v>
      </c>
      <c r="P37" s="205">
        <f>'[1]04_23'!$Q$40</f>
        <v>161692.66999999998</v>
      </c>
      <c r="Q37" s="205">
        <f t="shared" si="17"/>
        <v>237.19331985216186</v>
      </c>
      <c r="R37" s="205">
        <f>'04_24'!S40</f>
        <v>159613.79999999999</v>
      </c>
      <c r="S37" s="205">
        <f t="shared" si="18"/>
        <v>98.714307828549067</v>
      </c>
    </row>
    <row r="38" spans="1:19" s="194" customFormat="1" ht="18.600000000000001" customHeight="1" x14ac:dyDescent="0.25">
      <c r="A38" s="557" t="s">
        <v>35</v>
      </c>
      <c r="B38" s="558"/>
      <c r="C38" s="205">
        <v>86261.6</v>
      </c>
      <c r="D38" s="205">
        <v>93252.42</v>
      </c>
      <c r="E38" s="205">
        <f t="shared" si="12"/>
        <v>108.10420859339496</v>
      </c>
      <c r="F38" s="205">
        <v>96555.199999999983</v>
      </c>
      <c r="G38" s="205">
        <f t="shared" si="13"/>
        <v>103.54176331295209</v>
      </c>
      <c r="H38" s="205">
        <v>89294.3</v>
      </c>
      <c r="I38" s="205">
        <f t="shared" si="14"/>
        <v>92.48005286095416</v>
      </c>
      <c r="J38" s="205">
        <v>54837.849999999991</v>
      </c>
      <c r="K38" s="205">
        <f t="shared" si="15"/>
        <v>61.412486575290906</v>
      </c>
      <c r="L38" s="205">
        <v>142850.07999999999</v>
      </c>
      <c r="M38" s="205">
        <f t="shared" si="16"/>
        <v>260.49540600151175</v>
      </c>
      <c r="N38" s="205">
        <v>81056.400000000009</v>
      </c>
      <c r="O38" s="205">
        <v>56.742285338587152</v>
      </c>
      <c r="P38" s="205">
        <f>'[1]05_23'!$Q$41</f>
        <v>201559.67999999999</v>
      </c>
      <c r="Q38" s="205">
        <f t="shared" si="17"/>
        <v>248.665965920026</v>
      </c>
      <c r="R38" s="205">
        <f>'05_24'!S41</f>
        <v>222080.20000000004</v>
      </c>
      <c r="S38" s="205">
        <f t="shared" si="18"/>
        <v>110.18086553818702</v>
      </c>
    </row>
    <row r="39" spans="1:19" s="194" customFormat="1" ht="18.600000000000001" customHeight="1" x14ac:dyDescent="0.25">
      <c r="A39" s="557" t="s">
        <v>36</v>
      </c>
      <c r="B39" s="558"/>
      <c r="C39" s="205">
        <v>105211.09999999999</v>
      </c>
      <c r="D39" s="205">
        <v>116502.09999999998</v>
      </c>
      <c r="E39" s="205">
        <f t="shared" si="12"/>
        <v>110.73175739061752</v>
      </c>
      <c r="F39" s="205">
        <v>117097.90000000001</v>
      </c>
      <c r="G39" s="205">
        <f t="shared" si="13"/>
        <v>100.51140709051599</v>
      </c>
      <c r="H39" s="205">
        <v>110939.45</v>
      </c>
      <c r="I39" s="205">
        <f t="shared" si="14"/>
        <v>94.740768194818173</v>
      </c>
      <c r="J39" s="205">
        <v>95950.5</v>
      </c>
      <c r="K39" s="205">
        <f t="shared" si="15"/>
        <v>86.489071290690561</v>
      </c>
      <c r="L39" s="205">
        <v>126322.82</v>
      </c>
      <c r="M39" s="205">
        <f t="shared" si="16"/>
        <v>131.65415500700882</v>
      </c>
      <c r="N39" s="205">
        <v>170948.5</v>
      </c>
      <c r="O39" s="205">
        <v>135.3266971082501</v>
      </c>
      <c r="P39" s="205">
        <f>'[1]06_23'!$Q$40</f>
        <v>254903.6</v>
      </c>
      <c r="Q39" s="205">
        <f t="shared" si="17"/>
        <v>149.1113405499317</v>
      </c>
      <c r="R39" s="205">
        <f>'06_24'!S40</f>
        <v>258532.43</v>
      </c>
      <c r="S39" s="205">
        <f t="shared" si="18"/>
        <v>101.42360876817746</v>
      </c>
    </row>
    <row r="40" spans="1:19" s="194" customFormat="1" ht="18.600000000000001" customHeight="1" x14ac:dyDescent="0.25">
      <c r="A40" s="557" t="s">
        <v>37</v>
      </c>
      <c r="B40" s="558"/>
      <c r="C40" s="205">
        <v>99664.4</v>
      </c>
      <c r="D40" s="205">
        <v>118255.59999999999</v>
      </c>
      <c r="E40" s="205">
        <f t="shared" si="12"/>
        <v>118.65380216004912</v>
      </c>
      <c r="F40" s="205">
        <v>123175.49999999997</v>
      </c>
      <c r="G40" s="205">
        <f t="shared" si="13"/>
        <v>104.16039494112751</v>
      </c>
      <c r="H40" s="205">
        <v>114860.34999999999</v>
      </c>
      <c r="I40" s="205">
        <f t="shared" si="14"/>
        <v>93.249347475756153</v>
      </c>
      <c r="J40" s="205">
        <v>154529.75000000003</v>
      </c>
      <c r="K40" s="205">
        <f t="shared" si="15"/>
        <v>134.53707045120447</v>
      </c>
      <c r="L40" s="205">
        <v>155565.70000000001</v>
      </c>
      <c r="M40" s="205">
        <f t="shared" si="16"/>
        <v>100.67038871155876</v>
      </c>
      <c r="N40" s="205">
        <v>220187.80000000002</v>
      </c>
      <c r="O40" s="205">
        <v>141.54006956546334</v>
      </c>
      <c r="P40" s="205">
        <f>'[1]07_23'!$Q$42</f>
        <v>259888.52</v>
      </c>
      <c r="Q40" s="205">
        <f t="shared" si="17"/>
        <v>118.03039042126764</v>
      </c>
      <c r="R40" s="205">
        <f>'07_24'!S41</f>
        <v>279546.34999999998</v>
      </c>
      <c r="S40" s="205">
        <f t="shared" si="18"/>
        <v>107.56394703390514</v>
      </c>
    </row>
    <row r="41" spans="1:19" s="194" customFormat="1" ht="18.600000000000001" customHeight="1" x14ac:dyDescent="0.25">
      <c r="A41" s="557" t="s">
        <v>38</v>
      </c>
      <c r="B41" s="558"/>
      <c r="C41" s="205">
        <v>115257.10000000002</v>
      </c>
      <c r="D41" s="205">
        <v>112220.50000000001</v>
      </c>
      <c r="E41" s="205">
        <f t="shared" si="12"/>
        <v>97.365368380776545</v>
      </c>
      <c r="F41" s="205">
        <v>130832.54999999999</v>
      </c>
      <c r="G41" s="205">
        <f t="shared" si="13"/>
        <v>116.58524957561228</v>
      </c>
      <c r="H41" s="205">
        <v>133742.75</v>
      </c>
      <c r="I41" s="205">
        <f t="shared" si="14"/>
        <v>102.22437000578221</v>
      </c>
      <c r="J41" s="205">
        <v>136547.04999999999</v>
      </c>
      <c r="K41" s="205">
        <f t="shared" si="15"/>
        <v>102.09678655478521</v>
      </c>
      <c r="L41" s="205">
        <v>155993.90000000002</v>
      </c>
      <c r="M41" s="205">
        <f t="shared" si="16"/>
        <v>114.24186754675405</v>
      </c>
      <c r="N41" s="205">
        <v>201685.85</v>
      </c>
      <c r="O41" s="205">
        <v>129.29085688607054</v>
      </c>
      <c r="P41" s="205">
        <f>'[1]08_23'!$Q$41</f>
        <v>254901.55000000002</v>
      </c>
      <c r="Q41" s="205">
        <f t="shared" si="17"/>
        <v>126.38544052545085</v>
      </c>
      <c r="R41" s="205">
        <f>'08_24'!S41</f>
        <v>295815.84999999998</v>
      </c>
      <c r="S41" s="205">
        <f t="shared" si="18"/>
        <v>116.05102048222145</v>
      </c>
    </row>
    <row r="42" spans="1:19" s="194" customFormat="1" ht="18.600000000000001" customHeight="1" x14ac:dyDescent="0.25">
      <c r="A42" s="557" t="s">
        <v>39</v>
      </c>
      <c r="B42" s="558"/>
      <c r="C42" s="205">
        <v>115110.09999999999</v>
      </c>
      <c r="D42" s="205">
        <v>106090.00000000001</v>
      </c>
      <c r="E42" s="205">
        <f t="shared" si="12"/>
        <v>92.163936961222362</v>
      </c>
      <c r="F42" s="205">
        <v>111540.65000000002</v>
      </c>
      <c r="G42" s="205">
        <f t="shared" si="13"/>
        <v>105.1377603921199</v>
      </c>
      <c r="H42" s="205">
        <v>105748.38000000002</v>
      </c>
      <c r="I42" s="205">
        <f t="shared" si="14"/>
        <v>94.807032234436505</v>
      </c>
      <c r="J42" s="205">
        <v>104764.2</v>
      </c>
      <c r="K42" s="205">
        <f t="shared" si="15"/>
        <v>99.069319076093635</v>
      </c>
      <c r="L42" s="205">
        <v>115841.4</v>
      </c>
      <c r="M42" s="205">
        <f t="shared" si="16"/>
        <v>110.57345925421087</v>
      </c>
      <c r="N42" s="205">
        <v>196049.1</v>
      </c>
      <c r="O42" s="205">
        <v>169.2392357136568</v>
      </c>
      <c r="P42" s="205">
        <f>'[1]09_23'!$Q$40</f>
        <v>247641.69999999995</v>
      </c>
      <c r="Q42" s="205">
        <f t="shared" si="17"/>
        <v>126.3161626347685</v>
      </c>
      <c r="R42" s="205">
        <f>'09_24'!S41</f>
        <v>223136.5</v>
      </c>
      <c r="S42" s="205">
        <f t="shared" si="18"/>
        <v>90.104574471908421</v>
      </c>
    </row>
    <row r="43" spans="1:19" s="194" customFormat="1" ht="18.600000000000001" customHeight="1" x14ac:dyDescent="0.25">
      <c r="A43" s="557" t="s">
        <v>40</v>
      </c>
      <c r="B43" s="558"/>
      <c r="C43" s="205">
        <v>72212.399999999994</v>
      </c>
      <c r="D43" s="205">
        <v>54583.500000000015</v>
      </c>
      <c r="E43" s="205">
        <f t="shared" si="12"/>
        <v>75.587433737142121</v>
      </c>
      <c r="F43" s="205">
        <v>73003.199999999983</v>
      </c>
      <c r="G43" s="205">
        <f t="shared" si="13"/>
        <v>133.74591222622215</v>
      </c>
      <c r="H43" s="205">
        <v>66195.75</v>
      </c>
      <c r="I43" s="205">
        <f t="shared" si="14"/>
        <v>90.675134788612027</v>
      </c>
      <c r="J43" s="205">
        <v>65054.069999999985</v>
      </c>
      <c r="K43" s="205">
        <f t="shared" si="15"/>
        <v>98.275297130102743</v>
      </c>
      <c r="L43" s="205">
        <v>92491.32</v>
      </c>
      <c r="M43" s="205">
        <f t="shared" si="16"/>
        <v>142.17606984466926</v>
      </c>
      <c r="N43" s="205">
        <v>148525.35</v>
      </c>
      <c r="O43" s="205">
        <v>160.5830147088397</v>
      </c>
      <c r="P43" s="205">
        <f>'[1]10_23'!$Q$42</f>
        <v>152849.65000000002</v>
      </c>
      <c r="Q43" s="205">
        <f t="shared" si="17"/>
        <v>102.91148952013916</v>
      </c>
      <c r="R43" s="205">
        <f>'10_24'!S41</f>
        <v>181301.85</v>
      </c>
      <c r="S43" s="205">
        <f t="shared" si="18"/>
        <v>118.61450124354226</v>
      </c>
    </row>
    <row r="44" spans="1:19" s="194" customFormat="1" ht="18.600000000000001" customHeight="1" x14ac:dyDescent="0.25">
      <c r="A44" s="557" t="s">
        <v>41</v>
      </c>
      <c r="B44" s="558"/>
      <c r="C44" s="205">
        <v>54368.9</v>
      </c>
      <c r="D44" s="205">
        <v>61253.700000000012</v>
      </c>
      <c r="E44" s="205">
        <f t="shared" si="12"/>
        <v>112.66312174791105</v>
      </c>
      <c r="F44" s="205">
        <v>58989.55</v>
      </c>
      <c r="G44" s="205">
        <f t="shared" si="13"/>
        <v>96.303651861030417</v>
      </c>
      <c r="H44" s="205">
        <v>61008.7</v>
      </c>
      <c r="I44" s="205">
        <f t="shared" si="14"/>
        <v>103.42289439400706</v>
      </c>
      <c r="J44" s="205">
        <v>26209.55999999999</v>
      </c>
      <c r="K44" s="205">
        <f t="shared" si="15"/>
        <v>42.960364669301249</v>
      </c>
      <c r="L44" s="205">
        <v>48377.350000000006</v>
      </c>
      <c r="M44" s="205">
        <f t="shared" si="16"/>
        <v>184.57902383710382</v>
      </c>
      <c r="N44" s="205">
        <v>126613.8</v>
      </c>
      <c r="O44" s="205">
        <v>261.72123938165277</v>
      </c>
      <c r="P44" s="205">
        <f>'[1]11_23'!$Q$40</f>
        <v>125500.34999999999</v>
      </c>
      <c r="Q44" s="205">
        <f t="shared" si="17"/>
        <v>99.120593489809153</v>
      </c>
      <c r="R44" s="205">
        <f>'11_24'!S40</f>
        <v>127068.1</v>
      </c>
      <c r="S44" s="205">
        <f t="shared" si="18"/>
        <v>101.24919970342714</v>
      </c>
    </row>
    <row r="45" spans="1:19" s="194" customFormat="1" ht="18.600000000000001" customHeight="1" thickBot="1" x14ac:dyDescent="0.3">
      <c r="A45" s="559" t="s">
        <v>42</v>
      </c>
      <c r="B45" s="560"/>
      <c r="C45" s="207">
        <v>45473.299999999996</v>
      </c>
      <c r="D45" s="205">
        <v>47892.099999999991</v>
      </c>
      <c r="E45" s="205">
        <f t="shared" si="12"/>
        <v>105.3191653123921</v>
      </c>
      <c r="F45" s="205">
        <v>43831.950000000012</v>
      </c>
      <c r="G45" s="205">
        <f t="shared" si="13"/>
        <v>91.522296996790757</v>
      </c>
      <c r="H45" s="205">
        <v>45824.070000000007</v>
      </c>
      <c r="I45" s="205">
        <f t="shared" si="14"/>
        <v>104.54490388860181</v>
      </c>
      <c r="J45" s="205">
        <v>32710.1</v>
      </c>
      <c r="K45" s="205">
        <f t="shared" si="15"/>
        <v>71.381917843613621</v>
      </c>
      <c r="L45" s="205">
        <v>43114.65</v>
      </c>
      <c r="M45" s="205">
        <f t="shared" si="16"/>
        <v>131.80837111473215</v>
      </c>
      <c r="N45" s="205">
        <v>104181.05</v>
      </c>
      <c r="O45" s="205">
        <v>241.63723931424701</v>
      </c>
      <c r="P45" s="205">
        <f>'[1]12_23'!$Q$41</f>
        <v>92696.6</v>
      </c>
      <c r="Q45" s="205">
        <f t="shared" si="17"/>
        <v>88.976450131765802</v>
      </c>
      <c r="R45" s="205">
        <f>'12_24'!S42</f>
        <v>139268</v>
      </c>
      <c r="S45" s="205">
        <f t="shared" si="18"/>
        <v>150.24067765160751</v>
      </c>
    </row>
    <row r="46" spans="1:19" ht="18.600000000000001" customHeight="1" thickBot="1" x14ac:dyDescent="0.3">
      <c r="A46" s="208" t="s">
        <v>16</v>
      </c>
      <c r="B46" s="209"/>
      <c r="C46" s="210">
        <f>SUM(C34:C45)</f>
        <v>909764.9</v>
      </c>
      <c r="D46" s="210">
        <f>SUM(D34:D45)</f>
        <v>907474.62</v>
      </c>
      <c r="E46" s="211">
        <f t="shared" si="12"/>
        <v>99.748255840602326</v>
      </c>
      <c r="F46" s="375">
        <f>SUM(F34:F45)</f>
        <v>967338.90000000014</v>
      </c>
      <c r="G46" s="376">
        <f t="shared" si="13"/>
        <v>106.59679936833938</v>
      </c>
      <c r="H46" s="375">
        <f>SUM(H34:H45)</f>
        <v>923131.7</v>
      </c>
      <c r="I46" s="376">
        <f t="shared" si="14"/>
        <v>95.430019406849027</v>
      </c>
      <c r="J46" s="375">
        <f>SUM(J34:J45)</f>
        <v>782352.47999999986</v>
      </c>
      <c r="K46" s="376">
        <f t="shared" si="15"/>
        <v>84.749822804265079</v>
      </c>
      <c r="L46" s="375">
        <f>SUM(L34:L45)</f>
        <v>1109220.6900000002</v>
      </c>
      <c r="M46" s="376">
        <f t="shared" si="16"/>
        <v>141.78017177116897</v>
      </c>
      <c r="N46" s="375">
        <v>1354943.9500000002</v>
      </c>
      <c r="O46" s="376">
        <v>122.1527836809463</v>
      </c>
      <c r="P46" s="375">
        <f>SUM(P34:P45)</f>
        <v>2031906.9700000002</v>
      </c>
      <c r="Q46" s="376">
        <f>SUM(100/N46*P46)</f>
        <v>149.96243719159008</v>
      </c>
      <c r="R46" s="375">
        <f>SUM(R34:R45)</f>
        <v>2233507.04</v>
      </c>
      <c r="S46" s="376">
        <f>SUM(100/P46*R46)</f>
        <v>109.921717528239</v>
      </c>
    </row>
    <row r="47" spans="1:19" ht="18.600000000000001" customHeight="1" thickBot="1" x14ac:dyDescent="0.3">
      <c r="A47" s="212"/>
      <c r="B47" s="213"/>
      <c r="C47" s="214"/>
      <c r="D47" s="214"/>
      <c r="E47" s="215"/>
      <c r="F47" s="214"/>
      <c r="G47" s="215"/>
      <c r="H47" s="214"/>
      <c r="I47" s="215"/>
      <c r="J47" s="214"/>
      <c r="K47" s="215"/>
      <c r="L47" s="214"/>
      <c r="M47" s="215"/>
      <c r="N47" s="215"/>
      <c r="O47" s="215"/>
      <c r="P47" s="214"/>
      <c r="Q47" s="214"/>
      <c r="R47" s="214"/>
      <c r="S47" s="215"/>
    </row>
    <row r="48" spans="1:19" s="191" customFormat="1" ht="19.149999999999999" customHeight="1" x14ac:dyDescent="0.25">
      <c r="A48" s="561" t="s">
        <v>25</v>
      </c>
      <c r="B48" s="562"/>
      <c r="C48" s="202">
        <v>2016</v>
      </c>
      <c r="D48" s="378">
        <v>2017</v>
      </c>
      <c r="E48" s="374" t="s">
        <v>19</v>
      </c>
      <c r="F48" s="378">
        <v>2018</v>
      </c>
      <c r="G48" s="374" t="s">
        <v>19</v>
      </c>
      <c r="H48" s="378">
        <v>2019</v>
      </c>
      <c r="I48" s="374" t="s">
        <v>19</v>
      </c>
      <c r="J48" s="378">
        <v>2020</v>
      </c>
      <c r="K48" s="374" t="s">
        <v>19</v>
      </c>
      <c r="L48" s="378">
        <v>2021</v>
      </c>
      <c r="M48" s="374" t="s">
        <v>19</v>
      </c>
      <c r="N48" s="319">
        <v>2022</v>
      </c>
      <c r="O48" s="374" t="s">
        <v>19</v>
      </c>
      <c r="P48" s="378">
        <v>2023</v>
      </c>
      <c r="Q48" s="484" t="s">
        <v>19</v>
      </c>
      <c r="R48" s="486">
        <v>2024</v>
      </c>
      <c r="S48" s="204" t="s">
        <v>19</v>
      </c>
    </row>
    <row r="49" spans="1:19" s="194" customFormat="1" ht="18.600000000000001" customHeight="1" x14ac:dyDescent="0.25">
      <c r="A49" s="563" t="s">
        <v>31</v>
      </c>
      <c r="B49" s="564"/>
      <c r="C49" s="205">
        <v>27592.099999999995</v>
      </c>
      <c r="D49" s="205">
        <v>19721.7</v>
      </c>
      <c r="E49" s="205">
        <f>SUM(100/C49*D49)</f>
        <v>71.475893462259137</v>
      </c>
      <c r="F49" s="205">
        <v>35924.199999999997</v>
      </c>
      <c r="G49" s="205">
        <f>SUM(100/D49*F49)</f>
        <v>182.1556965170345</v>
      </c>
      <c r="H49" s="205">
        <v>25671.200000000001</v>
      </c>
      <c r="I49" s="205">
        <f>SUM(100/F49*H49)</f>
        <v>71.459350521375569</v>
      </c>
      <c r="J49" s="205">
        <v>36691.9</v>
      </c>
      <c r="K49" s="205">
        <f>SUM(100/H49*J49)</f>
        <v>142.93020972919069</v>
      </c>
      <c r="L49" s="205">
        <v>0</v>
      </c>
      <c r="M49" s="205">
        <f>SUM(100/J49*L49)</f>
        <v>0</v>
      </c>
      <c r="N49" s="205">
        <v>3697.6</v>
      </c>
      <c r="O49" s="205" t="e">
        <f>SUM(100/L49*N49)</f>
        <v>#DIV/0!</v>
      </c>
      <c r="P49" s="205">
        <f>'[1]01_23'!$K$42</f>
        <v>57322.799999999996</v>
      </c>
      <c r="Q49" s="205">
        <f>SUM(100/N49*P49)</f>
        <v>1550.2704456945044</v>
      </c>
      <c r="R49" s="205">
        <f>'01_24'!O41</f>
        <v>63505.4</v>
      </c>
      <c r="S49" s="205">
        <f>SUM(100/P49*R49)</f>
        <v>110.78558618909057</v>
      </c>
    </row>
    <row r="50" spans="1:19" s="194" customFormat="1" ht="18.600000000000001" customHeight="1" x14ac:dyDescent="0.25">
      <c r="A50" s="557" t="s">
        <v>32</v>
      </c>
      <c r="B50" s="558"/>
      <c r="C50" s="205">
        <v>40184.65</v>
      </c>
      <c r="D50" s="205">
        <v>16368.700000000003</v>
      </c>
      <c r="E50" s="205">
        <f t="shared" ref="E50:E61" si="19">SUM(100/C50*D50)</f>
        <v>40.733712997375868</v>
      </c>
      <c r="F50" s="205">
        <v>19217.399999999998</v>
      </c>
      <c r="G50" s="205">
        <f t="shared" ref="G50:G61" si="20">SUM(100/D50*F50)</f>
        <v>117.4033368563172</v>
      </c>
      <c r="H50" s="205">
        <v>26873.399999999998</v>
      </c>
      <c r="I50" s="205">
        <f t="shared" ref="I50:I61" si="21">SUM(100/F50*H50)</f>
        <v>139.83889600049955</v>
      </c>
      <c r="J50" s="205">
        <v>23174.799999999999</v>
      </c>
      <c r="K50" s="205">
        <f t="shared" ref="K50:K61" si="22">SUM(100/H50*J50)</f>
        <v>86.236948060163584</v>
      </c>
      <c r="L50" s="205">
        <v>378.8</v>
      </c>
      <c r="M50" s="205">
        <f t="shared" ref="M50:M61" si="23">SUM(100/J50*L50)</f>
        <v>1.634534062861384</v>
      </c>
      <c r="N50" s="205">
        <v>0</v>
      </c>
      <c r="O50" s="205">
        <f t="shared" ref="O50:O61" si="24">SUM(100/L50*N50)</f>
        <v>0</v>
      </c>
      <c r="P50" s="205">
        <f>'[1]02_23'!$K$38</f>
        <v>38484.6</v>
      </c>
      <c r="Q50" s="205" t="e">
        <f t="shared" ref="Q50:Q61" si="25">SUM(100/N50*P50)</f>
        <v>#DIV/0!</v>
      </c>
      <c r="R50" s="205">
        <f>'02_24'!M39</f>
        <v>23964.3</v>
      </c>
      <c r="S50" s="205">
        <f t="shared" ref="S50:S61" si="26">SUM(100/P50*R50)</f>
        <v>62.269843002135921</v>
      </c>
    </row>
    <row r="51" spans="1:19" s="194" customFormat="1" ht="18.600000000000001" customHeight="1" x14ac:dyDescent="0.25">
      <c r="A51" s="557" t="s">
        <v>33</v>
      </c>
      <c r="B51" s="558"/>
      <c r="C51" s="205">
        <v>37768.200000000004</v>
      </c>
      <c r="D51" s="205">
        <v>44682.200000000004</v>
      </c>
      <c r="E51" s="205">
        <f t="shared" si="19"/>
        <v>118.30640591820632</v>
      </c>
      <c r="F51" s="205">
        <v>39204.300000000003</v>
      </c>
      <c r="G51" s="205">
        <f t="shared" si="20"/>
        <v>87.740308221170835</v>
      </c>
      <c r="H51" s="205">
        <v>47812.499999999993</v>
      </c>
      <c r="I51" s="205">
        <f t="shared" si="21"/>
        <v>121.95728529778617</v>
      </c>
      <c r="J51" s="205">
        <v>15451.000000000002</v>
      </c>
      <c r="K51" s="205">
        <f t="shared" si="22"/>
        <v>32.315816993464061</v>
      </c>
      <c r="L51" s="205">
        <v>7049.4999999999991</v>
      </c>
      <c r="M51" s="205">
        <f t="shared" si="23"/>
        <v>45.624878648631146</v>
      </c>
      <c r="N51" s="205">
        <v>262.89999999999998</v>
      </c>
      <c r="O51" s="205">
        <f t="shared" si="24"/>
        <v>3.7293425065607493</v>
      </c>
      <c r="P51" s="205">
        <f>'[1]03_23'!$K$41</f>
        <v>54062.3</v>
      </c>
      <c r="Q51" s="205">
        <f>SUM(100/N51*P51)</f>
        <v>20563.826550019021</v>
      </c>
      <c r="R51" s="205">
        <f>'03_24'!M41</f>
        <v>83501.7</v>
      </c>
      <c r="S51" s="205">
        <f t="shared" si="26"/>
        <v>154.45458295337045</v>
      </c>
    </row>
    <row r="52" spans="1:19" s="194" customFormat="1" ht="18.600000000000001" customHeight="1" x14ac:dyDescent="0.25">
      <c r="A52" s="557" t="s">
        <v>34</v>
      </c>
      <c r="B52" s="558"/>
      <c r="C52" s="205">
        <v>59916.700000000004</v>
      </c>
      <c r="D52" s="205">
        <v>67948.599999999991</v>
      </c>
      <c r="E52" s="205">
        <f t="shared" si="19"/>
        <v>113.40511076210804</v>
      </c>
      <c r="F52" s="205">
        <v>53974.3</v>
      </c>
      <c r="G52" s="205">
        <f t="shared" si="20"/>
        <v>79.43401335715528</v>
      </c>
      <c r="H52" s="205">
        <v>54223.3</v>
      </c>
      <c r="I52" s="205">
        <f t="shared" si="21"/>
        <v>100.46133067033756</v>
      </c>
      <c r="J52" s="205">
        <v>0</v>
      </c>
      <c r="K52" s="205">
        <f t="shared" si="22"/>
        <v>0</v>
      </c>
      <c r="L52" s="205">
        <v>10825.2</v>
      </c>
      <c r="M52" s="205" t="e">
        <f t="shared" si="23"/>
        <v>#DIV/0!</v>
      </c>
      <c r="N52" s="205">
        <v>1654.3</v>
      </c>
      <c r="O52" s="205">
        <f t="shared" si="24"/>
        <v>15.281934744854597</v>
      </c>
      <c r="P52" s="205">
        <f>'[1]04_23'!$K$40</f>
        <v>104357.4</v>
      </c>
      <c r="Q52" s="205">
        <f t="shared" si="25"/>
        <v>6308.2512240826936</v>
      </c>
      <c r="R52" s="205">
        <f>'04_24'!M40</f>
        <v>151952.4</v>
      </c>
      <c r="S52" s="205">
        <f t="shared" si="26"/>
        <v>145.60769049439713</v>
      </c>
    </row>
    <row r="53" spans="1:19" s="194" customFormat="1" ht="18.600000000000001" customHeight="1" x14ac:dyDescent="0.25">
      <c r="A53" s="557" t="s">
        <v>35</v>
      </c>
      <c r="B53" s="558"/>
      <c r="C53" s="205">
        <v>97605.6</v>
      </c>
      <c r="D53" s="205">
        <v>91009.1</v>
      </c>
      <c r="E53" s="205">
        <f t="shared" si="19"/>
        <v>93.241678756136935</v>
      </c>
      <c r="F53" s="205">
        <v>94080.700000000012</v>
      </c>
      <c r="G53" s="205">
        <f t="shared" si="20"/>
        <v>103.37504711067355</v>
      </c>
      <c r="H53" s="205">
        <v>122416.8</v>
      </c>
      <c r="I53" s="205">
        <f t="shared" si="21"/>
        <v>130.11892981238447</v>
      </c>
      <c r="J53" s="205">
        <v>14447.2</v>
      </c>
      <c r="K53" s="205">
        <f t="shared" si="22"/>
        <v>11.801648139797805</v>
      </c>
      <c r="L53" s="205">
        <v>14280.5</v>
      </c>
      <c r="M53" s="205">
        <f t="shared" si="23"/>
        <v>98.846143197297749</v>
      </c>
      <c r="N53" s="205">
        <v>168622.5</v>
      </c>
      <c r="O53" s="205">
        <f t="shared" si="24"/>
        <v>1180.7884877980464</v>
      </c>
      <c r="P53" s="205">
        <f>'[1]05_23'!$K$41</f>
        <v>159984.79999999999</v>
      </c>
      <c r="Q53" s="205">
        <f t="shared" si="25"/>
        <v>94.8774926240567</v>
      </c>
      <c r="R53" s="205">
        <f>'05_24'!M41</f>
        <v>260163.1</v>
      </c>
      <c r="S53" s="205">
        <f t="shared" si="26"/>
        <v>162.61738615168443</v>
      </c>
    </row>
    <row r="54" spans="1:19" s="194" customFormat="1" ht="18.600000000000001" customHeight="1" x14ac:dyDescent="0.25">
      <c r="A54" s="557" t="s">
        <v>36</v>
      </c>
      <c r="B54" s="558"/>
      <c r="C54" s="205">
        <v>104985.90000000001</v>
      </c>
      <c r="D54" s="205">
        <v>99112.60000000002</v>
      </c>
      <c r="E54" s="205">
        <f t="shared" si="19"/>
        <v>94.40562970837037</v>
      </c>
      <c r="F54" s="205">
        <v>109143.5</v>
      </c>
      <c r="G54" s="205">
        <f t="shared" si="20"/>
        <v>110.12071119110989</v>
      </c>
      <c r="H54" s="205">
        <v>95784.999999999985</v>
      </c>
      <c r="I54" s="205">
        <f t="shared" si="21"/>
        <v>87.76060873986998</v>
      </c>
      <c r="J54" s="205">
        <v>75358.3</v>
      </c>
      <c r="K54" s="205">
        <f t="shared" si="22"/>
        <v>78.674427102364689</v>
      </c>
      <c r="L54" s="205">
        <v>55516.2</v>
      </c>
      <c r="M54" s="205">
        <f t="shared" si="23"/>
        <v>73.669655499128822</v>
      </c>
      <c r="N54" s="205">
        <v>146839.80000000002</v>
      </c>
      <c r="O54" s="205">
        <f t="shared" si="24"/>
        <v>264.4990110994629</v>
      </c>
      <c r="P54" s="205">
        <f>'[1]06_23'!$K$40</f>
        <v>181457.90000000002</v>
      </c>
      <c r="Q54" s="205">
        <f t="shared" si="25"/>
        <v>123.57542028796009</v>
      </c>
      <c r="R54" s="205">
        <f>'06_24'!M40</f>
        <v>267263.5</v>
      </c>
      <c r="S54" s="205">
        <f t="shared" si="26"/>
        <v>147.28678112113056</v>
      </c>
    </row>
    <row r="55" spans="1:19" s="194" customFormat="1" ht="18.600000000000001" customHeight="1" x14ac:dyDescent="0.25">
      <c r="A55" s="557" t="s">
        <v>37</v>
      </c>
      <c r="B55" s="558"/>
      <c r="C55" s="205">
        <v>102807.4</v>
      </c>
      <c r="D55" s="205">
        <v>107824.59999999998</v>
      </c>
      <c r="E55" s="205">
        <f t="shared" si="19"/>
        <v>104.88019344910968</v>
      </c>
      <c r="F55" s="205">
        <v>97641.699999999983</v>
      </c>
      <c r="G55" s="205">
        <f t="shared" si="20"/>
        <v>90.556051216512756</v>
      </c>
      <c r="H55" s="205">
        <v>87607.10000000002</v>
      </c>
      <c r="I55" s="205">
        <f t="shared" si="21"/>
        <v>89.723038414939552</v>
      </c>
      <c r="J55" s="205">
        <v>53957.700000000004</v>
      </c>
      <c r="K55" s="205">
        <f t="shared" si="22"/>
        <v>61.590556016578553</v>
      </c>
      <c r="L55" s="205">
        <v>114326.2</v>
      </c>
      <c r="M55" s="205">
        <f t="shared" si="23"/>
        <v>211.88115875954682</v>
      </c>
      <c r="N55" s="205">
        <v>156394.20000000001</v>
      </c>
      <c r="O55" s="205">
        <f t="shared" si="24"/>
        <v>136.79646485232607</v>
      </c>
      <c r="P55" s="205">
        <f>'[1]07_23'!$K$42</f>
        <v>163340</v>
      </c>
      <c r="Q55" s="205">
        <f t="shared" si="25"/>
        <v>104.44121329307607</v>
      </c>
      <c r="R55" s="205">
        <f>'07_24'!M41</f>
        <v>150934.5</v>
      </c>
      <c r="S55" s="205">
        <f t="shared" si="26"/>
        <v>92.405105914044327</v>
      </c>
    </row>
    <row r="56" spans="1:19" s="194" customFormat="1" ht="18.600000000000001" customHeight="1" x14ac:dyDescent="0.25">
      <c r="A56" s="557" t="s">
        <v>38</v>
      </c>
      <c r="B56" s="558"/>
      <c r="C56" s="205">
        <v>94096.500000000015</v>
      </c>
      <c r="D56" s="205">
        <v>134473</v>
      </c>
      <c r="E56" s="205">
        <f t="shared" si="19"/>
        <v>142.90967251704365</v>
      </c>
      <c r="F56" s="205">
        <v>122927.59999999998</v>
      </c>
      <c r="G56" s="205">
        <f t="shared" si="20"/>
        <v>91.414335963353224</v>
      </c>
      <c r="H56" s="205">
        <v>148504.9</v>
      </c>
      <c r="I56" s="205">
        <f t="shared" si="21"/>
        <v>120.80680010022161</v>
      </c>
      <c r="J56" s="205">
        <v>100487.09999999999</v>
      </c>
      <c r="K56" s="205">
        <f t="shared" si="22"/>
        <v>67.665848062925861</v>
      </c>
      <c r="L56" s="205">
        <v>119647.4</v>
      </c>
      <c r="M56" s="205">
        <f t="shared" si="23"/>
        <v>119.06742258459046</v>
      </c>
      <c r="N56" s="205">
        <v>151068</v>
      </c>
      <c r="O56" s="205">
        <f t="shared" si="24"/>
        <v>126.26099689587906</v>
      </c>
      <c r="P56" s="205">
        <f>'[1]08_23'!$K$41</f>
        <v>157321.9</v>
      </c>
      <c r="Q56" s="205">
        <f t="shared" si="25"/>
        <v>104.13979135223872</v>
      </c>
      <c r="R56" s="205">
        <f>'08_24'!M41</f>
        <v>183408</v>
      </c>
      <c r="S56" s="205">
        <f t="shared" si="26"/>
        <v>116.5813532635952</v>
      </c>
    </row>
    <row r="57" spans="1:19" s="194" customFormat="1" ht="18.600000000000001" customHeight="1" x14ac:dyDescent="0.25">
      <c r="A57" s="557" t="s">
        <v>39</v>
      </c>
      <c r="B57" s="558"/>
      <c r="C57" s="205">
        <v>103148.3</v>
      </c>
      <c r="D57" s="205">
        <v>99129.9</v>
      </c>
      <c r="E57" s="205">
        <f t="shared" si="19"/>
        <v>96.104249900386137</v>
      </c>
      <c r="F57" s="205">
        <v>120384.69999999998</v>
      </c>
      <c r="G57" s="205">
        <f t="shared" si="20"/>
        <v>121.44136128453674</v>
      </c>
      <c r="H57" s="205">
        <v>104110</v>
      </c>
      <c r="I57" s="205">
        <f t="shared" si="21"/>
        <v>86.481089374314195</v>
      </c>
      <c r="J57" s="205">
        <v>89810.60000000002</v>
      </c>
      <c r="K57" s="205">
        <f t="shared" si="22"/>
        <v>86.265104216693899</v>
      </c>
      <c r="L57" s="205">
        <v>78114.900000000009</v>
      </c>
      <c r="M57" s="205">
        <f t="shared" si="23"/>
        <v>86.97737238143381</v>
      </c>
      <c r="N57" s="205">
        <v>181102.2</v>
      </c>
      <c r="O57" s="205">
        <f t="shared" si="24"/>
        <v>231.84078837712138</v>
      </c>
      <c r="P57" s="205">
        <f>'[1]09_23'!$K$40</f>
        <v>210663.5</v>
      </c>
      <c r="Q57" s="205">
        <f t="shared" si="25"/>
        <v>116.32299331537661</v>
      </c>
      <c r="R57" s="205">
        <f>'09_24'!M41</f>
        <v>207098</v>
      </c>
      <c r="S57" s="205">
        <f t="shared" si="26"/>
        <v>98.307490381580095</v>
      </c>
    </row>
    <row r="58" spans="1:19" s="194" customFormat="1" ht="18.600000000000001" customHeight="1" x14ac:dyDescent="0.25">
      <c r="A58" s="557" t="s">
        <v>40</v>
      </c>
      <c r="B58" s="558"/>
      <c r="C58" s="205">
        <v>58684.1</v>
      </c>
      <c r="D58" s="205">
        <v>48740.3</v>
      </c>
      <c r="E58" s="205">
        <f t="shared" si="19"/>
        <v>83.055376158107578</v>
      </c>
      <c r="F58" s="205">
        <v>61255.6</v>
      </c>
      <c r="G58" s="205">
        <f t="shared" si="20"/>
        <v>125.67751942437778</v>
      </c>
      <c r="H58" s="205">
        <v>55238.9</v>
      </c>
      <c r="I58" s="205">
        <f t="shared" si="21"/>
        <v>90.177714364074475</v>
      </c>
      <c r="J58" s="205">
        <v>64996.999999999985</v>
      </c>
      <c r="K58" s="205">
        <f t="shared" si="22"/>
        <v>117.66526849738133</v>
      </c>
      <c r="L58" s="205">
        <v>83111.199999999997</v>
      </c>
      <c r="M58" s="205">
        <f t="shared" si="23"/>
        <v>127.86928627475116</v>
      </c>
      <c r="N58" s="205">
        <v>127223.05</v>
      </c>
      <c r="O58" s="205">
        <f t="shared" si="24"/>
        <v>153.07569858214055</v>
      </c>
      <c r="P58" s="205">
        <f>'[1]10_23'!$K$42</f>
        <v>113436.70000000001</v>
      </c>
      <c r="Q58" s="205">
        <f t="shared" si="25"/>
        <v>89.163638192921809</v>
      </c>
      <c r="R58" s="205">
        <f>'10_24'!M41</f>
        <v>137658.80000000002</v>
      </c>
      <c r="S58" s="205">
        <f t="shared" si="26"/>
        <v>121.35296601540772</v>
      </c>
    </row>
    <row r="59" spans="1:19" s="194" customFormat="1" ht="18.600000000000001" customHeight="1" x14ac:dyDescent="0.25">
      <c r="A59" s="557" t="s">
        <v>41</v>
      </c>
      <c r="B59" s="558"/>
      <c r="C59" s="205">
        <v>38463.800000000003</v>
      </c>
      <c r="D59" s="205">
        <v>43493.4</v>
      </c>
      <c r="E59" s="205">
        <f t="shared" si="19"/>
        <v>113.07619111996215</v>
      </c>
      <c r="F59" s="205">
        <v>43583.1</v>
      </c>
      <c r="G59" s="205">
        <f t="shared" si="20"/>
        <v>100.20623818786298</v>
      </c>
      <c r="H59" s="205">
        <v>46042.9</v>
      </c>
      <c r="I59" s="205">
        <f t="shared" si="21"/>
        <v>105.64393078968683</v>
      </c>
      <c r="J59" s="205">
        <v>20343.800000000003</v>
      </c>
      <c r="K59" s="205">
        <f t="shared" si="22"/>
        <v>44.184445375942872</v>
      </c>
      <c r="L59" s="205">
        <v>41262.85</v>
      </c>
      <c r="M59" s="205">
        <f t="shared" si="23"/>
        <v>202.82764281992542</v>
      </c>
      <c r="N59" s="205">
        <v>93232.7</v>
      </c>
      <c r="O59" s="205">
        <f t="shared" si="24"/>
        <v>225.94828035387764</v>
      </c>
      <c r="P59" s="205">
        <f>'[1]11_23'!$K$40</f>
        <v>57620.000000000007</v>
      </c>
      <c r="Q59" s="205">
        <f t="shared" si="25"/>
        <v>61.802350462874095</v>
      </c>
      <c r="R59" s="205">
        <f>'11_24'!M40</f>
        <v>96432.2</v>
      </c>
      <c r="S59" s="205">
        <f t="shared" si="26"/>
        <v>167.35890315862545</v>
      </c>
    </row>
    <row r="60" spans="1:19" s="194" customFormat="1" ht="18.600000000000001" customHeight="1" thickBot="1" x14ac:dyDescent="0.3">
      <c r="A60" s="559" t="s">
        <v>42</v>
      </c>
      <c r="B60" s="560"/>
      <c r="C60" s="205">
        <v>64512.899999999994</v>
      </c>
      <c r="D60" s="205">
        <v>58100.499999999993</v>
      </c>
      <c r="E60" s="205">
        <f t="shared" si="19"/>
        <v>90.060282517139967</v>
      </c>
      <c r="F60" s="205">
        <v>59600.69999999999</v>
      </c>
      <c r="G60" s="205">
        <f t="shared" si="20"/>
        <v>102.58207760690527</v>
      </c>
      <c r="H60" s="205">
        <v>62273.2</v>
      </c>
      <c r="I60" s="205">
        <f t="shared" si="21"/>
        <v>104.48400773816417</v>
      </c>
      <c r="J60" s="205">
        <v>15421.000000000002</v>
      </c>
      <c r="K60" s="205">
        <f t="shared" si="22"/>
        <v>24.763461649634198</v>
      </c>
      <c r="L60" s="205">
        <v>50602.299999999996</v>
      </c>
      <c r="M60" s="205">
        <f t="shared" si="23"/>
        <v>328.13890149795725</v>
      </c>
      <c r="N60" s="205">
        <v>103274.99999999999</v>
      </c>
      <c r="O60" s="205">
        <f t="shared" si="24"/>
        <v>204.09151362685094</v>
      </c>
      <c r="P60" s="205">
        <f>'[1]12_23'!$K$41</f>
        <v>90547.9</v>
      </c>
      <c r="Q60" s="205">
        <f t="shared" si="25"/>
        <v>87.676494795449059</v>
      </c>
      <c r="R60" s="205">
        <f>'12_24'!M42</f>
        <v>111014.6</v>
      </c>
      <c r="S60" s="205">
        <f t="shared" si="26"/>
        <v>122.60317467329448</v>
      </c>
    </row>
    <row r="61" spans="1:19" ht="18.600000000000001" customHeight="1" thickBot="1" x14ac:dyDescent="0.3">
      <c r="A61" s="208" t="s">
        <v>16</v>
      </c>
      <c r="B61" s="209"/>
      <c r="C61" s="210">
        <f>SUM(C49:C60)</f>
        <v>829766.15000000014</v>
      </c>
      <c r="D61" s="375">
        <f>SUM(D49:D60)</f>
        <v>830604.60000000009</v>
      </c>
      <c r="E61" s="376">
        <f t="shared" si="19"/>
        <v>100.10104654184796</v>
      </c>
      <c r="F61" s="375">
        <f>SUM(F49:F60)</f>
        <v>856937.79999999981</v>
      </c>
      <c r="G61" s="376">
        <f t="shared" si="20"/>
        <v>103.17036529776017</v>
      </c>
      <c r="H61" s="210">
        <f>SUM(H49:H60)</f>
        <v>876559.20000000007</v>
      </c>
      <c r="I61" s="211">
        <f t="shared" si="21"/>
        <v>102.28971110855423</v>
      </c>
      <c r="J61" s="375">
        <f>SUM(J49:J60)</f>
        <v>510140.4</v>
      </c>
      <c r="K61" s="376">
        <f t="shared" si="22"/>
        <v>58.19805439267536</v>
      </c>
      <c r="L61" s="375">
        <f>SUM(L49:L60)</f>
        <v>575115.05000000005</v>
      </c>
      <c r="M61" s="376">
        <f t="shared" si="23"/>
        <v>112.73662113410347</v>
      </c>
      <c r="N61" s="375">
        <v>1133372.25</v>
      </c>
      <c r="O61" s="376">
        <f t="shared" si="24"/>
        <v>197.06878649758858</v>
      </c>
      <c r="P61" s="375">
        <f>SUM(P49:P60)</f>
        <v>1388599.8</v>
      </c>
      <c r="Q61" s="376">
        <f t="shared" si="25"/>
        <v>122.51930466799413</v>
      </c>
      <c r="R61" s="375">
        <f>SUM(R49:R60)</f>
        <v>1736896.5</v>
      </c>
      <c r="S61" s="376">
        <f t="shared" si="26"/>
        <v>125.08258318919532</v>
      </c>
    </row>
    <row r="62" spans="1:19" ht="17.25" thickBot="1" x14ac:dyDescent="0.3"/>
    <row r="63" spans="1:19" s="191" customFormat="1" ht="19.149999999999999" customHeight="1" x14ac:dyDescent="0.25">
      <c r="A63" s="561" t="s">
        <v>30</v>
      </c>
      <c r="B63" s="562"/>
      <c r="C63" s="202">
        <v>2016</v>
      </c>
      <c r="D63" s="378">
        <v>2017</v>
      </c>
      <c r="E63" s="374" t="s">
        <v>19</v>
      </c>
      <c r="F63" s="203">
        <v>2018</v>
      </c>
      <c r="G63" s="204" t="s">
        <v>19</v>
      </c>
      <c r="H63" s="378">
        <v>2019</v>
      </c>
      <c r="I63" s="374" t="s">
        <v>19</v>
      </c>
      <c r="J63" s="203">
        <v>2020</v>
      </c>
      <c r="K63" s="204" t="s">
        <v>19</v>
      </c>
      <c r="L63" s="203">
        <v>2021</v>
      </c>
      <c r="M63" s="204" t="s">
        <v>19</v>
      </c>
      <c r="N63" s="319">
        <v>2022</v>
      </c>
      <c r="O63" s="374" t="s">
        <v>19</v>
      </c>
      <c r="P63" s="203">
        <v>2023</v>
      </c>
      <c r="Q63" s="416" t="s">
        <v>19</v>
      </c>
      <c r="R63" s="378">
        <v>2024</v>
      </c>
      <c r="S63" s="374" t="s">
        <v>19</v>
      </c>
    </row>
    <row r="64" spans="1:19" s="194" customFormat="1" ht="18.600000000000001" customHeight="1" x14ac:dyDescent="0.25">
      <c r="A64" s="563" t="s">
        <v>31</v>
      </c>
      <c r="B64" s="564"/>
      <c r="C64" s="205">
        <v>22721.9</v>
      </c>
      <c r="D64" s="205">
        <v>21984.1</v>
      </c>
      <c r="E64" s="205">
        <f>SUM(100/C64*D64)</f>
        <v>96.752912388488625</v>
      </c>
      <c r="F64" s="205">
        <v>18986.900000000001</v>
      </c>
      <c r="G64" s="205">
        <f>SUM(100/D64*F64)</f>
        <v>86.366510341565046</v>
      </c>
      <c r="H64" s="205">
        <v>4206</v>
      </c>
      <c r="I64" s="205">
        <f>SUM(100/F64*H64)</f>
        <v>22.152115405885109</v>
      </c>
      <c r="J64" s="205">
        <v>16671.899999999998</v>
      </c>
      <c r="K64" s="205">
        <f>SUM(100/H64*J64)</f>
        <v>396.38373751783161</v>
      </c>
      <c r="L64" s="205">
        <v>1972.9</v>
      </c>
      <c r="M64" s="205">
        <f>SUM(100/J64*L64)</f>
        <v>11.833684223153933</v>
      </c>
      <c r="N64" s="205">
        <v>797.69999999999993</v>
      </c>
      <c r="O64" s="205">
        <v>40.432865325155859</v>
      </c>
      <c r="P64" s="205">
        <f>'[1]01_23'!$O$42</f>
        <v>70347.3</v>
      </c>
      <c r="Q64" s="205">
        <f>SUM(100/N64*P64)</f>
        <v>8818.7664535539698</v>
      </c>
      <c r="R64" s="205">
        <f>'01_24'!S41</f>
        <v>115919.1</v>
      </c>
      <c r="S64" s="205">
        <f>SUM(100/P64*R64)</f>
        <v>164.78116430907798</v>
      </c>
    </row>
    <row r="65" spans="1:19" s="194" customFormat="1" ht="18.600000000000001" customHeight="1" x14ac:dyDescent="0.25">
      <c r="A65" s="557" t="s">
        <v>32</v>
      </c>
      <c r="B65" s="558"/>
      <c r="C65" s="205">
        <v>12761</v>
      </c>
      <c r="D65" s="205">
        <v>17447.7</v>
      </c>
      <c r="E65" s="205">
        <f t="shared" ref="E65:E76" si="27">SUM(100/C65*D65)</f>
        <v>136.72674555285636</v>
      </c>
      <c r="F65" s="205">
        <v>17482.8</v>
      </c>
      <c r="G65" s="205">
        <f t="shared" ref="G65:G76" si="28">SUM(100/D65*F65)</f>
        <v>100.20117264739764</v>
      </c>
      <c r="H65" s="205">
        <v>4542.2</v>
      </c>
      <c r="I65" s="205">
        <f t="shared" ref="I65:I76" si="29">SUM(100/F65*H65)</f>
        <v>25.980964147619375</v>
      </c>
      <c r="J65" s="205">
        <v>17189.899999999998</v>
      </c>
      <c r="K65" s="205">
        <f t="shared" ref="K65:K76" si="30">SUM(100/H65*J65)</f>
        <v>378.44876931883226</v>
      </c>
      <c r="L65" s="205">
        <v>1302.7</v>
      </c>
      <c r="M65" s="205">
        <f t="shared" ref="M65:M76" si="31">SUM(100/J65*L65)</f>
        <v>7.5782872500712637</v>
      </c>
      <c r="N65" s="205">
        <v>0</v>
      </c>
      <c r="O65" s="205">
        <v>0</v>
      </c>
      <c r="P65" s="205">
        <f>'[1]02_23'!$O$38</f>
        <v>31725.8</v>
      </c>
      <c r="Q65" s="205" t="e">
        <f t="shared" ref="Q65:Q76" si="32">SUM(100/N65*P65)</f>
        <v>#DIV/0!</v>
      </c>
      <c r="R65" s="205">
        <f>'02_24'!Q39</f>
        <v>58379.399999999994</v>
      </c>
      <c r="S65" s="205">
        <f t="shared" ref="S65:S75" si="33">SUM(100/P65*R65)</f>
        <v>184.01238109046895</v>
      </c>
    </row>
    <row r="66" spans="1:19" s="194" customFormat="1" ht="18.600000000000001" customHeight="1" x14ac:dyDescent="0.25">
      <c r="A66" s="557" t="s">
        <v>33</v>
      </c>
      <c r="B66" s="558"/>
      <c r="C66" s="205">
        <v>32118.7</v>
      </c>
      <c r="D66" s="205">
        <v>30513.8</v>
      </c>
      <c r="E66" s="205">
        <f t="shared" si="27"/>
        <v>95.003222421829022</v>
      </c>
      <c r="F66" s="205">
        <v>31061.199999999997</v>
      </c>
      <c r="G66" s="205">
        <f t="shared" si="28"/>
        <v>101.79394241294102</v>
      </c>
      <c r="H66" s="205">
        <v>20252.399999999998</v>
      </c>
      <c r="I66" s="205">
        <f t="shared" si="29"/>
        <v>65.201601998634942</v>
      </c>
      <c r="J66" s="205">
        <v>10528.55</v>
      </c>
      <c r="K66" s="205">
        <f t="shared" si="30"/>
        <v>51.986678122099114</v>
      </c>
      <c r="L66" s="205">
        <v>10619.3</v>
      </c>
      <c r="M66" s="205">
        <f t="shared" si="31"/>
        <v>100.86194205279929</v>
      </c>
      <c r="N66" s="205">
        <v>726.9</v>
      </c>
      <c r="O66" s="205">
        <v>6.8450839509195527</v>
      </c>
      <c r="P66" s="205">
        <f>'[1]03_23'!$O$41</f>
        <v>103832.09999999999</v>
      </c>
      <c r="Q66" s="205">
        <f t="shared" si="32"/>
        <v>14284.234420140319</v>
      </c>
      <c r="R66" s="205">
        <f>'03_24'!Q41</f>
        <v>101200</v>
      </c>
      <c r="S66" s="205">
        <f t="shared" si="33"/>
        <v>97.465042120885542</v>
      </c>
    </row>
    <row r="67" spans="1:19" s="194" customFormat="1" ht="18.600000000000001" customHeight="1" x14ac:dyDescent="0.25">
      <c r="A67" s="557" t="s">
        <v>34</v>
      </c>
      <c r="B67" s="558"/>
      <c r="C67" s="205">
        <v>44113.600000000006</v>
      </c>
      <c r="D67" s="205">
        <v>30575.499999999996</v>
      </c>
      <c r="E67" s="205">
        <f t="shared" si="27"/>
        <v>69.310824779659768</v>
      </c>
      <c r="F67" s="205">
        <v>28974.099999999995</v>
      </c>
      <c r="G67" s="205">
        <f t="shared" si="28"/>
        <v>94.76247322202417</v>
      </c>
      <c r="H67" s="205">
        <v>22176.9</v>
      </c>
      <c r="I67" s="205">
        <f t="shared" si="29"/>
        <v>76.540427485236833</v>
      </c>
      <c r="J67" s="205">
        <v>0</v>
      </c>
      <c r="K67" s="205">
        <f t="shared" si="30"/>
        <v>0</v>
      </c>
      <c r="L67" s="205">
        <v>20073</v>
      </c>
      <c r="M67" s="205" t="e">
        <f t="shared" si="31"/>
        <v>#DIV/0!</v>
      </c>
      <c r="N67" s="205">
        <v>4847.5</v>
      </c>
      <c r="O67" s="205">
        <v>24.14935485478005</v>
      </c>
      <c r="P67" s="205">
        <f>'[1]04_23'!$O$40</f>
        <v>58604.599999999991</v>
      </c>
      <c r="Q67" s="205">
        <f t="shared" si="32"/>
        <v>1208.9654461062403</v>
      </c>
      <c r="R67" s="205">
        <f>'04_24'!Q40</f>
        <v>91010.6</v>
      </c>
      <c r="S67" s="205">
        <f t="shared" si="33"/>
        <v>155.29600065523869</v>
      </c>
    </row>
    <row r="68" spans="1:19" s="194" customFormat="1" ht="18.600000000000001" customHeight="1" x14ac:dyDescent="0.25">
      <c r="A68" s="557" t="s">
        <v>35</v>
      </c>
      <c r="B68" s="558"/>
      <c r="C68" s="205">
        <v>21228</v>
      </c>
      <c r="D68" s="205">
        <v>35032.1</v>
      </c>
      <c r="E68" s="205">
        <f t="shared" si="27"/>
        <v>165.02779348030901</v>
      </c>
      <c r="F68" s="205">
        <v>24181.9</v>
      </c>
      <c r="G68" s="205">
        <f t="shared" si="28"/>
        <v>69.027834471813009</v>
      </c>
      <c r="H68" s="205">
        <v>32263.350000000002</v>
      </c>
      <c r="I68" s="205">
        <f t="shared" si="29"/>
        <v>133.41941700197253</v>
      </c>
      <c r="J68" s="205">
        <v>4032</v>
      </c>
      <c r="K68" s="205">
        <f t="shared" si="30"/>
        <v>12.49715234158883</v>
      </c>
      <c r="L68" s="205">
        <v>2225.2000000000003</v>
      </c>
      <c r="M68" s="205">
        <f t="shared" si="31"/>
        <v>55.18849206349207</v>
      </c>
      <c r="N68" s="205">
        <v>21975.9</v>
      </c>
      <c r="O68" s="205">
        <v>987.59212655042245</v>
      </c>
      <c r="P68" s="205">
        <f>'[1]05_23'!$O$41</f>
        <v>113407.6</v>
      </c>
      <c r="Q68" s="205">
        <f t="shared" si="32"/>
        <v>516.05440505280785</v>
      </c>
      <c r="R68" s="205">
        <f>'05_24'!Q41</f>
        <v>81071.199999999997</v>
      </c>
      <c r="S68" s="205">
        <f t="shared" si="33"/>
        <v>71.486567037835201</v>
      </c>
    </row>
    <row r="69" spans="1:19" s="194" customFormat="1" ht="18.600000000000001" customHeight="1" x14ac:dyDescent="0.25">
      <c r="A69" s="557" t="s">
        <v>36</v>
      </c>
      <c r="B69" s="558"/>
      <c r="C69" s="205">
        <v>39993.699999999997</v>
      </c>
      <c r="D69" s="205">
        <v>33713.149999999994</v>
      </c>
      <c r="E69" s="205">
        <f t="shared" si="27"/>
        <v>84.296151643883903</v>
      </c>
      <c r="F69" s="205">
        <v>29595.5</v>
      </c>
      <c r="G69" s="205">
        <f t="shared" si="28"/>
        <v>87.786219917154</v>
      </c>
      <c r="H69" s="205">
        <v>36203.699999999997</v>
      </c>
      <c r="I69" s="205">
        <f t="shared" si="29"/>
        <v>122.32839451943707</v>
      </c>
      <c r="J69" s="205">
        <v>14960.8</v>
      </c>
      <c r="K69" s="205">
        <f t="shared" si="30"/>
        <v>41.323953076619247</v>
      </c>
      <c r="L69" s="205">
        <v>19674.900000000001</v>
      </c>
      <c r="M69" s="205">
        <f t="shared" si="31"/>
        <v>131.50967862681142</v>
      </c>
      <c r="N69" s="205">
        <v>86423.1</v>
      </c>
      <c r="O69" s="205">
        <v>439.2555997743317</v>
      </c>
      <c r="P69" s="205">
        <f>'[1]06_23'!$O$40</f>
        <v>129826.3</v>
      </c>
      <c r="Q69" s="205">
        <f t="shared" si="32"/>
        <v>150.22175784020706</v>
      </c>
      <c r="R69" s="205">
        <f>'06_24'!Q40</f>
        <v>133804.4</v>
      </c>
      <c r="S69" s="205">
        <f t="shared" si="33"/>
        <v>103.06417112711368</v>
      </c>
    </row>
    <row r="70" spans="1:19" s="194" customFormat="1" ht="18.600000000000001" customHeight="1" x14ac:dyDescent="0.25">
      <c r="A70" s="557" t="s">
        <v>37</v>
      </c>
      <c r="B70" s="558"/>
      <c r="C70" s="205">
        <v>13847</v>
      </c>
      <c r="D70" s="205">
        <v>11978.800000000001</v>
      </c>
      <c r="E70" s="205">
        <f t="shared" si="27"/>
        <v>86.508268939120398</v>
      </c>
      <c r="F70" s="205">
        <v>7297</v>
      </c>
      <c r="G70" s="205">
        <f t="shared" si="28"/>
        <v>60.915951514342005</v>
      </c>
      <c r="H70" s="205">
        <v>17405.5</v>
      </c>
      <c r="I70" s="205">
        <f t="shared" si="29"/>
        <v>238.52953268466493</v>
      </c>
      <c r="J70" s="205">
        <v>17251.900000000001</v>
      </c>
      <c r="K70" s="205">
        <f t="shared" si="30"/>
        <v>99.117520324035524</v>
      </c>
      <c r="L70" s="205">
        <v>6609.7</v>
      </c>
      <c r="M70" s="205">
        <f t="shared" si="31"/>
        <v>38.312881479721071</v>
      </c>
      <c r="N70" s="205">
        <v>30782.7</v>
      </c>
      <c r="O70" s="205">
        <v>465.72007806708325</v>
      </c>
      <c r="P70" s="205">
        <f>'[1]07_23'!$O$42</f>
        <v>51511.35</v>
      </c>
      <c r="Q70" s="205">
        <f t="shared" si="32"/>
        <v>167.33863501252327</v>
      </c>
      <c r="R70" s="205">
        <f>'07_24'!Q41</f>
        <v>35192.400000000001</v>
      </c>
      <c r="S70" s="205">
        <f t="shared" si="33"/>
        <v>68.319700415539486</v>
      </c>
    </row>
    <row r="71" spans="1:19" s="194" customFormat="1" ht="18.600000000000001" customHeight="1" x14ac:dyDescent="0.25">
      <c r="A71" s="557" t="s">
        <v>38</v>
      </c>
      <c r="B71" s="558"/>
      <c r="C71" s="205">
        <v>26919.300000000007</v>
      </c>
      <c r="D71" s="205">
        <v>24012.7</v>
      </c>
      <c r="E71" s="205">
        <f t="shared" si="27"/>
        <v>89.20254241380718</v>
      </c>
      <c r="F71" s="205">
        <v>28338.560000000001</v>
      </c>
      <c r="G71" s="205">
        <f t="shared" si="28"/>
        <v>118.01488379066079</v>
      </c>
      <c r="H71" s="205">
        <v>30751.500000000004</v>
      </c>
      <c r="I71" s="205">
        <f t="shared" si="29"/>
        <v>108.51468811400439</v>
      </c>
      <c r="J71" s="205">
        <v>24989.1</v>
      </c>
      <c r="K71" s="205">
        <f t="shared" si="30"/>
        <v>81.26140188283496</v>
      </c>
      <c r="L71" s="205">
        <v>22782.400000000001</v>
      </c>
      <c r="M71" s="205">
        <f t="shared" si="31"/>
        <v>91.169349836528738</v>
      </c>
      <c r="N71" s="205">
        <v>57846.1</v>
      </c>
      <c r="O71" s="205">
        <v>253.90696326989251</v>
      </c>
      <c r="P71" s="205">
        <f>'[1]08_23'!$O$41</f>
        <v>64503.5</v>
      </c>
      <c r="Q71" s="205">
        <f t="shared" si="32"/>
        <v>111.50881390448103</v>
      </c>
      <c r="R71" s="205">
        <f>'08_24'!Q41</f>
        <v>104942.7</v>
      </c>
      <c r="S71" s="205">
        <f t="shared" si="33"/>
        <v>162.69303216104552</v>
      </c>
    </row>
    <row r="72" spans="1:19" s="194" customFormat="1" ht="18.600000000000001" customHeight="1" x14ac:dyDescent="0.25">
      <c r="A72" s="557" t="s">
        <v>39</v>
      </c>
      <c r="B72" s="558"/>
      <c r="C72" s="205">
        <v>44830.700000000004</v>
      </c>
      <c r="D72" s="205">
        <v>18434.400000000001</v>
      </c>
      <c r="E72" s="205">
        <f t="shared" si="27"/>
        <v>41.120036046726902</v>
      </c>
      <c r="F72" s="205">
        <v>36229.699999999997</v>
      </c>
      <c r="G72" s="205">
        <f t="shared" si="28"/>
        <v>196.53311200798504</v>
      </c>
      <c r="H72" s="205">
        <v>32759.1</v>
      </c>
      <c r="I72" s="205">
        <f t="shared" si="29"/>
        <v>90.420566551751747</v>
      </c>
      <c r="J72" s="205">
        <v>33121.599999999999</v>
      </c>
      <c r="K72" s="205">
        <f t="shared" si="30"/>
        <v>101.10656275660808</v>
      </c>
      <c r="L72" s="205">
        <v>37092.600000000006</v>
      </c>
      <c r="M72" s="205">
        <f t="shared" si="31"/>
        <v>111.98915511327958</v>
      </c>
      <c r="N72" s="205">
        <v>103036.25</v>
      </c>
      <c r="O72" s="205">
        <v>277.78114772218714</v>
      </c>
      <c r="P72" s="205">
        <f>'[1]09_23'!$O$40</f>
        <v>139672.1</v>
      </c>
      <c r="Q72" s="205">
        <f t="shared" si="32"/>
        <v>135.55627267102597</v>
      </c>
      <c r="R72" s="205">
        <f>'09_24'!Q41</f>
        <v>117671.2</v>
      </c>
      <c r="S72" s="205">
        <f t="shared" si="33"/>
        <v>84.248178412152456</v>
      </c>
    </row>
    <row r="73" spans="1:19" s="194" customFormat="1" ht="18.600000000000001" customHeight="1" x14ac:dyDescent="0.25">
      <c r="A73" s="557" t="s">
        <v>40</v>
      </c>
      <c r="B73" s="558"/>
      <c r="C73" s="205">
        <v>30507.799999999996</v>
      </c>
      <c r="D73" s="205">
        <v>25898.5</v>
      </c>
      <c r="E73" s="205">
        <f t="shared" si="27"/>
        <v>84.891404821062167</v>
      </c>
      <c r="F73" s="205">
        <v>29345.989999999998</v>
      </c>
      <c r="G73" s="205">
        <f t="shared" si="28"/>
        <v>113.31154313956407</v>
      </c>
      <c r="H73" s="205">
        <v>30033.400000000005</v>
      </c>
      <c r="I73" s="205">
        <f t="shared" si="29"/>
        <v>102.34243247544215</v>
      </c>
      <c r="J73" s="205">
        <v>36420.9</v>
      </c>
      <c r="K73" s="205">
        <f t="shared" si="30"/>
        <v>121.26798830635225</v>
      </c>
      <c r="L73" s="205">
        <v>19476.7</v>
      </c>
      <c r="M73" s="205">
        <f t="shared" si="31"/>
        <v>53.476712546916744</v>
      </c>
      <c r="N73" s="205">
        <v>74735.150000000009</v>
      </c>
      <c r="O73" s="205">
        <v>383.7156705191332</v>
      </c>
      <c r="P73" s="205">
        <f>'[1]10_23'!$O$42</f>
        <v>91583.1</v>
      </c>
      <c r="Q73" s="205">
        <f t="shared" si="32"/>
        <v>122.54354209498476</v>
      </c>
      <c r="R73" s="205">
        <f>'10_24'!Q41</f>
        <v>112360.6</v>
      </c>
      <c r="S73" s="205">
        <f t="shared" si="33"/>
        <v>122.68704597245562</v>
      </c>
    </row>
    <row r="74" spans="1:19" s="194" customFormat="1" ht="18.600000000000001" customHeight="1" x14ac:dyDescent="0.25">
      <c r="A74" s="557" t="s">
        <v>41</v>
      </c>
      <c r="B74" s="558"/>
      <c r="C74" s="205">
        <v>32303.099999999995</v>
      </c>
      <c r="D74" s="205">
        <v>44514.5</v>
      </c>
      <c r="E74" s="205">
        <f t="shared" si="27"/>
        <v>137.80256384062213</v>
      </c>
      <c r="F74" s="205">
        <v>36363.1</v>
      </c>
      <c r="G74" s="205">
        <f t="shared" si="28"/>
        <v>81.688213952756954</v>
      </c>
      <c r="H74" s="205">
        <v>39209</v>
      </c>
      <c r="I74" s="205">
        <f t="shared" si="29"/>
        <v>107.82634043852147</v>
      </c>
      <c r="J74" s="205">
        <v>11506.300000000003</v>
      </c>
      <c r="K74" s="205">
        <f t="shared" si="30"/>
        <v>29.346068504680058</v>
      </c>
      <c r="L74" s="205">
        <v>41572.15</v>
      </c>
      <c r="M74" s="205">
        <f t="shared" si="31"/>
        <v>361.29902748928839</v>
      </c>
      <c r="N74" s="205">
        <v>107188.7</v>
      </c>
      <c r="O74" s="205">
        <v>257.83775917290779</v>
      </c>
      <c r="P74" s="205">
        <f>'[1]11_23'!$O$40</f>
        <v>124284.7</v>
      </c>
      <c r="Q74" s="205">
        <f t="shared" si="32"/>
        <v>115.94944243189815</v>
      </c>
      <c r="R74" s="205">
        <f>'11_24'!Q40</f>
        <v>117804.49999999999</v>
      </c>
      <c r="S74" s="205">
        <f t="shared" si="33"/>
        <v>94.786003426004953</v>
      </c>
    </row>
    <row r="75" spans="1:19" s="194" customFormat="1" ht="18.600000000000001" customHeight="1" thickBot="1" x14ac:dyDescent="0.3">
      <c r="A75" s="559" t="s">
        <v>42</v>
      </c>
      <c r="B75" s="560"/>
      <c r="C75" s="205">
        <v>15482.599999999999</v>
      </c>
      <c r="D75" s="205">
        <v>11201.8</v>
      </c>
      <c r="E75" s="205">
        <f t="shared" si="27"/>
        <v>72.35089713613992</v>
      </c>
      <c r="F75" s="207">
        <v>10379.700000000001</v>
      </c>
      <c r="G75" s="205">
        <f t="shared" si="28"/>
        <v>92.66100091056795</v>
      </c>
      <c r="H75" s="207">
        <v>9165.9</v>
      </c>
      <c r="I75" s="205">
        <f t="shared" si="29"/>
        <v>88.306020405214014</v>
      </c>
      <c r="J75" s="205">
        <v>6161</v>
      </c>
      <c r="K75" s="205">
        <f t="shared" si="30"/>
        <v>67.216530837124566</v>
      </c>
      <c r="L75" s="205">
        <v>10170</v>
      </c>
      <c r="M75" s="205">
        <f t="shared" si="31"/>
        <v>165.07060542119785</v>
      </c>
      <c r="N75" s="205">
        <v>23672.300000000003</v>
      </c>
      <c r="O75" s="205">
        <v>232.76597836774829</v>
      </c>
      <c r="P75" s="205">
        <f>'[1]12_23'!$O$41</f>
        <v>30247.499999999996</v>
      </c>
      <c r="Q75" s="205">
        <f t="shared" si="32"/>
        <v>127.77592375899256</v>
      </c>
      <c r="R75" s="205">
        <f>'12_24'!Q42</f>
        <v>48670.000000000007</v>
      </c>
      <c r="S75" s="205">
        <f t="shared" si="33"/>
        <v>160.90585998842883</v>
      </c>
    </row>
    <row r="76" spans="1:19" ht="18.600000000000001" customHeight="1" thickBot="1" x14ac:dyDescent="0.3">
      <c r="A76" s="208" t="s">
        <v>16</v>
      </c>
      <c r="B76" s="209"/>
      <c r="C76" s="210">
        <f>SUM(C64:C75)</f>
        <v>336827.4</v>
      </c>
      <c r="D76" s="210">
        <f>SUM(D64:D75)</f>
        <v>305307.05</v>
      </c>
      <c r="E76" s="211">
        <f t="shared" si="27"/>
        <v>90.641987558019324</v>
      </c>
      <c r="F76" s="210">
        <f>SUM(F64:F75)</f>
        <v>298236.44999999995</v>
      </c>
      <c r="G76" s="211">
        <f t="shared" si="28"/>
        <v>97.68410195571964</v>
      </c>
      <c r="H76" s="210">
        <f>SUM(H64:H75)</f>
        <v>278968.95</v>
      </c>
      <c r="I76" s="211">
        <f t="shared" si="29"/>
        <v>93.53952208055054</v>
      </c>
      <c r="J76" s="375">
        <f>SUM(J64:J75)</f>
        <v>192833.95</v>
      </c>
      <c r="K76" s="376">
        <f t="shared" si="30"/>
        <v>69.123803921547548</v>
      </c>
      <c r="L76" s="375">
        <f>SUM(L64:L75)</f>
        <v>193571.55000000002</v>
      </c>
      <c r="M76" s="376">
        <f t="shared" si="31"/>
        <v>100.38250525905839</v>
      </c>
      <c r="N76" s="375">
        <v>512032.30000000005</v>
      </c>
      <c r="O76" s="376">
        <v>264.51836543128371</v>
      </c>
      <c r="P76" s="375">
        <f>SUM(P64:P75)</f>
        <v>1009545.95</v>
      </c>
      <c r="Q76" s="376">
        <f t="shared" si="32"/>
        <v>197.16450505173205</v>
      </c>
      <c r="R76" s="375">
        <f>SUM(R64:R75)</f>
        <v>1118026.0999999999</v>
      </c>
      <c r="S76" s="376">
        <f>SUM(100/P76*R76)</f>
        <v>110.745439571126</v>
      </c>
    </row>
    <row r="77" spans="1:19" ht="17.25" thickBot="1" x14ac:dyDescent="0.3"/>
    <row r="78" spans="1:19" ht="20.25" x14ac:dyDescent="0.25">
      <c r="A78" s="561" t="s">
        <v>23</v>
      </c>
      <c r="B78" s="562"/>
      <c r="C78" s="202">
        <v>2016</v>
      </c>
      <c r="D78" s="378">
        <v>2017</v>
      </c>
      <c r="E78" s="374" t="s">
        <v>19</v>
      </c>
      <c r="F78" s="484">
        <v>2018</v>
      </c>
      <c r="G78" s="204" t="s">
        <v>19</v>
      </c>
      <c r="H78" s="378">
        <v>2019</v>
      </c>
      <c r="I78" s="374" t="s">
        <v>19</v>
      </c>
      <c r="J78" s="484">
        <v>2020</v>
      </c>
      <c r="K78" s="204" t="s">
        <v>19</v>
      </c>
      <c r="L78" s="484">
        <v>2021</v>
      </c>
      <c r="M78" s="204" t="s">
        <v>19</v>
      </c>
      <c r="N78" s="319">
        <v>2022</v>
      </c>
      <c r="O78" s="374" t="s">
        <v>19</v>
      </c>
      <c r="P78" s="378">
        <v>2023</v>
      </c>
      <c r="Q78" s="378" t="s">
        <v>19</v>
      </c>
      <c r="R78" s="378">
        <v>2024</v>
      </c>
      <c r="S78" s="374" t="s">
        <v>19</v>
      </c>
    </row>
    <row r="79" spans="1:19" x14ac:dyDescent="0.25">
      <c r="A79" s="563" t="s">
        <v>31</v>
      </c>
      <c r="B79" s="564"/>
      <c r="C79" s="205">
        <v>383.70000000000005</v>
      </c>
      <c r="D79" s="205">
        <v>981.2</v>
      </c>
      <c r="E79" s="193">
        <f>SUM(100/C79*D79)</f>
        <v>255.72061506385194</v>
      </c>
      <c r="F79" s="489">
        <v>359</v>
      </c>
      <c r="G79" s="193">
        <f>SUM(100/D79*F79)</f>
        <v>36.587851610273134</v>
      </c>
      <c r="H79" s="489">
        <v>150.5</v>
      </c>
      <c r="I79" s="193">
        <f>SUM(100/F79*H79)</f>
        <v>41.922005571030645</v>
      </c>
      <c r="J79" s="205">
        <v>1774.5</v>
      </c>
      <c r="K79" s="193">
        <f>SUM(100/H79*J79)</f>
        <v>1179.0697674418604</v>
      </c>
      <c r="L79" s="205">
        <v>0</v>
      </c>
      <c r="M79" s="193">
        <f>SUM(100/J79*L79)</f>
        <v>0</v>
      </c>
      <c r="N79" s="206">
        <v>3699.7</v>
      </c>
      <c r="O79" s="206">
        <v>0</v>
      </c>
      <c r="P79" s="206">
        <f>'[1]01_23'!$E$42</f>
        <v>2304.6999999999998</v>
      </c>
      <c r="Q79" s="206">
        <f>SUM(100/N79*P79)</f>
        <v>62.294240073519475</v>
      </c>
      <c r="R79" s="206">
        <f>'01_24'!E41</f>
        <v>2166.9</v>
      </c>
      <c r="S79" s="206">
        <f>SUM(100/P79*R79)</f>
        <v>94.020913784874395</v>
      </c>
    </row>
    <row r="80" spans="1:19" x14ac:dyDescent="0.25">
      <c r="A80" s="557" t="s">
        <v>32</v>
      </c>
      <c r="B80" s="558"/>
      <c r="C80" s="205">
        <v>2257</v>
      </c>
      <c r="D80" s="205">
        <v>5516.5000000000009</v>
      </c>
      <c r="E80" s="193">
        <f t="shared" ref="E80:E91" si="34">SUM(100/C80*D80)</f>
        <v>244.41736818786003</v>
      </c>
      <c r="F80" s="489">
        <v>165.29999999999998</v>
      </c>
      <c r="G80" s="193">
        <f t="shared" ref="G80:G91" si="35">SUM(100/D80*F80)</f>
        <v>2.9964651500045312</v>
      </c>
      <c r="H80" s="489">
        <v>19598.8</v>
      </c>
      <c r="I80" s="193">
        <f>SUM(100/F80*H80)</f>
        <v>11856.503327283728</v>
      </c>
      <c r="J80" s="205">
        <v>6831.5999999999995</v>
      </c>
      <c r="K80" s="193">
        <f t="shared" ref="K80:K91" si="36">SUM(100/H80*J80)</f>
        <v>34.857236157315754</v>
      </c>
      <c r="L80" s="205">
        <v>0</v>
      </c>
      <c r="M80" s="193">
        <f t="shared" ref="M80:M91" si="37">SUM(100/J80*L80)</f>
        <v>0</v>
      </c>
      <c r="N80" s="206">
        <v>0</v>
      </c>
      <c r="O80" s="206">
        <v>0</v>
      </c>
      <c r="P80" s="206">
        <f>'[1]02_23'!$E$38</f>
        <v>13637</v>
      </c>
      <c r="Q80" s="206" t="e">
        <f t="shared" ref="Q80:Q91" si="38">SUM(100/N80*P80)</f>
        <v>#DIV/0!</v>
      </c>
      <c r="R80" s="206">
        <f>'02_24'!E39</f>
        <v>8837.1</v>
      </c>
      <c r="S80" s="206">
        <f t="shared" ref="S80:S91" si="39">SUM(100/P80*R80)</f>
        <v>64.802375889125173</v>
      </c>
    </row>
    <row r="81" spans="1:19" x14ac:dyDescent="0.25">
      <c r="A81" s="557" t="s">
        <v>33</v>
      </c>
      <c r="B81" s="558"/>
      <c r="C81" s="205">
        <v>13480.499999999996</v>
      </c>
      <c r="D81" s="205">
        <v>40114.300000000003</v>
      </c>
      <c r="E81" s="193">
        <f t="shared" si="34"/>
        <v>297.57279032676843</v>
      </c>
      <c r="F81" s="489">
        <v>9456.2999999999993</v>
      </c>
      <c r="G81" s="193">
        <f t="shared" si="35"/>
        <v>23.573389040815865</v>
      </c>
      <c r="H81" s="489">
        <v>44995.450000000004</v>
      </c>
      <c r="I81" s="193">
        <f t="shared" ref="I81:I91" si="40">SUM(100/F81*H81)</f>
        <v>475.82511130146048</v>
      </c>
      <c r="J81" s="205">
        <v>12082.599999999999</v>
      </c>
      <c r="K81" s="193">
        <f t="shared" si="36"/>
        <v>26.852937352554534</v>
      </c>
      <c r="L81" s="205">
        <v>153.30000000000001</v>
      </c>
      <c r="M81" s="193">
        <f t="shared" si="37"/>
        <v>1.268766656183272</v>
      </c>
      <c r="N81" s="206">
        <v>45490.9</v>
      </c>
      <c r="O81" s="206">
        <v>29674.429223744293</v>
      </c>
      <c r="P81" s="206">
        <f>'[1]03_23'!$E$41</f>
        <v>13333.4</v>
      </c>
      <c r="Q81" s="206">
        <f t="shared" si="38"/>
        <v>29.310037831742171</v>
      </c>
      <c r="R81" s="206">
        <f>'03_24'!E41</f>
        <v>15026.7</v>
      </c>
      <c r="S81" s="206">
        <f t="shared" si="39"/>
        <v>112.69968650156751</v>
      </c>
    </row>
    <row r="82" spans="1:19" x14ac:dyDescent="0.25">
      <c r="A82" s="557" t="s">
        <v>34</v>
      </c>
      <c r="B82" s="558"/>
      <c r="C82" s="205">
        <v>36441.599999999999</v>
      </c>
      <c r="D82" s="205">
        <v>68636</v>
      </c>
      <c r="E82" s="193">
        <f t="shared" si="34"/>
        <v>188.34518791710573</v>
      </c>
      <c r="F82" s="489">
        <v>146216.89999999997</v>
      </c>
      <c r="G82" s="193">
        <f t="shared" si="35"/>
        <v>213.03237368144994</v>
      </c>
      <c r="H82" s="489">
        <v>71598.8</v>
      </c>
      <c r="I82" s="193">
        <f t="shared" si="40"/>
        <v>48.967527009531743</v>
      </c>
      <c r="J82" s="205">
        <v>0</v>
      </c>
      <c r="K82" s="193">
        <f t="shared" si="36"/>
        <v>0</v>
      </c>
      <c r="L82" s="205">
        <v>72426.5</v>
      </c>
      <c r="M82" s="193" t="e">
        <f t="shared" si="37"/>
        <v>#DIV/0!</v>
      </c>
      <c r="N82" s="206">
        <v>74786.7</v>
      </c>
      <c r="O82" s="206">
        <v>103.25875197614133</v>
      </c>
      <c r="P82" s="206">
        <f>'[1]04_23'!$E$40</f>
        <v>22135.201000000001</v>
      </c>
      <c r="Q82" s="206">
        <f t="shared" si="38"/>
        <v>29.597777412293901</v>
      </c>
      <c r="R82" s="206">
        <f>'04_24'!E40</f>
        <v>93116.099999999991</v>
      </c>
      <c r="S82" s="206">
        <f t="shared" si="39"/>
        <v>420.66977390447005</v>
      </c>
    </row>
    <row r="83" spans="1:19" x14ac:dyDescent="0.25">
      <c r="A83" s="557" t="s">
        <v>35</v>
      </c>
      <c r="B83" s="558"/>
      <c r="C83" s="205">
        <v>124727.20000000001</v>
      </c>
      <c r="D83" s="205">
        <v>165296.50000000003</v>
      </c>
      <c r="E83" s="193">
        <f t="shared" si="34"/>
        <v>132.52642567138525</v>
      </c>
      <c r="F83" s="489">
        <v>162964.35000000003</v>
      </c>
      <c r="G83" s="193">
        <f t="shared" si="35"/>
        <v>98.589111082206827</v>
      </c>
      <c r="H83" s="489">
        <v>67678.3</v>
      </c>
      <c r="I83" s="193">
        <f t="shared" si="40"/>
        <v>41.529512436308913</v>
      </c>
      <c r="J83" s="205">
        <v>145653.09999999998</v>
      </c>
      <c r="K83" s="193">
        <f t="shared" si="36"/>
        <v>215.21388687363597</v>
      </c>
      <c r="L83" s="205">
        <v>151248</v>
      </c>
      <c r="M83" s="193">
        <f t="shared" si="37"/>
        <v>103.84125020339424</v>
      </c>
      <c r="N83" s="206">
        <v>222977.8</v>
      </c>
      <c r="O83" s="206">
        <v>145.75551412250078</v>
      </c>
      <c r="P83" s="206">
        <f>'[1]05_23'!$E$41</f>
        <v>170970.75</v>
      </c>
      <c r="Q83" s="206">
        <f t="shared" si="38"/>
        <v>76.676130987031001</v>
      </c>
      <c r="R83" s="206">
        <f>'05_24'!E41</f>
        <v>151015.30000000002</v>
      </c>
      <c r="S83" s="206">
        <f t="shared" si="39"/>
        <v>88.328149698120882</v>
      </c>
    </row>
    <row r="84" spans="1:19" x14ac:dyDescent="0.25">
      <c r="A84" s="557" t="s">
        <v>36</v>
      </c>
      <c r="B84" s="558"/>
      <c r="C84" s="205">
        <v>108469.10000000002</v>
      </c>
      <c r="D84" s="205">
        <v>247120.75</v>
      </c>
      <c r="E84" s="193">
        <f t="shared" si="34"/>
        <v>227.82594305659396</v>
      </c>
      <c r="F84" s="489">
        <v>260935.19999999998</v>
      </c>
      <c r="G84" s="193">
        <f t="shared" si="35"/>
        <v>105.59016189453941</v>
      </c>
      <c r="H84" s="489">
        <v>262396.59999999998</v>
      </c>
      <c r="I84" s="193">
        <f t="shared" si="40"/>
        <v>100.56006242162805</v>
      </c>
      <c r="J84" s="205">
        <v>207982.15999999997</v>
      </c>
      <c r="K84" s="193">
        <f t="shared" si="36"/>
        <v>79.262520932054755</v>
      </c>
      <c r="L84" s="205">
        <v>270969</v>
      </c>
      <c r="M84" s="193">
        <f t="shared" si="37"/>
        <v>130.28473211356206</v>
      </c>
      <c r="N84" s="206">
        <v>311201.40000000002</v>
      </c>
      <c r="O84" s="206">
        <v>114.84760249327415</v>
      </c>
      <c r="P84" s="206">
        <f>'[1]06_23'!$E$40</f>
        <v>450268.60000000003</v>
      </c>
      <c r="Q84" s="206">
        <f t="shared" si="38"/>
        <v>144.68720256399874</v>
      </c>
      <c r="R84" s="206">
        <f>'06_24'!E40</f>
        <v>174785.85</v>
      </c>
      <c r="S84" s="206">
        <f t="shared" si="39"/>
        <v>38.818129889581463</v>
      </c>
    </row>
    <row r="85" spans="1:19" x14ac:dyDescent="0.25">
      <c r="A85" s="557" t="s">
        <v>37</v>
      </c>
      <c r="B85" s="558"/>
      <c r="C85" s="205">
        <v>291868.79999999999</v>
      </c>
      <c r="D85" s="205">
        <v>233439.9</v>
      </c>
      <c r="E85" s="193">
        <f t="shared" si="34"/>
        <v>79.981107949873376</v>
      </c>
      <c r="F85" s="489">
        <v>325178.10000000003</v>
      </c>
      <c r="G85" s="193">
        <f t="shared" si="35"/>
        <v>139.29842327725467</v>
      </c>
      <c r="H85" s="489">
        <v>336010.10000000003</v>
      </c>
      <c r="I85" s="193">
        <f t="shared" si="40"/>
        <v>103.33109763541887</v>
      </c>
      <c r="J85" s="205">
        <v>367791.2</v>
      </c>
      <c r="K85" s="193">
        <f t="shared" si="36"/>
        <v>109.45837639999512</v>
      </c>
      <c r="L85" s="205">
        <v>254315</v>
      </c>
      <c r="M85" s="193">
        <f t="shared" si="37"/>
        <v>69.146570119132804</v>
      </c>
      <c r="N85" s="206">
        <v>485668</v>
      </c>
      <c r="O85" s="206">
        <v>122.36848003460275</v>
      </c>
      <c r="P85" s="206">
        <f>'[1]07_23'!$E$42</f>
        <v>391307.85000000003</v>
      </c>
      <c r="Q85" s="206">
        <f t="shared" si="38"/>
        <v>80.571058830312083</v>
      </c>
      <c r="R85" s="206">
        <f>'07_24'!E41</f>
        <v>403154.94</v>
      </c>
      <c r="S85" s="206">
        <f t="shared" si="39"/>
        <v>103.02756256998165</v>
      </c>
    </row>
    <row r="86" spans="1:19" x14ac:dyDescent="0.25">
      <c r="A86" s="557" t="s">
        <v>38</v>
      </c>
      <c r="B86" s="558"/>
      <c r="C86" s="205">
        <v>275014.09999999998</v>
      </c>
      <c r="D86" s="205">
        <v>257684.69999999998</v>
      </c>
      <c r="E86" s="193">
        <f t="shared" si="34"/>
        <v>93.698723083652808</v>
      </c>
      <c r="F86" s="489">
        <v>272179.25000000006</v>
      </c>
      <c r="G86" s="193">
        <f t="shared" si="35"/>
        <v>105.62491680724547</v>
      </c>
      <c r="H86" s="489">
        <v>253137.99999999994</v>
      </c>
      <c r="I86" s="193">
        <f t="shared" si="40"/>
        <v>93.004150757267467</v>
      </c>
      <c r="J86" s="205">
        <v>325689.95000000007</v>
      </c>
      <c r="K86" s="193">
        <f t="shared" si="36"/>
        <v>128.6610267917105</v>
      </c>
      <c r="L86" s="205">
        <v>244769.7</v>
      </c>
      <c r="M86" s="193">
        <f t="shared" si="37"/>
        <v>75.154207245264999</v>
      </c>
      <c r="N86" s="206">
        <v>393271.65</v>
      </c>
      <c r="O86" s="206">
        <v>198.41834998367852</v>
      </c>
      <c r="P86" s="206">
        <f>'[1]08_23'!$E$41</f>
        <v>302379.90000000002</v>
      </c>
      <c r="Q86" s="206">
        <f t="shared" si="38"/>
        <v>76.888303542856434</v>
      </c>
      <c r="R86" s="206">
        <f>'08_24'!E41</f>
        <v>440200.72</v>
      </c>
      <c r="S86" s="206">
        <f t="shared" si="39"/>
        <v>145.57869752586066</v>
      </c>
    </row>
    <row r="87" spans="1:19" x14ac:dyDescent="0.25">
      <c r="A87" s="557" t="s">
        <v>39</v>
      </c>
      <c r="B87" s="558"/>
      <c r="C87" s="205">
        <v>167609.09999999995</v>
      </c>
      <c r="D87" s="205">
        <v>54967.999999999993</v>
      </c>
      <c r="E87" s="193">
        <f t="shared" si="34"/>
        <v>32.795355383448758</v>
      </c>
      <c r="F87" s="489">
        <v>149342.80000000002</v>
      </c>
      <c r="G87" s="193">
        <f t="shared" si="35"/>
        <v>271.69043807306076</v>
      </c>
      <c r="H87" s="489">
        <v>128747.7</v>
      </c>
      <c r="I87" s="193">
        <f t="shared" si="40"/>
        <v>86.209512611254098</v>
      </c>
      <c r="J87" s="205">
        <v>227815.2</v>
      </c>
      <c r="K87" s="193">
        <f t="shared" si="36"/>
        <v>176.94700565524667</v>
      </c>
      <c r="L87" s="205">
        <v>226467.29999999996</v>
      </c>
      <c r="M87" s="193">
        <f t="shared" si="37"/>
        <v>99.408336230418328</v>
      </c>
      <c r="N87" s="206">
        <v>122627.99999999999</v>
      </c>
      <c r="O87" s="206">
        <v>54.148214775378172</v>
      </c>
      <c r="P87" s="206">
        <f>'[1]09_23'!$E$40</f>
        <v>294369.60000000003</v>
      </c>
      <c r="Q87" s="206">
        <f t="shared" si="38"/>
        <v>240.05088560524518</v>
      </c>
      <c r="R87" s="206">
        <f>'09_24'!E41</f>
        <v>110609.75</v>
      </c>
      <c r="S87" s="206">
        <f t="shared" si="39"/>
        <v>37.5751266435121</v>
      </c>
    </row>
    <row r="88" spans="1:19" x14ac:dyDescent="0.25">
      <c r="A88" s="557" t="s">
        <v>40</v>
      </c>
      <c r="B88" s="558"/>
      <c r="C88" s="205">
        <v>6537.3</v>
      </c>
      <c r="D88" s="205">
        <v>57324.600000000006</v>
      </c>
      <c r="E88" s="193">
        <f t="shared" si="34"/>
        <v>876.8849525033271</v>
      </c>
      <c r="F88" s="489">
        <v>51877.500000000007</v>
      </c>
      <c r="G88" s="193">
        <f t="shared" si="35"/>
        <v>90.497796757413056</v>
      </c>
      <c r="H88" s="489">
        <v>38885.9</v>
      </c>
      <c r="I88" s="193">
        <f t="shared" si="40"/>
        <v>74.957158691147399</v>
      </c>
      <c r="J88" s="205">
        <v>21752.2</v>
      </c>
      <c r="K88" s="193">
        <f t="shared" si="36"/>
        <v>55.938527846854512</v>
      </c>
      <c r="L88" s="205">
        <v>57480</v>
      </c>
      <c r="M88" s="193">
        <f t="shared" si="37"/>
        <v>264.24913342098728</v>
      </c>
      <c r="N88" s="206">
        <v>62828.55</v>
      </c>
      <c r="O88" s="206">
        <v>109.30506263048018</v>
      </c>
      <c r="P88" s="206">
        <f>'[1]10_23'!$E$42</f>
        <v>112605.50000000001</v>
      </c>
      <c r="Q88" s="206">
        <f t="shared" si="38"/>
        <v>179.22664139153301</v>
      </c>
      <c r="R88" s="206">
        <f>'10_24'!E41</f>
        <v>14928.900000000001</v>
      </c>
      <c r="S88" s="206">
        <f t="shared" si="39"/>
        <v>13.257700556367139</v>
      </c>
    </row>
    <row r="89" spans="1:19" x14ac:dyDescent="0.25">
      <c r="A89" s="557" t="s">
        <v>41</v>
      </c>
      <c r="B89" s="558"/>
      <c r="C89" s="205">
        <v>2474.4</v>
      </c>
      <c r="D89" s="205">
        <v>4993.1000000000004</v>
      </c>
      <c r="E89" s="193">
        <f t="shared" si="34"/>
        <v>201.79033301002264</v>
      </c>
      <c r="F89" s="489">
        <v>1968.4999999999998</v>
      </c>
      <c r="G89" s="193">
        <f t="shared" si="35"/>
        <v>39.424405679838173</v>
      </c>
      <c r="H89" s="490">
        <v>190.1</v>
      </c>
      <c r="I89" s="193">
        <f t="shared" si="40"/>
        <v>9.6570993141986285</v>
      </c>
      <c r="J89" s="205">
        <v>16591.300000000003</v>
      </c>
      <c r="K89" s="193">
        <f t="shared" si="36"/>
        <v>8727.6696475539211</v>
      </c>
      <c r="L89" s="205">
        <v>3731.9</v>
      </c>
      <c r="M89" s="193">
        <f t="shared" si="37"/>
        <v>22.493113860878889</v>
      </c>
      <c r="N89" s="206">
        <v>3435.0000000000005</v>
      </c>
      <c r="O89" s="206">
        <v>92.044266995364296</v>
      </c>
      <c r="P89" s="206">
        <f>'[1]11_23'!$E$40</f>
        <v>373.40000000000003</v>
      </c>
      <c r="Q89" s="206">
        <f t="shared" si="38"/>
        <v>10.870451237263463</v>
      </c>
      <c r="R89" s="206">
        <f>'11_24'!E40</f>
        <v>1808.1</v>
      </c>
      <c r="S89" s="206">
        <f t="shared" si="39"/>
        <v>484.22603106588099</v>
      </c>
    </row>
    <row r="90" spans="1:19" ht="17.25" thickBot="1" x14ac:dyDescent="0.3">
      <c r="A90" s="559" t="s">
        <v>42</v>
      </c>
      <c r="B90" s="560"/>
      <c r="C90" s="205">
        <v>633.6</v>
      </c>
      <c r="D90" s="205">
        <v>1051.4000000000001</v>
      </c>
      <c r="E90" s="197">
        <f t="shared" si="34"/>
        <v>165.94065656565658</v>
      </c>
      <c r="F90" s="492">
        <v>55.3</v>
      </c>
      <c r="G90" s="197">
        <f t="shared" si="35"/>
        <v>5.2596537949400792</v>
      </c>
      <c r="H90" s="491">
        <v>231.2</v>
      </c>
      <c r="I90" s="197">
        <f t="shared" si="40"/>
        <v>418.08318264014468</v>
      </c>
      <c r="J90" s="488">
        <v>94.300000000000011</v>
      </c>
      <c r="K90" s="197">
        <f t="shared" si="36"/>
        <v>40.787197231833915</v>
      </c>
      <c r="L90" s="488">
        <v>1752.8000000000002</v>
      </c>
      <c r="M90" s="197">
        <f t="shared" si="37"/>
        <v>1858.7486744432661</v>
      </c>
      <c r="N90" s="206">
        <v>67.8</v>
      </c>
      <c r="O90" s="206">
        <v>3.8680967594705611</v>
      </c>
      <c r="P90" s="206">
        <f>'[1]12_23'!$E$41</f>
        <v>1328.1</v>
      </c>
      <c r="Q90" s="206">
        <f>SUM(100/N90*P90)</f>
        <v>1958.8495575221239</v>
      </c>
      <c r="R90" s="206">
        <f>'12_24'!E42</f>
        <v>232.6</v>
      </c>
      <c r="S90" s="206">
        <f t="shared" si="39"/>
        <v>17.5137414351329</v>
      </c>
    </row>
    <row r="91" spans="1:19" ht="17.25" thickBot="1" x14ac:dyDescent="0.3">
      <c r="A91" s="208" t="s">
        <v>16</v>
      </c>
      <c r="B91" s="209"/>
      <c r="C91" s="210">
        <f>SUM(C79:C90)</f>
        <v>1029896.4</v>
      </c>
      <c r="D91" s="375">
        <f>SUM(D79:D90)</f>
        <v>1137126.95</v>
      </c>
      <c r="E91" s="376">
        <f t="shared" si="34"/>
        <v>110.41178025284873</v>
      </c>
      <c r="F91" s="487">
        <f>SUM(F79:F90)</f>
        <v>1380698.5</v>
      </c>
      <c r="G91" s="376">
        <f t="shared" si="35"/>
        <v>121.41990830487309</v>
      </c>
      <c r="H91" s="487">
        <f>SUM(H79:H90)</f>
        <v>1223621.45</v>
      </c>
      <c r="I91" s="376">
        <f t="shared" si="40"/>
        <v>88.623363464217562</v>
      </c>
      <c r="J91" s="375">
        <f>SUM(J79:J90)</f>
        <v>1334058.1099999999</v>
      </c>
      <c r="K91" s="376">
        <f t="shared" si="36"/>
        <v>109.0253942508118</v>
      </c>
      <c r="L91" s="375">
        <f>SUM(L79:L90)</f>
        <v>1283313.5</v>
      </c>
      <c r="M91" s="376">
        <f t="shared" si="37"/>
        <v>96.196221917199708</v>
      </c>
      <c r="N91" s="375">
        <f>SUM(N79:N90)</f>
        <v>1726055.5</v>
      </c>
      <c r="O91" s="376">
        <v>127.90793130439287</v>
      </c>
      <c r="P91" s="375">
        <f>SUM(P79:P90)</f>
        <v>1775014.0010000002</v>
      </c>
      <c r="Q91" s="376">
        <f t="shared" si="38"/>
        <v>102.83643839957639</v>
      </c>
      <c r="R91" s="375">
        <f>SUM(R79:R90)</f>
        <v>1415882.96</v>
      </c>
      <c r="S91" s="376">
        <f t="shared" si="39"/>
        <v>79.767424888047401</v>
      </c>
    </row>
  </sheetData>
  <customSheetViews>
    <customSheetView guid="{512075D7-6EE7-4EEF-842F-09AF15E6D8B5}" fitToPage="1">
      <selection activeCell="P9" sqref="P9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64" fitToHeight="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howPageBreaks="1" fitToPage="1">
      <selection activeCell="P9" sqref="P9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64" fitToHeight="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howPageBreaks="1" fitToPage="1">
      <selection activeCell="V8" sqref="V8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64" fitToHeight="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fitToPage="1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3" fitToHeight="0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howPageBreaks="1" fitToPage="1" topLeftCell="A43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64" fitToHeight="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howPageBreaks="1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2" fitToHeight="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howPageBreaks="1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64" fitToHeight="0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fitToPage="1">
      <selection activeCell="U19" sqref="U19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2" fitToHeight="0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fitToPage="1">
      <selection activeCell="V8" sqref="V8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64" fitToHeight="0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78">
    <mergeCell ref="A71:B71"/>
    <mergeCell ref="A72:B72"/>
    <mergeCell ref="A73:B73"/>
    <mergeCell ref="A74:B74"/>
    <mergeCell ref="A75:B75"/>
    <mergeCell ref="A70:B70"/>
    <mergeCell ref="A57:B57"/>
    <mergeCell ref="A58:B58"/>
    <mergeCell ref="A59:B59"/>
    <mergeCell ref="A60:B60"/>
    <mergeCell ref="A63:B63"/>
    <mergeCell ref="A64:B64"/>
    <mergeCell ref="A65:B65"/>
    <mergeCell ref="A66:B66"/>
    <mergeCell ref="A67:B67"/>
    <mergeCell ref="A68:B68"/>
    <mergeCell ref="A69:B69"/>
    <mergeCell ref="A56:B56"/>
    <mergeCell ref="A43:B43"/>
    <mergeCell ref="A44:B44"/>
    <mergeCell ref="A45:B45"/>
    <mergeCell ref="A48:B48"/>
    <mergeCell ref="A49:B49"/>
    <mergeCell ref="A50:B50"/>
    <mergeCell ref="A51:B51"/>
    <mergeCell ref="A52:B52"/>
    <mergeCell ref="A53:B53"/>
    <mergeCell ref="A54:B54"/>
    <mergeCell ref="A55:B55"/>
    <mergeCell ref="A42:B42"/>
    <mergeCell ref="A29:B29"/>
    <mergeCell ref="A30:B30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28:B28"/>
    <mergeCell ref="A15:B15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14:B14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78:B78"/>
    <mergeCell ref="A79:B79"/>
    <mergeCell ref="A80:B80"/>
    <mergeCell ref="A81:B81"/>
    <mergeCell ref="A82:B82"/>
    <mergeCell ref="A88:B88"/>
    <mergeCell ref="A89:B89"/>
    <mergeCell ref="A90:B90"/>
    <mergeCell ref="A83:B83"/>
    <mergeCell ref="A84:B84"/>
    <mergeCell ref="A85:B85"/>
    <mergeCell ref="A86:B86"/>
    <mergeCell ref="A87:B87"/>
  </mergeCells>
  <pageMargins left="0.59055118110236227" right="0.59055118110236227" top="1.1811023622047245" bottom="0.59055118110236227" header="0.11811023622047245" footer="0.31496062992125984"/>
  <pageSetup paperSize="9" scale="64" fitToHeight="0" orientation="landscape" r:id="rId12"/>
  <headerFooter>
    <oddHeader>&amp;L&amp;G</oddHeader>
    <oddFooter>&amp;L&amp;"DIN Offc Light,Standard"&amp;7&amp;F / Version &amp;D&amp;R&amp;"DIN Offc Light,Standard"&amp;7Seite &amp;P von &amp;N</oddFooter>
  </headerFooter>
  <rowBreaks count="2" manualBreakCount="2">
    <brk id="31" max="16383" man="1"/>
    <brk id="61" max="16383" man="1"/>
  </rowBreaks>
  <legacyDrawingHF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12</vt:i4>
      </vt:variant>
    </vt:vector>
  </HeadingPairs>
  <TitlesOfParts>
    <vt:vector size="27" baseType="lpstr">
      <vt:lpstr>01_24</vt:lpstr>
      <vt:lpstr>02_24</vt:lpstr>
      <vt:lpstr>03_24</vt:lpstr>
      <vt:lpstr>04_24</vt:lpstr>
      <vt:lpstr>05_24</vt:lpstr>
      <vt:lpstr>06_24</vt:lpstr>
      <vt:lpstr>07_24</vt:lpstr>
      <vt:lpstr>08_24</vt:lpstr>
      <vt:lpstr>09_24</vt:lpstr>
      <vt:lpstr>10_24</vt:lpstr>
      <vt:lpstr>11_24</vt:lpstr>
      <vt:lpstr>12_24</vt:lpstr>
      <vt:lpstr>Jahresumsatz Monat 2024</vt:lpstr>
      <vt:lpstr>Jahresvergleich</vt:lpstr>
      <vt:lpstr>Monatsentwicklung</vt:lpstr>
      <vt:lpstr>'01_24'!Druckbereich</vt:lpstr>
      <vt:lpstr>'02_24'!Druckbereich</vt:lpstr>
      <vt:lpstr>'03_24'!Druckbereich</vt:lpstr>
      <vt:lpstr>'04_24'!Druckbereich</vt:lpstr>
      <vt:lpstr>'05_24'!Druckbereich</vt:lpstr>
      <vt:lpstr>'06_24'!Druckbereich</vt:lpstr>
      <vt:lpstr>'07_24'!Druckbereich</vt:lpstr>
      <vt:lpstr>'08_24'!Druckbereich</vt:lpstr>
      <vt:lpstr>'09_24'!Druckbereich</vt:lpstr>
      <vt:lpstr>'10_24'!Druckbereich</vt:lpstr>
      <vt:lpstr>'11_24'!Druckbereich</vt:lpstr>
      <vt:lpstr>'12_24'!Druckbereich</vt:lpstr>
    </vt:vector>
  </TitlesOfParts>
  <Company>Hotel Seerose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Sonne Seehotel Stefan Fuchs</dc:creator>
  <cp:lastModifiedBy>Balance Familie Felix Suhner</cp:lastModifiedBy>
  <cp:lastPrinted>2022-11-01T14:35:06Z</cp:lastPrinted>
  <dcterms:created xsi:type="dcterms:W3CDTF">2014-05-22T13:52:10Z</dcterms:created>
  <dcterms:modified xsi:type="dcterms:W3CDTF">2025-06-04T08:16:58Z</dcterms:modified>
</cp:coreProperties>
</file>