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85c96f519d4fbf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Escritorio\Archivos\Sistema\os\Sistema de Nomina\"/>
    </mc:Choice>
  </mc:AlternateContent>
  <bookViews>
    <workbookView xWindow="28680" yWindow="-120" windowWidth="29040" windowHeight="15996" tabRatio="919" activeTab="2"/>
  </bookViews>
  <sheets>
    <sheet name="PRINCIPAL" sheetId="1" r:id="rId1"/>
    <sheet name="ID PERSONAL" sheetId="2" r:id="rId2"/>
    <sheet name="HORAS" sheetId="3" r:id="rId3"/>
    <sheet name="ANALISIS" sheetId="35" r:id="rId4"/>
    <sheet name="CONSOLIDADO" sheetId="9" r:id="rId5"/>
    <sheet name="PLANILLA" sheetId="6" r:id="rId6"/>
    <sheet name="GENERAL" sheetId="23" r:id="rId7"/>
    <sheet name="COLILLA " sheetId="7" r:id="rId8"/>
    <sheet name="JORNADA" sheetId="28" r:id="rId9"/>
    <sheet name="INCAPACIDAD" sheetId="34" r:id="rId10"/>
    <sheet name="COMISION" sheetId="20" r:id="rId11"/>
    <sheet name="AJUSTES" sheetId="24" r:id="rId12"/>
    <sheet name="VIATICOS" sheetId="25" r:id="rId13"/>
    <sheet name="EXONERACIÓN" sheetId="21" r:id="rId14"/>
    <sheet name="ANULACION" sheetId="22" r:id="rId15"/>
    <sheet name="CALENDARIO" sheetId="13" r:id="rId16"/>
    <sheet name="USUARIOS" sheetId="15" r:id="rId17"/>
    <sheet name="LOGIN" sheetId="16" r:id="rId18"/>
    <sheet name="PARAMETROS" sheetId="11" r:id="rId19"/>
  </sheets>
  <functionGroups builtInGroupCount="18"/>
  <externalReferences>
    <externalReference r:id="rId20"/>
    <externalReference r:id="rId21"/>
    <externalReference r:id="rId22"/>
  </externalReferences>
  <definedNames>
    <definedName name="ABONADO" localSheetId="3">PARAMETROS!#REF!</definedName>
    <definedName name="ABONADO">PARAMETROS!#REF!</definedName>
    <definedName name="ACTIVO">PARAMETROS!$Q$34</definedName>
    <definedName name="aFactura" localSheetId="15">#REF!</definedName>
    <definedName name="AñoCalendario">[1]Enero!$L$2</definedName>
    <definedName name="APROBADO">PARAMETROS!$Q$36</definedName>
    <definedName name="C_OTROSD" localSheetId="3">PARAMETROS!#REF!</definedName>
    <definedName name="C_OTROSD">PARAMETROS!#REF!</definedName>
    <definedName name="C_PRESTAMOB" localSheetId="3">PARAMETROS!#REF!</definedName>
    <definedName name="C_PRESTAMOB">PARAMETROS!#REF!</definedName>
    <definedName name="C_PRESTAMOP" localSheetId="3">PARAMETROS!#REF!</definedName>
    <definedName name="C_PRESTAMOP">PARAMETROS!#REF!</definedName>
    <definedName name="C_VALE" localSheetId="3">PARAMETROS!#REF!</definedName>
    <definedName name="C_VALE">PARAMETROS!#REF!</definedName>
    <definedName name="C_VENTAF" localSheetId="3">PARAMETROS!#REF!</definedName>
    <definedName name="C_VENTAF">PARAMETROS!#REF!</definedName>
    <definedName name="cambio1" localSheetId="15">COUNTA(#REF!)+CALENDARIO!PT_FilaInicio-3</definedName>
    <definedName name="cambio11" localSheetId="3">COUNTA(#REF!)+PT_FilaInicio-3</definedName>
    <definedName name="cambio11" localSheetId="15">COUNTA(#REF!)+CALENDARIO!PT_FilaInicio-3</definedName>
    <definedName name="cambio11">COUNTA(#REF!)+PT_FilaInicio-3</definedName>
    <definedName name="cambio12" localSheetId="3">OFFSET(Ref.,1,0,COUNTA(#REF!)-COUNTA(#REF!:Ref.),1)</definedName>
    <definedName name="cambio12" localSheetId="15">OFFSET(CALENDARIO!Ref.,1,0,COUNTA(#REF!)-COUNTA(#REF!:CALENDARIO!Ref.),1)</definedName>
    <definedName name="cambio12">OFFSET(Ref.,1,0,COUNTA(#REF!)-COUNTA(#REF!:Ref.),1)</definedName>
    <definedName name="cambio13" localSheetId="3">COUNTA(#REF!)+PT_FilaInicio-3</definedName>
    <definedName name="cambio13" localSheetId="15">COUNTA(#REF!)+CALENDARIO!PT_FilaInicio-3</definedName>
    <definedName name="cambio13">COUNTA(#REF!)+PT_FilaInicio-3</definedName>
    <definedName name="cambio14" localSheetId="3">OFFSET(Ref.,1,0,COUNTA(#REF!)-COUNTA(#REF!:Ref.),1)</definedName>
    <definedName name="cambio14" localSheetId="15">OFFSET(CALENDARIO!Ref.,1,0,COUNTA(#REF!)-COUNTA(#REF!:CALENDARIO!Ref.),1)</definedName>
    <definedName name="cambio14">OFFSET(Ref.,1,0,COUNTA(#REF!)-COUNTA(#REF!:Ref.),1)</definedName>
    <definedName name="cambio15" localSheetId="3">COUNTA(#REF!)+PT_FilaInicio-3</definedName>
    <definedName name="cambio15" localSheetId="15">COUNTA(#REF!)+CALENDARIO!PT_FilaInicio-3</definedName>
    <definedName name="cambio15">COUNTA(#REF!)+PT_FilaInicio-3</definedName>
    <definedName name="cambio16" localSheetId="3">OFFSET(Ref.,1,0,COUNTA(#REF!)-COUNTA(#REF!:Ref.),1)</definedName>
    <definedName name="cambio16" localSheetId="15">OFFSET(CALENDARIO!Ref.,1,0,COUNTA(#REF!)-COUNTA(#REF!:CALENDARIO!Ref.),1)</definedName>
    <definedName name="cambio16">OFFSET(Ref.,1,0,COUNTA(#REF!)-COUNTA(#REF!:Ref.),1)</definedName>
    <definedName name="cambio17" localSheetId="3">COUNTA(#REF!)+PT_FilaInicio-3</definedName>
    <definedName name="cambio17" localSheetId="15">COUNTA(#REF!)+CALENDARIO!PT_FilaInicio-3</definedName>
    <definedName name="cambio17">COUNTA(#REF!)+PT_FilaInicio-3</definedName>
    <definedName name="cambio18" localSheetId="3">COUNTA(#REF!)+PT_FilaInicio-3</definedName>
    <definedName name="cambio18" localSheetId="15">COUNTA(#REF!)+CALENDARIO!PT_FilaInicio-3</definedName>
    <definedName name="cambio18">COUNTA(#REF!)+PT_FilaInicio-3</definedName>
    <definedName name="cambio19" localSheetId="3">OFFSET(Ref.,1,0,COUNTA(#REF!)-COUNTA(#REF!:Ref.),1)</definedName>
    <definedName name="cambio19" localSheetId="15">OFFSET(CALENDARIO!Ref.,1,0,COUNTA(#REF!)-COUNTA(#REF!:CALENDARIO!Ref.),1)</definedName>
    <definedName name="cambio19">OFFSET(Ref.,1,0,COUNTA(#REF!)-COUNTA(#REF!:Ref.),1)</definedName>
    <definedName name="cambio2" localSheetId="3">OFFSET(Ref.,1,0,COUNTA(#REF!)-COUNTA(#REF!:Ref.),1)</definedName>
    <definedName name="cambio2" localSheetId="15">OFFSET(CALENDARIO!Ref.,1,0,COUNTA(#REF!)-COUNTA(#REF!:CALENDARIO!Ref.),1)</definedName>
    <definedName name="cambio2">OFFSET(Ref.,1,0,COUNTA(#REF!)-COUNTA(#REF!:Ref.),1)</definedName>
    <definedName name="cambio3">#N/A</definedName>
    <definedName name="cambio4">#N/A</definedName>
    <definedName name="cambio5">#N/A</definedName>
    <definedName name="cambio6" localSheetId="3">COUNTA(#REF!)+PT_FilaInicio-3</definedName>
    <definedName name="cambio6" localSheetId="15">COUNTA(#REF!)+CALENDARIO!PT_FilaInicio-3</definedName>
    <definedName name="cambio6">COUNTA(#REF!)+PT_FilaInicio-3</definedName>
    <definedName name="cambio7" localSheetId="3">OFFSET(Ref.,1,0,COUNTA(#REF!)-COUNTA(#REF!:Ref.),1)</definedName>
    <definedName name="cambio7" localSheetId="15">OFFSET(CALENDARIO!Ref.,1,0,COUNTA(#REF!)-COUNTA(#REF!:CALENDARIO!Ref.),1)</definedName>
    <definedName name="cambio7">OFFSET(Ref.,1,0,COUNTA(#REF!)-COUNTA(#REF!:Ref.),1)</definedName>
    <definedName name="cambio8" localSheetId="3">COUNTA(#REF!)+PT_FilaInicio-3</definedName>
    <definedName name="cambio8" localSheetId="15">COUNTA(#REF!)+CALENDARIO!PT_FilaInicio-3</definedName>
    <definedName name="cambio8">COUNTA(#REF!)+PT_FilaInicio-3</definedName>
    <definedName name="cambio9">#N/A</definedName>
    <definedName name="CAMPO">#N/A</definedName>
    <definedName name="CD" localSheetId="3">#REF!</definedName>
    <definedName name="CD" localSheetId="15">#REF!</definedName>
    <definedName name="CD">#REF!</definedName>
    <definedName name="cliente" localSheetId="3">#REF!</definedName>
    <definedName name="cliente" localSheetId="15">#REF!</definedName>
    <definedName name="cliente" localSheetId="4">#REF!</definedName>
    <definedName name="cliente">#REF!</definedName>
    <definedName name="Código" localSheetId="3">#REF!</definedName>
    <definedName name="Código" localSheetId="15">#REF!</definedName>
    <definedName name="Código" localSheetId="4">#REF!</definedName>
    <definedName name="Código">#REF!</definedName>
    <definedName name="DECIMO1">PARAMETROS!$W$8</definedName>
    <definedName name="DECIMO2">PARAMETROS!$W$9</definedName>
    <definedName name="DECIMO3">PARAMETROS!$W$10</definedName>
    <definedName name="DEFINIDO">PARAMETROS!$Q$41</definedName>
    <definedName name="DIA_CORTE_PRIMERA_QUINCENA">PARAMETROS!$Q$5</definedName>
    <definedName name="DIA_CORTE_SEGUNDA_QUINCENA">PARAMETROS!$Q$6</definedName>
    <definedName name="DIAS_MES_HORAS" localSheetId="15">[2]HORAS!$D$2</definedName>
    <definedName name="DIAS_MES_HORAS">CONSOLIDADO!$D$2</definedName>
    <definedName name="DIASMES">CONSOLIDADO!$I$3</definedName>
    <definedName name="DíasYSemanas" localSheetId="15">{0,1,2,3,4,5,6} + {0;1;2;3;4;5}*7</definedName>
    <definedName name="DíasYSemanas">{0,1,2,3,4,5,6} + {0;1;2;3;4;5}*7</definedName>
    <definedName name="EMPLEADO_DTM" localSheetId="3">PARAMETROS!#REF!</definedName>
    <definedName name="EMPLEADO_DTM">PARAMETROS!#REF!</definedName>
    <definedName name="EMPLEADO_SE">PARAMETROS!$Q$45</definedName>
    <definedName name="EMPLEADO_SS">PARAMETROS!$Q$44</definedName>
    <definedName name="FACTOR_SEMANA_MESES">PARAMETROS!$Q$17</definedName>
    <definedName name="FECHA">CONSOLIDADO!$D$3</definedName>
    <definedName name="FECHA_HORAS" localSheetId="15">[2]HORAS!$C$2</definedName>
    <definedName name="FECHA_HORAS">CONSOLIDADO!$C$2</definedName>
    <definedName name="FECHA_HOY">[2]PLANILLA!$H$2</definedName>
    <definedName name="FECHA_PAGO_QUINCENA">PARAMETROS!$Q$9</definedName>
    <definedName name="FINAL_QUINCENA">PARAMETROS!$Q$8</definedName>
    <definedName name="HORA_PENALIZACION">PARAMETROS!$Q$21</definedName>
    <definedName name="HORARIO_AUMENTADO">PARAMETROS!$Q$32</definedName>
    <definedName name="HORARIO_REDUCIDO">PARAMETROS!$Q$33</definedName>
    <definedName name="INACTIVO">PARAMETROS!$Q$35</definedName>
    <definedName name="INDEFINIDO">PARAMETROS!$Q$42</definedName>
    <definedName name="INICIO_QUINCENA">PARAMETROS!$Q$7</definedName>
    <definedName name="InicioDeSemana">[1]Enero!$L$3</definedName>
    <definedName name="lecheros">#N/A</definedName>
    <definedName name="Listapedido" localSheetId="3">#REF!</definedName>
    <definedName name="Listapedido" localSheetId="15">#REF!</definedName>
    <definedName name="Listapedido" localSheetId="4">#REF!</definedName>
    <definedName name="Listapedido">#REF!</definedName>
    <definedName name="MES_SIPE" localSheetId="3">#REF!</definedName>
    <definedName name="MES_SIPE">#REF!</definedName>
    <definedName name="MESES_DEL_AÑO">PARAMETROS!$Q$15</definedName>
    <definedName name="NIP" localSheetId="3">#REF!</definedName>
    <definedName name="NIP" localSheetId="15">#REF!</definedName>
    <definedName name="NIP" localSheetId="4">#REF!</definedName>
    <definedName name="NIP">#REF!</definedName>
    <definedName name="NO">PARAMETROS!$Q$39</definedName>
    <definedName name="NO_APROBADO">PARAMETROS!$Q$37</definedName>
    <definedName name="NO_PENALIZADO">PARAMETROS!$Q$31</definedName>
    <definedName name="NP" localSheetId="15">#REF!</definedName>
    <definedName name="NP" localSheetId="4">[3]!IDPRODUCTOS[SKU/NÚMERO DE PRODUCTO]</definedName>
    <definedName name="NP_Descripción" localSheetId="15">#REF!</definedName>
    <definedName name="NP_Descripción" localSheetId="4">[3]!IDPRODUCTOS[DESCRIPCIÓN]</definedName>
    <definedName name="PATRONAL_DTM" localSheetId="3">PARAMETROS!#REF!</definedName>
    <definedName name="PATRONAL_DTM">PARAMETROS!#REF!</definedName>
    <definedName name="PATRONAL_RP">PARAMETROS!$Q$48</definedName>
    <definedName name="PATRONAL_SE">PARAMETROS!$Q$47</definedName>
    <definedName name="PATRONAL_SS">PARAMETROS!$Q$46</definedName>
    <definedName name="PENALIZADO">PARAMETROS!$Q$30</definedName>
    <definedName name="PERIODO_QUINCENA">PARAMETROS!$Q$11</definedName>
    <definedName name="PRIMERA_QUINCENA" localSheetId="3">PARAMETROS!#REF!</definedName>
    <definedName name="PRIMERA_QUINCENA">PARAMETROS!#REF!</definedName>
    <definedName name="PT_FilaFin" localSheetId="15">COUNTA(#REF!)+CALENDARIO!PT_FilaInicio-3</definedName>
    <definedName name="PT_FilaFin" localSheetId="4">COUNTA(#REF!)+CONSOLIDADO!PT_FilaInicio-3</definedName>
    <definedName name="PT_FilaInicio" localSheetId="15">ROW(INDEX(#REF!,MATCH("*",#REF!,0),1))+1</definedName>
    <definedName name="PT_FilaInicio" localSheetId="4">ROW(INDEX(#REF!,MATCH("*",#REF!,0),1))+1</definedName>
    <definedName name="QUINCENA" localSheetId="3">PARAMETROS!#REF!</definedName>
    <definedName name="QUINCENA">PARAMETROS!#REF!</definedName>
    <definedName name="QUINCENA_PAGO">PARAMETROS!$Q$10</definedName>
    <definedName name="Ref." localSheetId="15">#REF!</definedName>
    <definedName name="Ref." localSheetId="4">#REF!</definedName>
    <definedName name="Relación" localSheetId="15">OFFSET(CALENDARIO!Ref.,1,0,COUNTA(#REF!)-COUNTA(#REF!:CALENDARIO!Ref.),1)</definedName>
    <definedName name="Relación" localSheetId="4">OFFSET(CONSOLIDADO!Ref.,1,0,COUNTA(#REF!)-COUNTA(#REF!:CONSOLIDADO!Ref.),1)</definedName>
    <definedName name="REPORTE_PAGO">PARAMETROS!$Q$12</definedName>
    <definedName name="SALARIO_MINIMO_HORA">PARAMETROS!$Q$14</definedName>
    <definedName name="SEGUNDA_QUINCENA" localSheetId="3">PARAMETROS!#REF!</definedName>
    <definedName name="SEGUNDA_QUINCENA">PARAMETROS!#REF!</definedName>
    <definedName name="SEMANAS_DEL_AÑO">PARAMETROS!$Q$16</definedName>
    <definedName name="SI">PARAMETROS!$Q$38</definedName>
    <definedName name="SIN_ABONAR" localSheetId="3">PARAMETROS!#REF!</definedName>
    <definedName name="SIN_ABONAR">PARAMETROS!#REF!</definedName>
    <definedName name="SIN_ASIGNAR">PARAMETROS!$Q$40</definedName>
    <definedName name="TIEMPO_ENTRADA_TARDIA">PARAMETROS!$Q$19</definedName>
    <definedName name="TIEMPO_MINIMO_ALMUERZO">PARAMETROS!$Q$22</definedName>
    <definedName name="TIEMPO_SALIDA_EXTRAS">PARAMETROS!$Q$20</definedName>
    <definedName name="_xlnm.Print_Titles" localSheetId="3">ANALISIS!$1:$1</definedName>
    <definedName name="_xlnm.Print_Titles" localSheetId="2">HORAS!$1:$1</definedName>
    <definedName name="VENTA" localSheetId="3">#REF!</definedName>
    <definedName name="VENTA" localSheetId="15">#REF!</definedName>
    <definedName name="VENTA" localSheetId="4">#REF!</definedName>
    <definedName name="VENTA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Z17" i="35"/>
  <c r="U17" i="35"/>
  <c r="R17" i="35"/>
  <c r="J17" i="35"/>
  <c r="S17" i="35" s="1"/>
  <c r="I17" i="35"/>
  <c r="X17" i="35" s="1"/>
  <c r="H17" i="35"/>
  <c r="F17" i="35"/>
  <c r="Z16" i="35"/>
  <c r="U16" i="35"/>
  <c r="R16" i="35"/>
  <c r="J16" i="35"/>
  <c r="S16" i="35" s="1"/>
  <c r="I16" i="35"/>
  <c r="X16" i="35" s="1"/>
  <c r="H16" i="35"/>
  <c r="F16" i="35"/>
  <c r="Z15" i="35"/>
  <c r="U15" i="35"/>
  <c r="R15" i="35"/>
  <c r="J15" i="35"/>
  <c r="S15" i="35" s="1"/>
  <c r="I15" i="35"/>
  <c r="H15" i="35"/>
  <c r="F15" i="35"/>
  <c r="Z14" i="35"/>
  <c r="U14" i="35"/>
  <c r="R14" i="35"/>
  <c r="J14" i="35"/>
  <c r="S14" i="35" s="1"/>
  <c r="I14" i="35"/>
  <c r="H14" i="35"/>
  <c r="G14" i="35"/>
  <c r="F14" i="35"/>
  <c r="Z13" i="35"/>
  <c r="U13" i="35"/>
  <c r="R13" i="35"/>
  <c r="J13" i="35"/>
  <c r="S13" i="35" s="1"/>
  <c r="I13" i="35"/>
  <c r="H13" i="35"/>
  <c r="G13" i="35"/>
  <c r="F13" i="35"/>
  <c r="Z12" i="35"/>
  <c r="U12" i="35"/>
  <c r="R12" i="35"/>
  <c r="J12" i="35"/>
  <c r="S12" i="35" s="1"/>
  <c r="I12" i="35"/>
  <c r="H12" i="35"/>
  <c r="G12" i="35"/>
  <c r="F12" i="35"/>
  <c r="Z11" i="35"/>
  <c r="U11" i="35"/>
  <c r="R11" i="35"/>
  <c r="J11" i="35"/>
  <c r="S11" i="35" s="1"/>
  <c r="I11" i="35"/>
  <c r="H11" i="35"/>
  <c r="F11" i="35"/>
  <c r="Z10" i="35"/>
  <c r="U10" i="35"/>
  <c r="R10" i="35"/>
  <c r="J10" i="35"/>
  <c r="G10" i="35" s="1"/>
  <c r="I10" i="35"/>
  <c r="H10" i="35"/>
  <c r="F10" i="35"/>
  <c r="Z9" i="35"/>
  <c r="U9" i="35"/>
  <c r="R9" i="35"/>
  <c r="J9" i="35"/>
  <c r="S9" i="35" s="1"/>
  <c r="I9" i="35"/>
  <c r="H9" i="35"/>
  <c r="F9" i="35"/>
  <c r="Z8" i="35"/>
  <c r="U8" i="35"/>
  <c r="R8" i="35"/>
  <c r="J8" i="35"/>
  <c r="S8" i="35" s="1"/>
  <c r="I8" i="35"/>
  <c r="H8" i="35"/>
  <c r="F8" i="35"/>
  <c r="Z7" i="35"/>
  <c r="U7" i="35"/>
  <c r="R7" i="35"/>
  <c r="J7" i="35"/>
  <c r="S7" i="35" s="1"/>
  <c r="I7" i="35"/>
  <c r="H7" i="35"/>
  <c r="F7" i="35"/>
  <c r="Z6" i="35"/>
  <c r="U6" i="35"/>
  <c r="R6" i="35"/>
  <c r="J6" i="35"/>
  <c r="S6" i="35" s="1"/>
  <c r="I6" i="35"/>
  <c r="H6" i="35"/>
  <c r="F6" i="35"/>
  <c r="P6" i="35" s="1"/>
  <c r="Z5" i="35"/>
  <c r="U5" i="35"/>
  <c r="R5" i="35"/>
  <c r="J5" i="35"/>
  <c r="G5" i="35" s="1"/>
  <c r="I5" i="35"/>
  <c r="H5" i="35"/>
  <c r="F5" i="35"/>
  <c r="Z4" i="35"/>
  <c r="U4" i="35"/>
  <c r="R4" i="35"/>
  <c r="J4" i="35"/>
  <c r="S4" i="35" s="1"/>
  <c r="I4" i="35"/>
  <c r="W4" i="35" s="1"/>
  <c r="H4" i="35"/>
  <c r="F4" i="35"/>
  <c r="Z3" i="35"/>
  <c r="U3" i="35"/>
  <c r="R3" i="35"/>
  <c r="J3" i="35"/>
  <c r="S3" i="35" s="1"/>
  <c r="I3" i="35"/>
  <c r="H3" i="35"/>
  <c r="F3" i="35"/>
  <c r="Z2" i="35"/>
  <c r="U2" i="35"/>
  <c r="R2" i="35"/>
  <c r="J2" i="35"/>
  <c r="S2" i="35" s="1"/>
  <c r="I2" i="35"/>
  <c r="H2" i="35"/>
  <c r="G2" i="35"/>
  <c r="F2" i="35"/>
  <c r="V2" i="35" l="1"/>
  <c r="S10" i="35"/>
  <c r="X15" i="35"/>
  <c r="V9" i="35"/>
  <c r="X3" i="35"/>
  <c r="X7" i="35"/>
  <c r="X8" i="35"/>
  <c r="W14" i="35"/>
  <c r="Y5" i="35"/>
  <c r="G16" i="35"/>
  <c r="K16" i="35" s="1"/>
  <c r="X13" i="35"/>
  <c r="P2" i="35"/>
  <c r="X5" i="35"/>
  <c r="G8" i="35"/>
  <c r="K8" i="35" s="1"/>
  <c r="G9" i="35"/>
  <c r="Y4" i="35"/>
  <c r="W2" i="35"/>
  <c r="G4" i="35"/>
  <c r="K4" i="35" s="1"/>
  <c r="L4" i="35" s="1"/>
  <c r="P5" i="35"/>
  <c r="G6" i="35"/>
  <c r="K6" i="35" s="1"/>
  <c r="Y6" i="35"/>
  <c r="Y8" i="35"/>
  <c r="X9" i="35"/>
  <c r="Y9" i="35"/>
  <c r="W10" i="35"/>
  <c r="X11" i="35"/>
  <c r="X12" i="35"/>
  <c r="V12" i="35"/>
  <c r="V13" i="35"/>
  <c r="G17" i="35"/>
  <c r="M17" i="35" s="1"/>
  <c r="V8" i="35"/>
  <c r="P17" i="35"/>
  <c r="V5" i="35"/>
  <c r="Y10" i="35"/>
  <c r="Y12" i="35"/>
  <c r="Y13" i="35"/>
  <c r="V16" i="35"/>
  <c r="V17" i="35"/>
  <c r="K2" i="35"/>
  <c r="W6" i="35"/>
  <c r="K12" i="35"/>
  <c r="Y14" i="35"/>
  <c r="Y16" i="35"/>
  <c r="Y17" i="35"/>
  <c r="K10" i="35"/>
  <c r="L10" i="35"/>
  <c r="K14" i="35"/>
  <c r="X4" i="35"/>
  <c r="X2" i="35"/>
  <c r="P4" i="35"/>
  <c r="V4" i="35"/>
  <c r="M6" i="35"/>
  <c r="N6" i="35" s="1"/>
  <c r="Y7" i="35"/>
  <c r="P8" i="35"/>
  <c r="W9" i="35"/>
  <c r="M10" i="35"/>
  <c r="N10" i="35" s="1"/>
  <c r="X10" i="35"/>
  <c r="M14" i="35"/>
  <c r="X14" i="35"/>
  <c r="P16" i="35"/>
  <c r="W3" i="35"/>
  <c r="M2" i="35"/>
  <c r="Y3" i="35"/>
  <c r="W5" i="35"/>
  <c r="X6" i="35"/>
  <c r="Y11" i="35"/>
  <c r="P12" i="35"/>
  <c r="W13" i="35"/>
  <c r="Y15" i="35"/>
  <c r="W17" i="35"/>
  <c r="Y2" i="35"/>
  <c r="G3" i="35"/>
  <c r="K3" i="35" s="1"/>
  <c r="P3" i="35"/>
  <c r="V3" i="35"/>
  <c r="M5" i="35"/>
  <c r="S5" i="35"/>
  <c r="G7" i="35"/>
  <c r="M7" i="35" s="1"/>
  <c r="P7" i="35"/>
  <c r="V7" i="35"/>
  <c r="L8" i="35"/>
  <c r="W8" i="35"/>
  <c r="M9" i="35"/>
  <c r="G11" i="35"/>
  <c r="M11" i="35" s="1"/>
  <c r="P11" i="35"/>
  <c r="V11" i="35"/>
  <c r="L12" i="35"/>
  <c r="W12" i="35"/>
  <c r="M13" i="35"/>
  <c r="N13" i="35" s="1"/>
  <c r="G15" i="35"/>
  <c r="K15" i="35" s="1"/>
  <c r="L15" i="35" s="1"/>
  <c r="P15" i="35"/>
  <c r="V15" i="35"/>
  <c r="L16" i="35"/>
  <c r="W16" i="35"/>
  <c r="V6" i="35"/>
  <c r="W7" i="35"/>
  <c r="M8" i="35"/>
  <c r="N8" i="35" s="1"/>
  <c r="P10" i="35"/>
  <c r="V10" i="35"/>
  <c r="W11" i="35"/>
  <c r="M12" i="35"/>
  <c r="N12" i="35" s="1"/>
  <c r="P14" i="35"/>
  <c r="V14" i="35"/>
  <c r="W15" i="35"/>
  <c r="M16" i="35"/>
  <c r="N16" i="35" s="1"/>
  <c r="K5" i="35"/>
  <c r="L6" i="35"/>
  <c r="K9" i="35"/>
  <c r="L9" i="35" s="1"/>
  <c r="P9" i="35"/>
  <c r="K13" i="35"/>
  <c r="L13" i="35" s="1"/>
  <c r="P13" i="35"/>
  <c r="L14" i="35"/>
  <c r="K17" i="35"/>
  <c r="L17" i="35" s="1"/>
  <c r="AS8" i="11"/>
  <c r="AR8" i="11"/>
  <c r="AN8" i="11"/>
  <c r="AS7" i="11"/>
  <c r="AR7" i="11"/>
  <c r="AN7" i="11"/>
  <c r="AS6" i="11"/>
  <c r="AR6" i="11"/>
  <c r="AN6" i="11"/>
  <c r="AS5" i="11"/>
  <c r="AR5" i="11"/>
  <c r="AN5" i="11"/>
  <c r="AS4" i="11"/>
  <c r="AR4" i="11"/>
  <c r="AN4" i="11"/>
  <c r="Q17" i="11"/>
  <c r="N5" i="35" l="1"/>
  <c r="M4" i="35"/>
  <c r="N4" i="35" s="1"/>
  <c r="M3" i="35"/>
  <c r="N17" i="35"/>
  <c r="N9" i="35"/>
  <c r="N3" i="35"/>
  <c r="N14" i="35"/>
  <c r="L3" i="35"/>
  <c r="L2" i="35"/>
  <c r="M15" i="35"/>
  <c r="N15" i="35" s="1"/>
  <c r="L5" i="35"/>
  <c r="K11" i="35"/>
  <c r="L11" i="35" s="1"/>
  <c r="N2" i="35"/>
  <c r="K7" i="35"/>
  <c r="L7" i="35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J3" i="3"/>
  <c r="G3" i="3" s="1"/>
  <c r="J4" i="3"/>
  <c r="G4" i="3" s="1"/>
  <c r="J5" i="3"/>
  <c r="G5" i="3" s="1"/>
  <c r="J6" i="3"/>
  <c r="G6" i="3" s="1"/>
  <c r="J7" i="3"/>
  <c r="G7" i="3" s="1"/>
  <c r="J8" i="3"/>
  <c r="G8" i="3" s="1"/>
  <c r="J9" i="3"/>
  <c r="G9" i="3" s="1"/>
  <c r="J10" i="3"/>
  <c r="G10" i="3" s="1"/>
  <c r="J11" i="3"/>
  <c r="G11" i="3" s="1"/>
  <c r="J12" i="3"/>
  <c r="G12" i="3" s="1"/>
  <c r="J13" i="3"/>
  <c r="G13" i="3" s="1"/>
  <c r="J14" i="3"/>
  <c r="G14" i="3" s="1"/>
  <c r="J15" i="3"/>
  <c r="G15" i="3" s="1"/>
  <c r="J16" i="3"/>
  <c r="G16" i="3" s="1"/>
  <c r="J17" i="3"/>
  <c r="G17" i="3" s="1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J8" i="2"/>
  <c r="Q8" i="2"/>
  <c r="R3" i="2"/>
  <c r="R4" i="2"/>
  <c r="R5" i="2"/>
  <c r="R6" i="2"/>
  <c r="R7" i="2"/>
  <c r="N11" i="35" l="1"/>
  <c r="N7" i="35"/>
  <c r="W14" i="3"/>
  <c r="W10" i="3"/>
  <c r="W6" i="3"/>
  <c r="S16" i="3"/>
  <c r="S15" i="3"/>
  <c r="K15" i="3"/>
  <c r="S11" i="3"/>
  <c r="S7" i="3"/>
  <c r="K7" i="3"/>
  <c r="S3" i="3"/>
  <c r="W17" i="3"/>
  <c r="V13" i="3"/>
  <c r="W9" i="3"/>
  <c r="W5" i="3"/>
  <c r="V12" i="3"/>
  <c r="X4" i="3"/>
  <c r="X15" i="3"/>
  <c r="V11" i="3"/>
  <c r="V7" i="3"/>
  <c r="V3" i="3"/>
  <c r="V16" i="3"/>
  <c r="V8" i="3"/>
  <c r="X6" i="3"/>
  <c r="S6" i="3"/>
  <c r="V9" i="3"/>
  <c r="S5" i="3"/>
  <c r="W15" i="3"/>
  <c r="X14" i="3"/>
  <c r="X10" i="3"/>
  <c r="W12" i="3"/>
  <c r="X8" i="3"/>
  <c r="V15" i="3"/>
  <c r="W13" i="3"/>
  <c r="W4" i="3"/>
  <c r="X13" i="3"/>
  <c r="X5" i="3"/>
  <c r="V17" i="3"/>
  <c r="V5" i="3"/>
  <c r="S14" i="3"/>
  <c r="S10" i="3"/>
  <c r="K12" i="3"/>
  <c r="K8" i="3"/>
  <c r="K4" i="3"/>
  <c r="X17" i="3"/>
  <c r="X9" i="3"/>
  <c r="S8" i="3"/>
  <c r="X12" i="3"/>
  <c r="W16" i="3"/>
  <c r="V4" i="3"/>
  <c r="S17" i="3"/>
  <c r="S9" i="3"/>
  <c r="X16" i="3"/>
  <c r="W8" i="3"/>
  <c r="S13" i="3"/>
  <c r="X11" i="3"/>
  <c r="X7" i="3"/>
  <c r="X3" i="3"/>
  <c r="W3" i="3"/>
  <c r="S12" i="3"/>
  <c r="K16" i="3"/>
  <c r="W7" i="3"/>
  <c r="K14" i="3"/>
  <c r="K10" i="3"/>
  <c r="K6" i="3"/>
  <c r="W11" i="3"/>
  <c r="S4" i="3"/>
  <c r="K17" i="3"/>
  <c r="K13" i="3"/>
  <c r="K9" i="3"/>
  <c r="K5" i="3"/>
  <c r="K11" i="3"/>
  <c r="K3" i="3"/>
  <c r="V14" i="3"/>
  <c r="V10" i="3"/>
  <c r="V6" i="3"/>
  <c r="C2" i="3" l="1"/>
  <c r="H2" i="3"/>
  <c r="I2" i="3"/>
  <c r="V2" i="3" s="1"/>
  <c r="J2" i="3"/>
  <c r="G2" i="3" s="1"/>
  <c r="K2" i="3" s="1"/>
  <c r="R2" i="3"/>
  <c r="U2" i="3"/>
  <c r="Z2" i="3"/>
  <c r="Y10" i="3" l="1"/>
  <c r="Y3" i="3"/>
  <c r="Y15" i="3"/>
  <c r="Y7" i="3"/>
  <c r="Y6" i="3"/>
  <c r="Y14" i="3"/>
  <c r="Y11" i="3"/>
  <c r="Y8" i="3"/>
  <c r="Y5" i="3"/>
  <c r="Y17" i="3"/>
  <c r="Y16" i="3"/>
  <c r="Y13" i="3"/>
  <c r="Y12" i="3"/>
  <c r="Y9" i="3"/>
  <c r="Y4" i="3"/>
  <c r="L6" i="3"/>
  <c r="L10" i="3"/>
  <c r="L14" i="3"/>
  <c r="P5" i="3"/>
  <c r="P9" i="3"/>
  <c r="P13" i="3"/>
  <c r="P17" i="3"/>
  <c r="L9" i="3"/>
  <c r="M14" i="3"/>
  <c r="N14" i="3" s="1"/>
  <c r="P8" i="3"/>
  <c r="M4" i="3"/>
  <c r="N4" i="3" s="1"/>
  <c r="M8" i="3"/>
  <c r="N8" i="3" s="1"/>
  <c r="M12" i="3"/>
  <c r="N12" i="3" s="1"/>
  <c r="M16" i="3"/>
  <c r="N16" i="3" s="1"/>
  <c r="P6" i="3"/>
  <c r="P10" i="3"/>
  <c r="P14" i="3"/>
  <c r="L5" i="3"/>
  <c r="L17" i="3"/>
  <c r="M10" i="3"/>
  <c r="N10" i="3" s="1"/>
  <c r="P16" i="3"/>
  <c r="L4" i="3"/>
  <c r="L8" i="3"/>
  <c r="L12" i="3"/>
  <c r="L16" i="3"/>
  <c r="M5" i="3"/>
  <c r="N5" i="3" s="1"/>
  <c r="M9" i="3"/>
  <c r="N9" i="3" s="1"/>
  <c r="M13" i="3"/>
  <c r="N13" i="3" s="1"/>
  <c r="M17" i="3"/>
  <c r="N17" i="3" s="1"/>
  <c r="L13" i="3"/>
  <c r="M6" i="3"/>
  <c r="N6" i="3" s="1"/>
  <c r="P4" i="3"/>
  <c r="P12" i="3"/>
  <c r="M7" i="3"/>
  <c r="N7" i="3" s="1"/>
  <c r="P15" i="3"/>
  <c r="L11" i="3"/>
  <c r="P11" i="3"/>
  <c r="L7" i="3"/>
  <c r="M15" i="3"/>
  <c r="N15" i="3" s="1"/>
  <c r="M3" i="3"/>
  <c r="P7" i="3"/>
  <c r="M11" i="3"/>
  <c r="N11" i="3" s="1"/>
  <c r="P3" i="3"/>
  <c r="L15" i="3"/>
  <c r="W2" i="3"/>
  <c r="X2" i="3"/>
  <c r="L3" i="3"/>
  <c r="S2" i="3"/>
  <c r="Y2" i="3" l="1"/>
  <c r="M2" i="3"/>
  <c r="L2" i="3"/>
  <c r="P2" i="3"/>
  <c r="N2" i="3" l="1"/>
  <c r="N3" i="3"/>
  <c r="BA5" i="6"/>
  <c r="B5" i="9"/>
  <c r="C5" i="9"/>
  <c r="D5" i="9"/>
  <c r="E5" i="9"/>
  <c r="F5" i="9"/>
  <c r="G5" i="9"/>
  <c r="H5" i="9"/>
  <c r="HN5" i="9"/>
  <c r="B5" i="6"/>
  <c r="C5" i="6"/>
  <c r="D5" i="6"/>
  <c r="E5" i="6"/>
  <c r="F5" i="6"/>
  <c r="G5" i="6"/>
  <c r="H5" i="6"/>
  <c r="I5" i="6"/>
  <c r="J5" i="6"/>
  <c r="K5" i="6"/>
  <c r="L5" i="6" s="1"/>
  <c r="AA5" i="6" s="1"/>
  <c r="AU5" i="6"/>
  <c r="AV5" i="6"/>
  <c r="AW5" i="6"/>
  <c r="AX5" i="6"/>
  <c r="AY5" i="6"/>
  <c r="AZ5" i="6"/>
  <c r="BC5" i="6"/>
  <c r="BD5" i="6"/>
  <c r="BG5" i="6"/>
  <c r="BH5" i="6"/>
  <c r="BI5" i="6" l="1"/>
  <c r="BB5" i="6"/>
  <c r="H3" i="34" l="1"/>
  <c r="F3" i="34"/>
  <c r="AV6" i="6" l="1"/>
  <c r="R2" i="2"/>
  <c r="AU6" i="6" l="1"/>
  <c r="B6" i="9"/>
  <c r="BC6" i="6"/>
  <c r="BA6" i="6"/>
  <c r="AY6" i="6"/>
  <c r="AW6" i="6"/>
  <c r="BB6" i="6"/>
  <c r="AZ6" i="6"/>
  <c r="AX6" i="6"/>
  <c r="B6" i="6"/>
  <c r="BD6" i="6"/>
  <c r="BI6" i="6" l="1"/>
  <c r="AA6" i="6"/>
  <c r="B1" i="13" l="1"/>
  <c r="Q11" i="11" l="1"/>
  <c r="M5" i="6" l="1"/>
  <c r="P5" i="6" l="1"/>
  <c r="Q5" i="6"/>
  <c r="N5" i="6"/>
  <c r="O5" i="6"/>
  <c r="A2" i="6" l="1"/>
  <c r="AI5" i="6" l="1"/>
  <c r="BM5" i="6" s="1"/>
  <c r="BE5" i="6"/>
  <c r="BF5" i="6"/>
  <c r="HL5" i="9"/>
  <c r="HM5" i="9"/>
  <c r="AK5" i="6"/>
  <c r="AL5" i="6"/>
  <c r="BQ5" i="6" s="1"/>
  <c r="AH5" i="6"/>
  <c r="BL5" i="6" s="1"/>
  <c r="AO5" i="6"/>
  <c r="AP5" i="6"/>
  <c r="BT5" i="6" s="1"/>
  <c r="AM5" i="6"/>
  <c r="AN5" i="6"/>
  <c r="BL6" i="6" l="1"/>
  <c r="BQ6" i="6"/>
  <c r="BT6" i="6"/>
  <c r="BM6" i="6"/>
  <c r="BS5" i="6"/>
  <c r="BR5" i="6"/>
  <c r="BS6" i="6" l="1"/>
  <c r="BR6" i="6"/>
  <c r="K7" i="13"/>
  <c r="A1" i="13" l="1"/>
  <c r="B4" i="13" l="1"/>
  <c r="B5" i="13" s="1"/>
  <c r="C4" i="13"/>
  <c r="C5" i="13" s="1"/>
  <c r="D4" i="13"/>
  <c r="D5" i="13" s="1"/>
  <c r="D1" i="13" l="1"/>
  <c r="E14" i="13"/>
  <c r="L6" i="13"/>
  <c r="C14" i="13"/>
  <c r="C15" i="13" s="1"/>
  <c r="B14" i="13"/>
  <c r="B15" i="13" s="1"/>
  <c r="H12" i="13"/>
  <c r="H13" i="13" s="1"/>
  <c r="G12" i="13"/>
  <c r="G13" i="13" s="1"/>
  <c r="F12" i="13"/>
  <c r="F13" i="13" s="1"/>
  <c r="E12" i="13"/>
  <c r="E13" i="13" s="1"/>
  <c r="D12" i="13"/>
  <c r="D13" i="13" s="1"/>
  <c r="C12" i="13"/>
  <c r="C13" i="13" s="1"/>
  <c r="B12" i="13"/>
  <c r="B13" i="13" s="1"/>
  <c r="H10" i="13"/>
  <c r="H11" i="13" s="1"/>
  <c r="G10" i="13"/>
  <c r="G11" i="13" s="1"/>
  <c r="F10" i="13"/>
  <c r="F11" i="13" s="1"/>
  <c r="E10" i="13"/>
  <c r="E11" i="13" s="1"/>
  <c r="D10" i="13"/>
  <c r="D11" i="13" s="1"/>
  <c r="C10" i="13"/>
  <c r="C11" i="13" s="1"/>
  <c r="B10" i="13"/>
  <c r="B11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H6" i="13"/>
  <c r="H7" i="13" s="1"/>
  <c r="G6" i="13"/>
  <c r="G7" i="13" s="1"/>
  <c r="F6" i="13"/>
  <c r="F7" i="13" s="1"/>
  <c r="E6" i="13"/>
  <c r="E7" i="13" s="1"/>
  <c r="D6" i="13"/>
  <c r="D7" i="13" s="1"/>
  <c r="C6" i="13"/>
  <c r="C7" i="13" s="1"/>
  <c r="B6" i="13"/>
  <c r="B7" i="13" s="1"/>
  <c r="H4" i="13"/>
  <c r="H5" i="13" s="1"/>
  <c r="G4" i="13"/>
  <c r="G5" i="13" s="1"/>
  <c r="F4" i="13"/>
  <c r="F5" i="13" s="1"/>
  <c r="E4" i="13"/>
  <c r="E5" i="13" s="1"/>
  <c r="E1" i="13" l="1"/>
  <c r="F1" i="13"/>
  <c r="H1" i="13"/>
  <c r="C1" i="13"/>
  <c r="G1" i="13"/>
  <c r="I2" i="9" l="1"/>
  <c r="J5" i="9" l="1"/>
  <c r="N5" i="9"/>
  <c r="O5" i="9"/>
  <c r="P5" i="9"/>
  <c r="T5" i="9"/>
  <c r="I5" i="9"/>
  <c r="Q5" i="9"/>
  <c r="I3" i="9"/>
  <c r="U2" i="9"/>
  <c r="V5" i="9" l="1"/>
  <c r="Z5" i="9"/>
  <c r="AA5" i="9"/>
  <c r="AB5" i="9"/>
  <c r="AF5" i="9"/>
  <c r="U5" i="9"/>
  <c r="AC5" i="9"/>
  <c r="K5" i="9"/>
  <c r="U3" i="9"/>
  <c r="AG2" i="9"/>
  <c r="S5" i="9" l="1"/>
  <c r="R5" i="9" s="1"/>
  <c r="M5" i="9" s="1"/>
  <c r="W5" i="9"/>
  <c r="AH5" i="9"/>
  <c r="AL5" i="9"/>
  <c r="AM5" i="9"/>
  <c r="AN5" i="9"/>
  <c r="AR5" i="9"/>
  <c r="AG5" i="9"/>
  <c r="AO5" i="9"/>
  <c r="AG3" i="9"/>
  <c r="AS2" i="9"/>
  <c r="AI5" i="9" l="1"/>
  <c r="AE5" i="9"/>
  <c r="AD5" i="9" s="1"/>
  <c r="X5" i="9" s="1"/>
  <c r="L5" i="9"/>
  <c r="AT5" i="9"/>
  <c r="AX5" i="9"/>
  <c r="AY5" i="9"/>
  <c r="AZ5" i="9"/>
  <c r="BD5" i="9"/>
  <c r="AS5" i="9"/>
  <c r="BA5" i="9"/>
  <c r="BE2" i="9"/>
  <c r="AS3" i="9"/>
  <c r="Y5" i="9" l="1"/>
  <c r="AU5" i="9"/>
  <c r="BC5" i="9" s="1"/>
  <c r="BB5" i="9" s="1"/>
  <c r="BF5" i="9"/>
  <c r="BJ5" i="9"/>
  <c r="BK5" i="9"/>
  <c r="BL5" i="9"/>
  <c r="BP5" i="9"/>
  <c r="BE5" i="9"/>
  <c r="BM5" i="9"/>
  <c r="AQ5" i="9"/>
  <c r="AP5" i="9" s="1"/>
  <c r="AJ5" i="9" s="1"/>
  <c r="BQ2" i="9"/>
  <c r="BE3" i="9"/>
  <c r="AK5" i="9" l="1"/>
  <c r="AV5" i="9"/>
  <c r="AW5" i="9"/>
  <c r="BR5" i="9"/>
  <c r="BV5" i="9"/>
  <c r="BW5" i="9"/>
  <c r="BX5" i="9"/>
  <c r="CB5" i="9"/>
  <c r="BQ5" i="9"/>
  <c r="BY5" i="9"/>
  <c r="BG5" i="9"/>
  <c r="CC2" i="9"/>
  <c r="BQ3" i="9"/>
  <c r="BS5" i="9" l="1"/>
  <c r="BO5" i="9"/>
  <c r="BN5" i="9" s="1"/>
  <c r="CD5" i="9"/>
  <c r="CH5" i="9"/>
  <c r="CI5" i="9"/>
  <c r="CJ5" i="9"/>
  <c r="CN5" i="9"/>
  <c r="CC5" i="9"/>
  <c r="CK5" i="9"/>
  <c r="CC3" i="9"/>
  <c r="CO2" i="9"/>
  <c r="CA5" i="9" l="1"/>
  <c r="BZ5" i="9" s="1"/>
  <c r="BT5" i="9" s="1"/>
  <c r="CP5" i="9"/>
  <c r="CT5" i="9"/>
  <c r="CU5" i="9"/>
  <c r="CV5" i="9"/>
  <c r="CZ5" i="9"/>
  <c r="CO5" i="9"/>
  <c r="CW5" i="9"/>
  <c r="CE5" i="9"/>
  <c r="CM5" i="9" s="1"/>
  <c r="CL5" i="9" s="1"/>
  <c r="BI5" i="9"/>
  <c r="BH5" i="9"/>
  <c r="DA2" i="9"/>
  <c r="CO3" i="9"/>
  <c r="CQ5" i="9" l="1"/>
  <c r="CY5" i="9" s="1"/>
  <c r="CX5" i="9" s="1"/>
  <c r="BU5" i="9"/>
  <c r="DB5" i="9"/>
  <c r="DF5" i="9"/>
  <c r="DG5" i="9"/>
  <c r="DH5" i="9"/>
  <c r="DL5" i="9"/>
  <c r="DA5" i="9"/>
  <c r="DI5" i="9"/>
  <c r="CF5" i="9"/>
  <c r="CG5" i="9"/>
  <c r="DM2" i="9"/>
  <c r="DA3" i="9"/>
  <c r="CS5" i="9" l="1"/>
  <c r="CR5" i="9"/>
  <c r="DC5" i="9"/>
  <c r="DN5" i="9"/>
  <c r="DR5" i="9"/>
  <c r="DS5" i="9"/>
  <c r="DT5" i="9"/>
  <c r="DX5" i="9"/>
  <c r="DM5" i="9"/>
  <c r="DU5" i="9"/>
  <c r="DM3" i="9"/>
  <c r="DY2" i="9"/>
  <c r="DZ5" i="9" l="1"/>
  <c r="ED5" i="9"/>
  <c r="EE5" i="9"/>
  <c r="EF5" i="9"/>
  <c r="EJ5" i="9"/>
  <c r="DY5" i="9"/>
  <c r="EG5" i="9"/>
  <c r="DO5" i="9"/>
  <c r="DK5" i="9"/>
  <c r="DJ5" i="9" s="1"/>
  <c r="DD5" i="9" s="1"/>
  <c r="EK2" i="9"/>
  <c r="DY3" i="9"/>
  <c r="DE5" i="9" l="1"/>
  <c r="EA5" i="9"/>
  <c r="EI5" i="9" s="1"/>
  <c r="EH5" i="9" s="1"/>
  <c r="DW5" i="9"/>
  <c r="DV5" i="9" s="1"/>
  <c r="DP5" i="9" s="1"/>
  <c r="EL5" i="9"/>
  <c r="EP5" i="9"/>
  <c r="EQ5" i="9"/>
  <c r="ER5" i="9"/>
  <c r="EV5" i="9"/>
  <c r="EK5" i="9"/>
  <c r="ES5" i="9"/>
  <c r="EW2" i="9"/>
  <c r="EK3" i="9"/>
  <c r="EB5" i="9" l="1"/>
  <c r="EC5" i="9"/>
  <c r="DQ5" i="9"/>
  <c r="EM5" i="9"/>
  <c r="EX5" i="9"/>
  <c r="FB5" i="9"/>
  <c r="FC5" i="9"/>
  <c r="FD5" i="9"/>
  <c r="FH5" i="9"/>
  <c r="EW5" i="9"/>
  <c r="FE5" i="9"/>
  <c r="EW3" i="9"/>
  <c r="EU5" i="9" l="1"/>
  <c r="ET5" i="9" s="1"/>
  <c r="EO5" i="9" s="1"/>
  <c r="EY5" i="9"/>
  <c r="FI3" i="9"/>
  <c r="FG5" i="9" l="1"/>
  <c r="FF5" i="9" s="1"/>
  <c r="FA5" i="9" s="1"/>
  <c r="EN5" i="9"/>
  <c r="FI2" i="9"/>
  <c r="FU3" i="9"/>
  <c r="EZ5" i="9" l="1"/>
  <c r="FJ5" i="9"/>
  <c r="FN5" i="9"/>
  <c r="FO5" i="9"/>
  <c r="FP5" i="9"/>
  <c r="FT5" i="9"/>
  <c r="FI5" i="9"/>
  <c r="FQ5" i="9"/>
  <c r="GG3" i="9"/>
  <c r="FU2" i="9"/>
  <c r="FK5" i="9" l="1"/>
  <c r="FS5" i="9" s="1"/>
  <c r="FR5" i="9" s="1"/>
  <c r="FM5" i="9" s="1"/>
  <c r="FV5" i="9"/>
  <c r="FZ5" i="9"/>
  <c r="GA5" i="9"/>
  <c r="GB5" i="9"/>
  <c r="GF5" i="9"/>
  <c r="FU5" i="9"/>
  <c r="GC5" i="9"/>
  <c r="GG2" i="9"/>
  <c r="FW5" i="9" l="1"/>
  <c r="GE5" i="9" s="1"/>
  <c r="GD5" i="9" s="1"/>
  <c r="GH5" i="9"/>
  <c r="GL5" i="9"/>
  <c r="GX5" i="9" s="1"/>
  <c r="W5" i="6" s="1"/>
  <c r="AD5" i="6" s="1"/>
  <c r="GM5" i="9"/>
  <c r="GY5" i="9" s="1"/>
  <c r="X5" i="6" s="1"/>
  <c r="AE5" i="6" s="1"/>
  <c r="GN5" i="9"/>
  <c r="GZ5" i="9" s="1"/>
  <c r="Y5" i="6" s="1"/>
  <c r="AF5" i="6" s="1"/>
  <c r="GR5" i="9"/>
  <c r="GG5" i="9"/>
  <c r="GO5" i="9"/>
  <c r="HA5" i="9" s="1"/>
  <c r="Z5" i="6" s="1"/>
  <c r="AG5" i="6" s="1"/>
  <c r="FL5" i="9"/>
  <c r="HA6" i="9" l="1"/>
  <c r="GZ6" i="9"/>
  <c r="GX6" i="9"/>
  <c r="GY6" i="9"/>
  <c r="BK5" i="6"/>
  <c r="FX5" i="9"/>
  <c r="FY5" i="9"/>
  <c r="GV5" i="9"/>
  <c r="S5" i="6" s="1"/>
  <c r="GI5" i="9"/>
  <c r="GQ5" i="9" s="1"/>
  <c r="GP5" i="9" s="1"/>
  <c r="GS5" i="9" s="1"/>
  <c r="GV6" i="9" l="1"/>
  <c r="BK6" i="6"/>
  <c r="GJ5" i="9"/>
  <c r="GK5" i="9"/>
  <c r="GW5" i="9" s="1"/>
  <c r="GT5" i="9"/>
  <c r="GU5" i="9" l="1"/>
  <c r="U5" i="6" s="1"/>
  <c r="R5" i="6"/>
  <c r="HF5" i="9"/>
  <c r="HG5" i="9"/>
  <c r="HH5" i="9" s="1"/>
  <c r="HB5" i="9"/>
  <c r="T5" i="6" s="1"/>
  <c r="HJ5" i="9"/>
  <c r="HC5" i="9"/>
  <c r="HI5" i="9" l="1"/>
  <c r="HK5" i="9" s="1"/>
  <c r="HD5" i="9"/>
  <c r="HE5" i="9"/>
  <c r="V5" i="6" s="1"/>
  <c r="AB5" i="6" s="1"/>
  <c r="BJ5" i="6" s="1"/>
  <c r="AC5" i="6" l="1"/>
  <c r="GW6" i="9" l="1"/>
  <c r="HC6" i="9"/>
  <c r="HB6" i="9"/>
  <c r="AJ5" i="6"/>
  <c r="BW5" i="6" s="1"/>
  <c r="BX5" i="6" s="1"/>
  <c r="BY5" i="6" s="1"/>
  <c r="BJ6" i="6" l="1"/>
  <c r="AR5" i="6"/>
  <c r="BP5" i="6" s="1"/>
  <c r="CB5" i="6" s="1"/>
  <c r="AQ5" i="6"/>
  <c r="BO5" i="6" s="1"/>
  <c r="HD6" i="9"/>
  <c r="AC6" i="6"/>
  <c r="BN5" i="6"/>
  <c r="AJ6" i="6"/>
  <c r="CA5" i="6" l="1"/>
  <c r="AS5" i="6"/>
  <c r="BU5" i="6" s="1"/>
  <c r="BP6" i="6"/>
  <c r="BZ5" i="6"/>
  <c r="CD5" i="6" s="1"/>
  <c r="CE5" i="6" s="1"/>
  <c r="CF5" i="6" s="1"/>
  <c r="BN6" i="6"/>
  <c r="BO6" i="6"/>
  <c r="AT5" i="6" l="1"/>
  <c r="BV5" i="6" s="1"/>
  <c r="CA6" i="6"/>
  <c r="CC5" i="6"/>
  <c r="BU6" i="6"/>
  <c r="BV6" i="6" l="1"/>
  <c r="AT6" i="6"/>
</calcChain>
</file>

<file path=xl/comments1.xml><?xml version="1.0" encoding="utf-8"?>
<comments xmlns="http://schemas.openxmlformats.org/spreadsheetml/2006/main">
  <authors>
    <author>Usuario de Windows</author>
  </authors>
  <commentList>
    <comment ref="AH3" authorId="0" shapeId="0">
      <text>
        <r>
          <rPr>
            <b/>
            <sz val="9"/>
            <color indexed="81"/>
            <rFont val="Tahoma"/>
            <family val="2"/>
          </rPr>
          <t>PAR</t>
        </r>
      </text>
    </comment>
  </commentList>
</comments>
</file>

<file path=xl/sharedStrings.xml><?xml version="1.0" encoding="utf-8"?>
<sst xmlns="http://schemas.openxmlformats.org/spreadsheetml/2006/main" count="966" uniqueCount="706">
  <si>
    <t>APELLIDO &amp; NOMBRE</t>
  </si>
  <si>
    <t>TELEFONO</t>
  </si>
  <si>
    <t>CARGO</t>
  </si>
  <si>
    <t>FECHA DE INGRESO</t>
  </si>
  <si>
    <t>FECHA</t>
  </si>
  <si>
    <t>ID PERSONAL</t>
  </si>
  <si>
    <t>NOMBRE DEL COLABORADOR</t>
  </si>
  <si>
    <t>NÚMERO DE IDENTIFICACIÓN</t>
  </si>
  <si>
    <t>ACTIVO</t>
  </si>
  <si>
    <t>REPORTE DE ENTRADAS Y SALIDAS DEL PERSONAL</t>
  </si>
  <si>
    <t>INICIO DE QUINCENA CORRESPONDIENTE A LA FECHA :</t>
  </si>
  <si>
    <t>HORAS</t>
  </si>
  <si>
    <t>CODIGO</t>
  </si>
  <si>
    <t>NOMBRE Y APELLIDO</t>
  </si>
  <si>
    <t>CONTROL</t>
  </si>
  <si>
    <t>ENTRADA 01</t>
  </si>
  <si>
    <t>SALIDA 01</t>
  </si>
  <si>
    <t>HORAS 01</t>
  </si>
  <si>
    <t>ENTRADA 03</t>
  </si>
  <si>
    <t>SALIDA 03</t>
  </si>
  <si>
    <t>HORAS 02</t>
  </si>
  <si>
    <t>ENTRADA 05</t>
  </si>
  <si>
    <t>SALIDA 05</t>
  </si>
  <si>
    <t>HORAS 03</t>
  </si>
  <si>
    <t>ENTRADA 07</t>
  </si>
  <si>
    <t>SALIDA 07</t>
  </si>
  <si>
    <t>HORAS 04</t>
  </si>
  <si>
    <t>DIA 04</t>
  </si>
  <si>
    <t>HORAS 05</t>
  </si>
  <si>
    <t>DIA 05</t>
  </si>
  <si>
    <t>HORAS 06</t>
  </si>
  <si>
    <t>DIA 06</t>
  </si>
  <si>
    <t>HORAS 07</t>
  </si>
  <si>
    <t>DIA 07</t>
  </si>
  <si>
    <t>ENTRADA 15</t>
  </si>
  <si>
    <t>SALIDA 15</t>
  </si>
  <si>
    <t>HORAS 08</t>
  </si>
  <si>
    <t>DIA 08</t>
  </si>
  <si>
    <t>HORAS 09</t>
  </si>
  <si>
    <t>DIA 09</t>
  </si>
  <si>
    <t>HORAS 10</t>
  </si>
  <si>
    <t>DIA 10</t>
  </si>
  <si>
    <t>FERIADO 10</t>
  </si>
  <si>
    <t>HORAS 11</t>
  </si>
  <si>
    <t>DIA 11</t>
  </si>
  <si>
    <t>FERIADO 11</t>
  </si>
  <si>
    <t>HORAS 12</t>
  </si>
  <si>
    <t>DIA 12</t>
  </si>
  <si>
    <t>FERIADO 12</t>
  </si>
  <si>
    <t>HORAS 13</t>
  </si>
  <si>
    <t>DIA 13</t>
  </si>
  <si>
    <t>FERIADO 13</t>
  </si>
  <si>
    <t>HORAS 14</t>
  </si>
  <si>
    <t>DIA 14</t>
  </si>
  <si>
    <t>FERIADO 14</t>
  </si>
  <si>
    <t>HORAS 15</t>
  </si>
  <si>
    <t>FERIADO 15</t>
  </si>
  <si>
    <t>HORAS 16</t>
  </si>
  <si>
    <t>DIA 16</t>
  </si>
  <si>
    <t>FERIADO 16</t>
  </si>
  <si>
    <t>DIAS LABORADOS</t>
  </si>
  <si>
    <t>FERIADOS</t>
  </si>
  <si>
    <t>RESTANTES</t>
  </si>
  <si>
    <t>DIAS A LABORAR</t>
  </si>
  <si>
    <t>SEPTIMO DIA</t>
  </si>
  <si>
    <t>COMPLETO</t>
  </si>
  <si>
    <t>REFERENCIA</t>
  </si>
  <si>
    <t>CRITERIO</t>
  </si>
  <si>
    <t>REVISIÓN</t>
  </si>
  <si>
    <t>REPORTE X DIA</t>
  </si>
  <si>
    <t>EXTRAS DIURNAS</t>
  </si>
  <si>
    <t>EXTRAS NOCTURNO 6 -8</t>
  </si>
  <si>
    <t>EXTRAS NOCTURNO 8 +</t>
  </si>
  <si>
    <t>EXTRAS DIURNAS 01</t>
  </si>
  <si>
    <t>EXTRAS NOCTURNAS 8+ 01</t>
  </si>
  <si>
    <t>ENTRADA 02</t>
  </si>
  <si>
    <t>SALIDA 02</t>
  </si>
  <si>
    <t>EXTRAS DIURNAS 02</t>
  </si>
  <si>
    <t>EXTRAS VESPERTINAS 5-6 02</t>
  </si>
  <si>
    <t>EXTRAS NOCTURNAS 8+ 02</t>
  </si>
  <si>
    <t>EXTRAS VESPERTINAS 5-6 01</t>
  </si>
  <si>
    <t>EXTRAS NOCTURNAS 6-8 01</t>
  </si>
  <si>
    <t>EXTRAS NOCTURNAS 6-8 02</t>
  </si>
  <si>
    <t>EXTRAS DIURNAS 03</t>
  </si>
  <si>
    <t>EXTRAS VESPERTINAS 5-6 03</t>
  </si>
  <si>
    <t>EXTRAS NOCTURNAS 6-8 03</t>
  </si>
  <si>
    <t>EXTRAS NOCTURNAS 8+ 03</t>
  </si>
  <si>
    <t>DIA 01</t>
  </si>
  <si>
    <t>FERIADO 01</t>
  </si>
  <si>
    <t>DIA 02</t>
  </si>
  <si>
    <t>FERIADO 02</t>
  </si>
  <si>
    <t>DIA 03</t>
  </si>
  <si>
    <t>FERIADO 03</t>
  </si>
  <si>
    <t>ENTRADA 04</t>
  </si>
  <si>
    <t>SALIDA 04</t>
  </si>
  <si>
    <t>EXTRAS DIURNAS 04</t>
  </si>
  <si>
    <t>EXTRAS VESPERTINAS 5-6 04</t>
  </si>
  <si>
    <t>EXTRAS NOCTURNAS 6-8 04</t>
  </si>
  <si>
    <t>EXTRAS NOCTURNAS 8+ 04</t>
  </si>
  <si>
    <t>FERIADO 04</t>
  </si>
  <si>
    <t>FERIADO 05</t>
  </si>
  <si>
    <t>EXTRAS DIURNAS 05</t>
  </si>
  <si>
    <t>EXTRAS VESPERTINAS 5-6 05</t>
  </si>
  <si>
    <t>EXTRAS NOCTURNAS 6-8 05</t>
  </si>
  <si>
    <t>EXTRAS NOCTURNAS 8+ 05</t>
  </si>
  <si>
    <t>ENTRADA 06</t>
  </si>
  <si>
    <t>SALIDA 06</t>
  </si>
  <si>
    <t>FERIADO 06</t>
  </si>
  <si>
    <t>EXTRAS DIURNAS 06</t>
  </si>
  <si>
    <t>EXTRAS VESPERTINAS 5-6 06</t>
  </si>
  <si>
    <t>EXTRAS NOCTURNAS 6-8 06</t>
  </si>
  <si>
    <t>EXTRAS NOCTURNAS 8+ 06</t>
  </si>
  <si>
    <t>FERIADO 07</t>
  </si>
  <si>
    <t>EXTRAS DIURNAS 07</t>
  </si>
  <si>
    <t>EXTRAS VESPERTINAS 5-6 07</t>
  </si>
  <si>
    <t>EXTRAS NOCTURNAS 6-8 07</t>
  </si>
  <si>
    <t>EXTRAS NOCTURNAS 8+ 07</t>
  </si>
  <si>
    <t>ENTRADA 08</t>
  </si>
  <si>
    <t>SALIDA 08</t>
  </si>
  <si>
    <t>EXTRAS DIURNAS 08</t>
  </si>
  <si>
    <t>EXTRAS VESPERTINAS 5-6 08</t>
  </si>
  <si>
    <t>EXTRAS NOCTURNAS 6-8 08</t>
  </si>
  <si>
    <t>EXTRAS NOCTURNAS 8+ 08</t>
  </si>
  <si>
    <t>ENTRADA 09</t>
  </si>
  <si>
    <t>SALIDA 09</t>
  </si>
  <si>
    <t>FERIADO 09</t>
  </si>
  <si>
    <t>FERIADO 08</t>
  </si>
  <si>
    <t>EXTRAS DIURNAS 09</t>
  </si>
  <si>
    <t>EXTRAS VESPERTINAS 5-6 09</t>
  </si>
  <si>
    <t>EXTRAS NOCTURNAS 6-8 09</t>
  </si>
  <si>
    <t>EXTRAS NOCTURNAS 8+ 09</t>
  </si>
  <si>
    <t>ENTRADA 10</t>
  </si>
  <si>
    <t>SALIDA 10</t>
  </si>
  <si>
    <t>EXTRAS DIURNAS 10</t>
  </si>
  <si>
    <t>EXTRAS VESPERTINAS 5-6 10</t>
  </si>
  <si>
    <t>EXTRAS NOCTURNAS 6-8 10</t>
  </si>
  <si>
    <t>EXTRAS NOCTURNAS 8+ 10</t>
  </si>
  <si>
    <t>ENTRADA 11</t>
  </si>
  <si>
    <t>SALIDA 11</t>
  </si>
  <si>
    <t>EXTRAS DIURNAS 11</t>
  </si>
  <si>
    <t>EXTRAS VESPERTINAS 5-6 11</t>
  </si>
  <si>
    <t>EXTRAS NOCTURNAS 6-8 11</t>
  </si>
  <si>
    <t>EXTRAS NOCTURNAS 8+ 11</t>
  </si>
  <si>
    <t>ENTRADA 12</t>
  </si>
  <si>
    <t>SALIDA 12</t>
  </si>
  <si>
    <t>EXTRAS DIURNAS 12</t>
  </si>
  <si>
    <t>EXTRAS VESPERTINAS 5-6 12</t>
  </si>
  <si>
    <t>EXTRAS NOCTURNAS 6-8 12</t>
  </si>
  <si>
    <t>EXTRAS NOCTURNAS 8+ 12</t>
  </si>
  <si>
    <t>ENTRADA 13</t>
  </si>
  <si>
    <t>SALIDA 13</t>
  </si>
  <si>
    <t>EXTRAS DIURNAS 13</t>
  </si>
  <si>
    <t>EXTRAS VESPERTINAS 5-6 13</t>
  </si>
  <si>
    <t>EXTRAS NOCTURNAS 6-8 13</t>
  </si>
  <si>
    <t>EXTRAS NOCTURNAS 8+ 13</t>
  </si>
  <si>
    <t>ENTRADA 14</t>
  </si>
  <si>
    <t>SALIDA 14</t>
  </si>
  <si>
    <t>EXTRAS DIURNAS 14</t>
  </si>
  <si>
    <t>EXTRAS VESPERTINAS 5-6 14</t>
  </si>
  <si>
    <t>EXTRAS NOCTURNAS 6-8 14</t>
  </si>
  <si>
    <t>EXTRAS NOCTURNAS 8+ 14</t>
  </si>
  <si>
    <t>EXTRAS DIURNAS 15</t>
  </si>
  <si>
    <t>EXTRAS VESPERTINAS 5-6 15</t>
  </si>
  <si>
    <t>EXTRAS NOCTURNAS 6-8 15</t>
  </si>
  <si>
    <t>EXTRAS NOCTURNAS 8+ 15</t>
  </si>
  <si>
    <t>ENTRADA 16</t>
  </si>
  <si>
    <t>SALIDA 16</t>
  </si>
  <si>
    <t>EXTRAS DIURNAS 16</t>
  </si>
  <si>
    <t>EXTRAS VESPERTINAS 5-6 16</t>
  </si>
  <si>
    <t>EXTRAS NOCTURNAS 6-8 16</t>
  </si>
  <si>
    <t>EXTRAS NOCTURNAS 8+ 16</t>
  </si>
  <si>
    <t xml:space="preserve">EXTRAS DIURNAS </t>
  </si>
  <si>
    <t xml:space="preserve">EXTRAS NOCTURNAS 6-8 </t>
  </si>
  <si>
    <t xml:space="preserve">EXTRAS NOCTURNAS 8+ </t>
  </si>
  <si>
    <t>SI</t>
  </si>
  <si>
    <t>AÑO NUEVO</t>
  </si>
  <si>
    <t>FECHA DE REGISTRO</t>
  </si>
  <si>
    <t>NOMBRE</t>
  </si>
  <si>
    <t>COMPROBANTE</t>
  </si>
  <si>
    <t>USUARIO</t>
  </si>
  <si>
    <t>FLORENCIA INTERCOMERCIAL S.A.</t>
  </si>
  <si>
    <t>SALARIO BASICO MENSUAL</t>
  </si>
  <si>
    <t>SALARIO BASICO POR HORA</t>
  </si>
  <si>
    <t>SALARIO BASICO QUINCENAL</t>
  </si>
  <si>
    <t>H.E. DIURNAS</t>
  </si>
  <si>
    <t>H.E. VESPERTINO 5-6</t>
  </si>
  <si>
    <t>H.E. NOCTURNO 6-8</t>
  </si>
  <si>
    <t>H.E. NOCTURNO 8+</t>
  </si>
  <si>
    <t>INGRESO H.E. NOCTURNO 6-8</t>
  </si>
  <si>
    <t>INGRESO H.E. NOCTURNO 8+</t>
  </si>
  <si>
    <t>TOTAL HORAS LABORADAS</t>
  </si>
  <si>
    <t>TOTAL DE HORAS EXTRAS</t>
  </si>
  <si>
    <t>INGRESOS NETOS</t>
  </si>
  <si>
    <t>TOTAL HORAS RESTANTES</t>
  </si>
  <si>
    <t>TOTAL HORAS ORDINARIAS</t>
  </si>
  <si>
    <t>TOTAL DE HORAS LABORADAS</t>
  </si>
  <si>
    <t>HORAS ORDINARIAS LABORADAS</t>
  </si>
  <si>
    <t>HORAS EXTRAS LABORADAS</t>
  </si>
  <si>
    <t>CONFIGURACIÓN DE CALENDARIO</t>
  </si>
  <si>
    <t>AÑO</t>
  </si>
  <si>
    <t>MES</t>
  </si>
  <si>
    <t>INICIO DE SEMANA</t>
  </si>
  <si>
    <t>NOTAS:</t>
  </si>
  <si>
    <t>ENERO</t>
  </si>
  <si>
    <t>COLABORADOR:</t>
  </si>
  <si>
    <t>ID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</si>
  <si>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</si>
  <si>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</si>
  <si>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</si>
  <si>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</si>
  <si>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</si>
  <si>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</si>
  <si>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</si>
  <si>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</si>
  <si>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</si>
  <si>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</si>
  <si>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</si>
  <si>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REGISTRO UNICO</t>
  </si>
  <si>
    <t>REFERENCIA UNICA</t>
  </si>
  <si>
    <t>LUICHIX</t>
  </si>
  <si>
    <t>ADMINISTRACIÓN</t>
  </si>
  <si>
    <t>N°  IDENTIFICACIÓN</t>
  </si>
  <si>
    <t>CONTRASEÑA</t>
  </si>
  <si>
    <t>PERMISOS</t>
  </si>
  <si>
    <t xml:space="preserve">HOJA 1 ID_PERSONAL </t>
  </si>
  <si>
    <t>HOJA 2 HORAS</t>
  </si>
  <si>
    <t>HOJA 3 CONSOLIDADO</t>
  </si>
  <si>
    <t>HOJA 4 PLANILLA</t>
  </si>
  <si>
    <t>HOJA 58 CALENDARIO</t>
  </si>
  <si>
    <t>HOJA 9 CONSTANCIAS</t>
  </si>
  <si>
    <t>HOJA 5 COLILLA</t>
  </si>
  <si>
    <t>HOJA 81 PARAMETROS</t>
  </si>
  <si>
    <t>HOJA 82 USUARIOS</t>
  </si>
  <si>
    <t>HOJA 83 LOGIN</t>
  </si>
  <si>
    <t>ADMINISTRADOR</t>
  </si>
  <si>
    <t>HOJA 7 VACACIONES</t>
  </si>
  <si>
    <t>STATUS</t>
  </si>
  <si>
    <t>APROBACIÓN EXTRAS DIURNAS</t>
  </si>
  <si>
    <t>NO</t>
  </si>
  <si>
    <t>ADMINISTRATIVO</t>
  </si>
  <si>
    <t>REGIMEN</t>
  </si>
  <si>
    <t>ESTADO</t>
  </si>
  <si>
    <t>SALARIO</t>
  </si>
  <si>
    <t>HORAS ALMUERZO</t>
  </si>
  <si>
    <t>APROBACIÓN HORAS ALMUERZO</t>
  </si>
  <si>
    <t>APROBADO</t>
  </si>
  <si>
    <t>CATEGORIA</t>
  </si>
  <si>
    <t>TIEMPO 01</t>
  </si>
  <si>
    <t>TIEMPO 02</t>
  </si>
  <si>
    <t>TIEMPO 03</t>
  </si>
  <si>
    <t>TIEMPO 04</t>
  </si>
  <si>
    <t>TIEMPO 05</t>
  </si>
  <si>
    <t>TIEMPO 06</t>
  </si>
  <si>
    <t>TIEMPO 07</t>
  </si>
  <si>
    <t>TIEMPO 08</t>
  </si>
  <si>
    <t>TIEMPO 09</t>
  </si>
  <si>
    <t>TIEMPO 10</t>
  </si>
  <si>
    <t>TIEMPO 11</t>
  </si>
  <si>
    <t>TIEMPO 12</t>
  </si>
  <si>
    <t>TIEMPO 13</t>
  </si>
  <si>
    <t>TIEMPO 14</t>
  </si>
  <si>
    <t>TIEMPO 15</t>
  </si>
  <si>
    <t>TIEMPO 16</t>
  </si>
  <si>
    <t>DIA 15</t>
  </si>
  <si>
    <t>ULTIMA ACTUALIZACIÓN</t>
  </si>
  <si>
    <t>EGRESO HORAS RESTANTES</t>
  </si>
  <si>
    <t>INGRESOS ORDINARIOS</t>
  </si>
  <si>
    <t>SALARIO BASICO POR UNIDAD DE TIEMPO</t>
  </si>
  <si>
    <t>REPORTE DE HORAS ORDINARIAS / EXTRAORDINARIA / COMPENSATORIAS / RESTANTES</t>
  </si>
  <si>
    <t>REPORTE DETALLADO DE HORAS EXTRAORDINARIAS</t>
  </si>
  <si>
    <t>INGRESO H.E DIURNAS</t>
  </si>
  <si>
    <t>HORA EXTRA</t>
  </si>
  <si>
    <t>DIURNA</t>
  </si>
  <si>
    <t>NOCTURNA 8+</t>
  </si>
  <si>
    <t>INGRESO H.E. VESPERTINO 5-6</t>
  </si>
  <si>
    <t xml:space="preserve">DETALLE DE INGRESOS </t>
  </si>
  <si>
    <t>INGRESOS BRUTOS</t>
  </si>
  <si>
    <t>PRESTAMOS PERSONALES</t>
  </si>
  <si>
    <t>VALES</t>
  </si>
  <si>
    <t>OTRAS DEDUCCIONES</t>
  </si>
  <si>
    <t>SEGURO SOCIAL</t>
  </si>
  <si>
    <t>SEGURO EDUCATIVO</t>
  </si>
  <si>
    <t>TOTAL DE DEDUCCIÓNES</t>
  </si>
  <si>
    <t>&lt;</t>
  </si>
  <si>
    <t>CLASIFICACIÓN DE CONTRATO</t>
  </si>
  <si>
    <t>INACTIVO</t>
  </si>
  <si>
    <t>DOMINGO</t>
  </si>
  <si>
    <t>ANALISIS MARCAJE INICIAL</t>
  </si>
  <si>
    <t>ANALISIS MARCAJE FINAL</t>
  </si>
  <si>
    <t>MARCA INICIAL</t>
  </si>
  <si>
    <t>MARCA FINAL</t>
  </si>
  <si>
    <t>TIEMPO A FAVOR 01</t>
  </si>
  <si>
    <t>TIEMPO PENDIENTE 01</t>
  </si>
  <si>
    <t>TIEMPO A FAVOR 02</t>
  </si>
  <si>
    <t>TIEMPO PENDIENTE 02</t>
  </si>
  <si>
    <t>TIEMPO A FAVOR 03</t>
  </si>
  <si>
    <t>TIEMPO A FAVOR 04</t>
  </si>
  <si>
    <t>TIEMPO PENDIENTE 03</t>
  </si>
  <si>
    <t>TIEMPO A FAVOR 05</t>
  </si>
  <si>
    <t>TIEMPO PENDIENTE 04</t>
  </si>
  <si>
    <t>TIEMPO A FAVOR 06</t>
  </si>
  <si>
    <t>TIEMPO PENDIENTE 05</t>
  </si>
  <si>
    <t>TIEMPO A FAVOR 07</t>
  </si>
  <si>
    <t>TIEMPO PENDIENTE 06</t>
  </si>
  <si>
    <t>TIEMPO A FAVOR 08</t>
  </si>
  <si>
    <t>TIEMPO PENDIENTE 07</t>
  </si>
  <si>
    <t>TIEMPO PENDIENTE 08</t>
  </si>
  <si>
    <t>TIEMPO A FAVOR 09</t>
  </si>
  <si>
    <t>TIEMPO PENDIENTE 09</t>
  </si>
  <si>
    <t>TIEMPO A FAVOR 10</t>
  </si>
  <si>
    <t>TIEMPO PENDIENTE 10</t>
  </si>
  <si>
    <t>TIEMPO A FAVOR 11</t>
  </si>
  <si>
    <t>TIEMPO PENDIENTE 11</t>
  </si>
  <si>
    <t>TIEMPO A FAVOR 12</t>
  </si>
  <si>
    <t>TIEMPO PENDIENTE 12</t>
  </si>
  <si>
    <t>TIEMPO PENDIENTE 13</t>
  </si>
  <si>
    <t>TIEMPO A FAVOR 13</t>
  </si>
  <si>
    <t>TIEMPO A FAVOR 14</t>
  </si>
  <si>
    <t>TIEMPO PENDIENTE 14</t>
  </si>
  <si>
    <t>TIEMPO PENDIENTE 15</t>
  </si>
  <si>
    <t>TIEMPO A FAVOR 15</t>
  </si>
  <si>
    <t>TIEMPO PENDIENTE 16</t>
  </si>
  <si>
    <t>TIEMPO A FAVOR 16</t>
  </si>
  <si>
    <t>SALDO DE TIEMPO A FAVOR</t>
  </si>
  <si>
    <t>MARCAJE ALMUERZO</t>
  </si>
  <si>
    <t>NO APROBADO</t>
  </si>
  <si>
    <t>N°</t>
  </si>
  <si>
    <t>TOTAL DE HORAS A FAVOR</t>
  </si>
  <si>
    <t>MARCAJE EXTRA DIURNAS</t>
  </si>
  <si>
    <t>CONTRATO</t>
  </si>
  <si>
    <t>VENTAS FLORENCIA</t>
  </si>
  <si>
    <t>PRESTAMOS BANCARIOS</t>
  </si>
  <si>
    <t>DETALLE</t>
  </si>
  <si>
    <t>CUENTA</t>
  </si>
  <si>
    <t>FECHA DE CARGO</t>
  </si>
  <si>
    <t>COMISION</t>
  </si>
  <si>
    <t>COMISIONES</t>
  </si>
  <si>
    <t xml:space="preserve">SALDO PRESTAMO PERSONAL </t>
  </si>
  <si>
    <t xml:space="preserve"> CUOTAS PRESTAMO PERSONAL </t>
  </si>
  <si>
    <t xml:space="preserve"> SALDO PRESTAMO BANCARIO </t>
  </si>
  <si>
    <t xml:space="preserve"> CUOTA PRESTAMO BANCARIO </t>
  </si>
  <si>
    <t xml:space="preserve"> SALDO VALE </t>
  </si>
  <si>
    <t xml:space="preserve"> CUOTA VALE </t>
  </si>
  <si>
    <t xml:space="preserve"> SALDO VENTA FLORENCIA </t>
  </si>
  <si>
    <t xml:space="preserve"> CUOTA VENTA FLORENCIA </t>
  </si>
  <si>
    <t xml:space="preserve"> SALDO OTRAS DEDUCCIONES </t>
  </si>
  <si>
    <t xml:space="preserve"> CUOTA OTRAS DEDUCCIONES </t>
  </si>
  <si>
    <t>DETALLE DE SALDOS Y CUOTAS DE CUENTAS</t>
  </si>
  <si>
    <t>VALOR EXTRAS DIURNAS</t>
  </si>
  <si>
    <t>VALOR EXTRAS VESPERTINAS 5 - 6</t>
  </si>
  <si>
    <t>VALOR EXTRAS VESPERTINAS 6 - 8</t>
  </si>
  <si>
    <t>VALOR EXTRAS NOCTUNAS 8 +</t>
  </si>
  <si>
    <t>SEGURIDAD</t>
  </si>
  <si>
    <t>FECHA DE BAJA</t>
  </si>
  <si>
    <t>SPE</t>
  </si>
  <si>
    <t>-</t>
  </si>
  <si>
    <t>MOTIVO</t>
  </si>
  <si>
    <t>HORARIO AUMENTADO</t>
  </si>
  <si>
    <t>FECHA PUENTE</t>
  </si>
  <si>
    <t>TIEMPO A FAVOR</t>
  </si>
  <si>
    <t>TIEMPO PENDIENTE</t>
  </si>
  <si>
    <t>ASUNTOS PERSONALES</t>
  </si>
  <si>
    <t>REGISTRADO</t>
  </si>
  <si>
    <t>QUINCENA DE EXONERACIÓN</t>
  </si>
  <si>
    <t>QUINCENA DE ANULACIÓN</t>
  </si>
  <si>
    <t>EXONERACIÓN DE HORAS PENDIENTES</t>
  </si>
  <si>
    <t>ANULACIÓN DE HORAS EXTRAS</t>
  </si>
  <si>
    <t>EXONERACIÓN DE HORAS RESTANTES</t>
  </si>
  <si>
    <t>MOTIVOS PERSONALES</t>
  </si>
  <si>
    <t xml:space="preserve">SALARIO BASE QUINCENAL </t>
  </si>
  <si>
    <t>CONTROL HORARIO</t>
  </si>
  <si>
    <t>EJEMPLO</t>
  </si>
  <si>
    <t>HOJA 8 CUENTAS</t>
  </si>
  <si>
    <t>HOJA 10 ACCIONES</t>
  </si>
  <si>
    <t>HOJA11 COMPROBANTES</t>
  </si>
  <si>
    <t>HOJA12 DEPOSITO</t>
  </si>
  <si>
    <t>HOJA13 COMISIONES</t>
  </si>
  <si>
    <t>HOJA15 ANULACIÓN</t>
  </si>
  <si>
    <t>HOJA14 EXONERACIÓN</t>
  </si>
  <si>
    <t>BOTON 1</t>
  </si>
  <si>
    <t>BOTON 2</t>
  </si>
  <si>
    <t>BOTON 3</t>
  </si>
  <si>
    <t>BOTON 4</t>
  </si>
  <si>
    <t>BOTON 5</t>
  </si>
  <si>
    <t>BOTON 6</t>
  </si>
  <si>
    <t>BOTON 7</t>
  </si>
  <si>
    <t>BOTON 8</t>
  </si>
  <si>
    <t>BOTON 9</t>
  </si>
  <si>
    <t>BOTON 10</t>
  </si>
  <si>
    <t>BOTON 11</t>
  </si>
  <si>
    <t>BOTON 12</t>
  </si>
  <si>
    <t>BOTON 13</t>
  </si>
  <si>
    <t>BOTON 14</t>
  </si>
  <si>
    <t>BOTON 15</t>
  </si>
  <si>
    <t>BOTON 16</t>
  </si>
  <si>
    <t>BOTON 17</t>
  </si>
  <si>
    <t>BOTON 18</t>
  </si>
  <si>
    <t>ADMIN</t>
  </si>
  <si>
    <t>REYCHU</t>
  </si>
  <si>
    <t>IMPORTAR HORA</t>
  </si>
  <si>
    <t>LOGIN</t>
  </si>
  <si>
    <t>COMISIONES DE MARZO</t>
  </si>
  <si>
    <t>TIPO DE PLANILLA</t>
  </si>
  <si>
    <t>HOJA 6 PUENTE</t>
  </si>
  <si>
    <t>PENALIZACIÓN</t>
  </si>
  <si>
    <t>PENALIZADO</t>
  </si>
  <si>
    <t>NO PENALIZADO</t>
  </si>
  <si>
    <t>BOTON 19</t>
  </si>
  <si>
    <t>HOJA 16 REPORTE</t>
  </si>
  <si>
    <t>SOBRE TIEMPO</t>
  </si>
  <si>
    <t>AJUSTE SALARIAL</t>
  </si>
  <si>
    <t>AJUSTE</t>
  </si>
  <si>
    <t>SALARIO BRUTO</t>
  </si>
  <si>
    <t>CUENTAS F.I.S.A</t>
  </si>
  <si>
    <t>SALARIO NETO</t>
  </si>
  <si>
    <t>BOTON 20</t>
  </si>
  <si>
    <t>COLABORADOR</t>
  </si>
  <si>
    <t>HOJA 17 AJUSTES</t>
  </si>
  <si>
    <t>AJUSTES DE QUINCENA EJEMPLO</t>
  </si>
  <si>
    <t>Total</t>
  </si>
  <si>
    <t>S.S</t>
  </si>
  <si>
    <t>S.E</t>
  </si>
  <si>
    <t>VIATICO PERSONAL</t>
  </si>
  <si>
    <t>VALES/ OTROS</t>
  </si>
  <si>
    <t>HOJA 18 VIATICOS</t>
  </si>
  <si>
    <t>VIATICO</t>
  </si>
  <si>
    <t>CUENTA BANCARIA</t>
  </si>
  <si>
    <t>N° DE CUENTA</t>
  </si>
  <si>
    <t>HOJA19 CHEQUE</t>
  </si>
  <si>
    <t>JORNADA</t>
  </si>
  <si>
    <t>HORAS SABADO</t>
  </si>
  <si>
    <t>ENTRADA SABADO</t>
  </si>
  <si>
    <t>DESCANSO SABADO</t>
  </si>
  <si>
    <t>SALIDA SABADO</t>
  </si>
  <si>
    <t>EXTRAS</t>
  </si>
  <si>
    <t>COMPENSATORIO</t>
  </si>
  <si>
    <t>COMENTARIOS</t>
  </si>
  <si>
    <t>INICIO</t>
  </si>
  <si>
    <t>FIN</t>
  </si>
  <si>
    <t>&gt;</t>
  </si>
  <si>
    <t>INICIO CONTRATO</t>
  </si>
  <si>
    <t>FIN CONTRATO</t>
  </si>
  <si>
    <t>SALARIO BASE</t>
  </si>
  <si>
    <t>ÁREA</t>
  </si>
  <si>
    <t>CUENTA DE PAGO</t>
  </si>
  <si>
    <t>MIXTA 6 - 8</t>
  </si>
  <si>
    <t>DESCANSO</t>
  </si>
  <si>
    <t>SALIDA</t>
  </si>
  <si>
    <t>ENTRADA</t>
  </si>
  <si>
    <t>HORAS DIA DE SEMANA</t>
  </si>
  <si>
    <t>EXTRAS VESPERTINO - 6</t>
  </si>
  <si>
    <t xml:space="preserve">EXTRAS VESPERTINAS </t>
  </si>
  <si>
    <t>FECHA DE SALIDA</t>
  </si>
  <si>
    <t>ADMINISTRACION_J1</t>
  </si>
  <si>
    <t>SABADO EXONERADO</t>
  </si>
  <si>
    <t>DEFINIDO</t>
  </si>
  <si>
    <t>INDEFINIDO</t>
  </si>
  <si>
    <t>SERVICIO PROFESIONAL</t>
  </si>
  <si>
    <t>L-V_8 A 5 ; 1H DESCANSO L_V</t>
  </si>
  <si>
    <t>L-S_8 A 5, 1H DESCANSO L_S, EXONERA SALIDA S_ 3 PM</t>
  </si>
  <si>
    <t>L-V_8 A 5; S_8 A 2PM H; 1H DESCANSO L_S</t>
  </si>
  <si>
    <t>L-V_8 A 5 ; S_8 A 1:30 PM; 1H DESCANSO L_V</t>
  </si>
  <si>
    <t>ALARMA</t>
  </si>
  <si>
    <t>HOJA 20 HISTORICO</t>
  </si>
  <si>
    <t>HOJA 21 DECIMO</t>
  </si>
  <si>
    <t>SEGURO SOCIAL DECIMO</t>
  </si>
  <si>
    <t>DECIMO QUINCENAL</t>
  </si>
  <si>
    <t>NETO DECIMO</t>
  </si>
  <si>
    <t>REPORTE INDIVIDUAL DE JORNADA LABORAL</t>
  </si>
  <si>
    <t>ID:</t>
  </si>
  <si>
    <t>JORNADA:</t>
  </si>
  <si>
    <t>HORAS LABORADAS</t>
  </si>
  <si>
    <t>EXTRAS VESPERTINAS 5-6</t>
  </si>
  <si>
    <t>EXTRAS NOCTURNAS 8+</t>
  </si>
  <si>
    <t>EXTRAS NOCTURNAS 6-8</t>
  </si>
  <si>
    <t>FECHA DE INGRESO:</t>
  </si>
  <si>
    <t>TOTAL</t>
  </si>
  <si>
    <t>HORAS PENDIENTES</t>
  </si>
  <si>
    <t>HORAS A FAVOR</t>
  </si>
  <si>
    <t>SALDO A FAVOR</t>
  </si>
  <si>
    <t>TIEMPO EXTRA:</t>
  </si>
  <si>
    <t>TIEMPO A FAVOR:</t>
  </si>
  <si>
    <t>TOTAL PENDIENTE:</t>
  </si>
  <si>
    <t>TOTAL A FAVOR:</t>
  </si>
  <si>
    <t>HORAS A LABORAR:</t>
  </si>
  <si>
    <t>HORAS LABORADAS:</t>
  </si>
  <si>
    <t>HORAS A LABORAR</t>
  </si>
  <si>
    <t>TIEMPO PENDIENTES:</t>
  </si>
  <si>
    <t>RÉGIMEN:</t>
  </si>
  <si>
    <t>HORAS RESTANTES</t>
  </si>
  <si>
    <t>SALDO AUSENCIA</t>
  </si>
  <si>
    <t>VALOR AUSENCIA</t>
  </si>
  <si>
    <t>SALDO DE TIEMPO PENDIENTE TOTAL</t>
  </si>
  <si>
    <t>&lt;&gt;SIN ASIGNAR</t>
  </si>
  <si>
    <t>NETO VACACIONES</t>
  </si>
  <si>
    <t>S.S. VACACION</t>
  </si>
  <si>
    <t>S.E VACACION</t>
  </si>
  <si>
    <t>VACACION QUINCENAL</t>
  </si>
  <si>
    <t>PRESTAMO</t>
  </si>
  <si>
    <t>TOTAL DEDUCCION</t>
  </si>
  <si>
    <t>AUSENCIA/ TARDANZA</t>
  </si>
  <si>
    <t>L-V_7 A 3 ; S_7_12:30 ; 1H DESCANSO L_V</t>
  </si>
  <si>
    <t>DECIMO VACACION</t>
  </si>
  <si>
    <t>SEGURO SOCIAL DECIMO VACACION</t>
  </si>
  <si>
    <t>NETO DECIMO VACACION</t>
  </si>
  <si>
    <t>MES DE CARGO</t>
  </si>
  <si>
    <t>QUINCENA DE CARGO</t>
  </si>
  <si>
    <t>OBSERVACIONES</t>
  </si>
  <si>
    <t>HOJA 22 CAJA</t>
  </si>
  <si>
    <t>HOJA 23 DECIMO</t>
  </si>
  <si>
    <t>HOJA 24 PRESTACION</t>
  </si>
  <si>
    <t>HOJA 25 RECIBO</t>
  </si>
  <si>
    <t>HOJA 26 DEDUCCIONES</t>
  </si>
  <si>
    <t>HOJA 27</t>
  </si>
  <si>
    <t>HOLA</t>
  </si>
  <si>
    <t>FECHA INICIAL</t>
  </si>
  <si>
    <t>FECHA FINAL</t>
  </si>
  <si>
    <t>TIEMPO DE INCAPACIDAD</t>
  </si>
  <si>
    <t>EJEM´PLO</t>
  </si>
  <si>
    <t>TOTAL PLANILLA SPE:</t>
  </si>
  <si>
    <t>DEL 26 DE MARZO AL 10 DE ABRIL DEL 2020</t>
  </si>
  <si>
    <t>0000-0000</t>
  </si>
  <si>
    <t>USER</t>
  </si>
  <si>
    <t>clave de proteccion de hojas</t>
  </si>
  <si>
    <t>Smith John</t>
  </si>
  <si>
    <t>0001-1234</t>
  </si>
  <si>
    <t>555-123-4567</t>
  </si>
  <si>
    <t>Johnson Robert</t>
  </si>
  <si>
    <t>0002-5678</t>
  </si>
  <si>
    <t>555-234-5678</t>
  </si>
  <si>
    <t>VENTAS</t>
  </si>
  <si>
    <t>VENDEDOR</t>
  </si>
  <si>
    <t>CONTRATO INDEFINIDO</t>
  </si>
  <si>
    <t>Brown Emily</t>
  </si>
  <si>
    <t>0003-9012</t>
  </si>
  <si>
    <t>555-345-6789</t>
  </si>
  <si>
    <t>MARKETING</t>
  </si>
  <si>
    <t>Davis Michael</t>
  </si>
  <si>
    <t>0004-3456</t>
  </si>
  <si>
    <t>555-456-7890</t>
  </si>
  <si>
    <t>PRODUCCIÓN</t>
  </si>
  <si>
    <t>OPERARIO</t>
  </si>
  <si>
    <t>PRODUCCION_J1</t>
  </si>
  <si>
    <t>CONTRATO TEMPORAL</t>
  </si>
  <si>
    <t>Anderson Susan</t>
  </si>
  <si>
    <t>0005-7890</t>
  </si>
  <si>
    <t>555-567-8901</t>
  </si>
  <si>
    <t>RECLUTADOR</t>
  </si>
  <si>
    <t>RECURSOS HUMANOS</t>
  </si>
  <si>
    <t>VENTAS_J1</t>
  </si>
  <si>
    <t>RECURSOS_HUMANOS_J1</t>
  </si>
  <si>
    <t>Perez Luiis</t>
  </si>
  <si>
    <t>1ra  abril 2020</t>
  </si>
  <si>
    <t>Reporte SP, 1ra abril 2020</t>
  </si>
  <si>
    <t>PLANILLA DE PAGO DEL PERSONAL DEL 26 DE MARZO DEL 2020 AL 10 DE ABRIL DEL 2020</t>
  </si>
  <si>
    <t>0/0</t>
  </si>
  <si>
    <t>COMPROBANTE DE PAGO</t>
  </si>
  <si>
    <t>DATOS GENERALES</t>
  </si>
  <si>
    <t>ID PERSONAL:</t>
  </si>
  <si>
    <t>CEDULA DE IDENTIDAD:</t>
  </si>
  <si>
    <t>CARGO EN LA ENTIDAD:</t>
  </si>
  <si>
    <t>DATOS DE PAGO</t>
  </si>
  <si>
    <t>PERIODO DE PAGO:</t>
  </si>
  <si>
    <t>SALARIO MENSUAL:</t>
  </si>
  <si>
    <t>SALARIO QUINCENAL:</t>
  </si>
  <si>
    <t>DETALLE DE LABORES</t>
  </si>
  <si>
    <t>(+)BASE SALARIAL:</t>
  </si>
  <si>
    <t>(-)AUSENCIA/TARDANZA:</t>
  </si>
  <si>
    <t>(=)INGRESO ORDINARIO:</t>
  </si>
  <si>
    <t>DEDUCCIÓNES</t>
  </si>
  <si>
    <t>INGRESO</t>
  </si>
  <si>
    <t>EGRESO</t>
  </si>
  <si>
    <t>SALDO</t>
  </si>
  <si>
    <t>CUOTA</t>
  </si>
  <si>
    <t>INGRESO ORDINARIO:</t>
  </si>
  <si>
    <t>EXTRAS DIURNAS:</t>
  </si>
  <si>
    <t>EXTRAS 5PM - 6PM:</t>
  </si>
  <si>
    <t>EXTRAS 6PM - 8PM:</t>
  </si>
  <si>
    <t>EXTRAS 8+:</t>
  </si>
  <si>
    <t>COMISIÓNES:</t>
  </si>
  <si>
    <t>AJUSTE:</t>
  </si>
  <si>
    <t>PRESTAMOS PERSONALES:</t>
  </si>
  <si>
    <t>PRESTAMOS BANCARIOS:</t>
  </si>
  <si>
    <t>VALES:</t>
  </si>
  <si>
    <t>VENTAS FLORENCIA:</t>
  </si>
  <si>
    <t>OTRAS DEDUCCIONES:</t>
  </si>
  <si>
    <t>VIATICO:</t>
  </si>
  <si>
    <t>SEGURO SOCIAL:</t>
  </si>
  <si>
    <t>SEGURO EDUCATIVO:</t>
  </si>
  <si>
    <t>INGRESOS BRUTOS:</t>
  </si>
  <si>
    <t>TOTAL EGRESOS:</t>
  </si>
  <si>
    <t>NETO A PAGAR:</t>
  </si>
  <si>
    <t>RECIBI CONFORME</t>
  </si>
  <si>
    <t>ACH</t>
  </si>
  <si>
    <t>SP</t>
  </si>
  <si>
    <t>HOJA DE PARAMETROS</t>
  </si>
  <si>
    <t>Contenido</t>
  </si>
  <si>
    <t>Nombre de Tabla</t>
  </si>
  <si>
    <t>Descripción</t>
  </si>
  <si>
    <t>Dias Feriados</t>
  </si>
  <si>
    <t>Tabla de registro de dias feriados.</t>
  </si>
  <si>
    <t>Tabla_Feriados</t>
  </si>
  <si>
    <t>1. Tabla Feriados</t>
  </si>
  <si>
    <t>Tabla_Meses</t>
  </si>
  <si>
    <t>2. Tabla Contratos</t>
  </si>
  <si>
    <t>Contratos</t>
  </si>
  <si>
    <t>Tabla_Contratos</t>
  </si>
  <si>
    <t>Tabla de clasificación de contratos.</t>
  </si>
  <si>
    <t>DIAS DE DESCANSO OBLIGATORIO</t>
  </si>
  <si>
    <t>ID MES</t>
  </si>
  <si>
    <t>AÑOS</t>
  </si>
  <si>
    <t xml:space="preserve"> GENERAL</t>
  </si>
  <si>
    <t>Reporte</t>
  </si>
  <si>
    <t>DIA DE CORTE DE PRIMERA QUINCENA</t>
  </si>
  <si>
    <t>DIA DE CORTE DE SEGUNA QUINCENA</t>
  </si>
  <si>
    <t>DESCRIPCIÓN</t>
  </si>
  <si>
    <t>INICIO DE QUINCENA</t>
  </si>
  <si>
    <t>FINAL DE QUINCENA</t>
  </si>
  <si>
    <t>FECHA DE PAGO DE QUINCENA</t>
  </si>
  <si>
    <t>DESCRIPCIÓN DEL PERIODO DE QUINCENA</t>
  </si>
  <si>
    <t>QUINCENA DE PAGO</t>
  </si>
  <si>
    <t>VALOR</t>
  </si>
  <si>
    <t>REPORTE DE PAGO</t>
  </si>
  <si>
    <t>SALARIO MINIMO POR HORA</t>
  </si>
  <si>
    <t>MESES DEL AÑO</t>
  </si>
  <si>
    <t>SEMANAS DEL AÑO</t>
  </si>
  <si>
    <t>FACTOR DE CONVERSION DE SEMANAS / MESES</t>
  </si>
  <si>
    <t>MINUTOS DE SALIDA MINIMA PARA EVALUAR HORAS EXTRAS</t>
  </si>
  <si>
    <t>MINUTOS DE ENTRADA TARDIA MAXIMA PARA DEDUCCION</t>
  </si>
  <si>
    <t>TIEMPO MINIMO PARA HABILITAR HORARIO DE ALMUERZO</t>
  </si>
  <si>
    <t>NUMERO DE REGISTRO DE COMISIONES</t>
  </si>
  <si>
    <t>NUMERO DE REGISTROS DE VIATICOS</t>
  </si>
  <si>
    <t>NUMERO DE REGISTROS DE AJUSTES</t>
  </si>
  <si>
    <t>NUMERO DE REGISTROS DE EXONERACION</t>
  </si>
  <si>
    <t>NUMERO DE REGISTROS DE ANULACION</t>
  </si>
  <si>
    <t>CLAVE DE PENALIZACION</t>
  </si>
  <si>
    <t>CLAVE DE NO PENALCION</t>
  </si>
  <si>
    <t>CLAVE DE HORARIO AUMENTADO</t>
  </si>
  <si>
    <t>CLAVE DE FECHA PUENTE</t>
  </si>
  <si>
    <t>CLAVE DE ESTADO ACTIVO</t>
  </si>
  <si>
    <t>CLAVE DE ESTADO INACTIVO</t>
  </si>
  <si>
    <t>CLAVE DE APROBACION</t>
  </si>
  <si>
    <t>CLAVE DE NO APROBACION</t>
  </si>
  <si>
    <t>CLAVE DE CONFIRMACION</t>
  </si>
  <si>
    <t>CLAVE DE NEGACION</t>
  </si>
  <si>
    <t>CLAVE DE NO ASIGNACION</t>
  </si>
  <si>
    <t>CLAVE DE ESTADO DE VALOR DEFINIDO</t>
  </si>
  <si>
    <t>CLAVE DE ESTADO DE VALOR INDEFINIDO</t>
  </si>
  <si>
    <t>CATEGORIA DE REPORTE</t>
  </si>
  <si>
    <t>TIPO DE PAGO</t>
  </si>
  <si>
    <t>HORA DE ENTRADA MAXIMA PARA PENALIZAR JORNADA</t>
  </si>
  <si>
    <t>3. Tabla Reporte</t>
  </si>
  <si>
    <t>4. Tabla Pago</t>
  </si>
  <si>
    <t>5. Parametros variables y constantes</t>
  </si>
  <si>
    <t>6. Tabla Id Mes</t>
  </si>
  <si>
    <t>7. Tabla Años Habilitados</t>
  </si>
  <si>
    <t>8. Tabla Nombre Meses</t>
  </si>
  <si>
    <t>Pago</t>
  </si>
  <si>
    <t>Parametros</t>
  </si>
  <si>
    <t>Tabla_Reporte</t>
  </si>
  <si>
    <t>Tabla_Pagos</t>
  </si>
  <si>
    <t>Variables y Constantes</t>
  </si>
  <si>
    <t>Indice Mes</t>
  </si>
  <si>
    <t>Años Habilitados</t>
  </si>
  <si>
    <t>Nombre Meses</t>
  </si>
  <si>
    <t>Tabla_Id_Mes</t>
  </si>
  <si>
    <t>Tabla_Años</t>
  </si>
  <si>
    <t>Actualizacion</t>
  </si>
  <si>
    <t>Requerida</t>
  </si>
  <si>
    <t>Disponible</t>
  </si>
  <si>
    <t>Solo Variables</t>
  </si>
  <si>
    <t>No Modificar</t>
  </si>
  <si>
    <t>Tabla de categorias de reporte.</t>
  </si>
  <si>
    <t>Tabla de tipo de pago.</t>
  </si>
  <si>
    <t>Variables de ajuste de nomina y valores constantes.</t>
  </si>
  <si>
    <t>Indice de los meses.</t>
  </si>
  <si>
    <t>Años habilitados del calendario y plantilla.</t>
  </si>
  <si>
    <t>Nombre de los meses.</t>
  </si>
  <si>
    <t>Modificacion</t>
  </si>
  <si>
    <t>NO MODIFICAR</t>
  </si>
  <si>
    <t>DISPONIBLE</t>
  </si>
  <si>
    <t>REQUERIDA</t>
  </si>
  <si>
    <t>TASA DE SEGURO SOCIAL LABORAL - EMPLEADO</t>
  </si>
  <si>
    <t>TASA DE SEGURO EDUCATIVO LABORAL - EMPLEADO</t>
  </si>
  <si>
    <t>TAS DE SEGURO SOCIAL PATRONAL - EMPLEADOR</t>
  </si>
  <si>
    <t>TASA DE SEGURO EDUCATIVO PATRONAL - EMPLEADOR</t>
  </si>
  <si>
    <t>TASA DE RIESGO PROFESIONAL - EMPLEADOR</t>
  </si>
  <si>
    <t>CONSULTAR</t>
  </si>
  <si>
    <t>SE RECOMIENDA CONSULTAR</t>
  </si>
  <si>
    <t>ESPECIAL</t>
  </si>
  <si>
    <t>9. Tabla Regimen de Tiempo Extraordinario</t>
  </si>
  <si>
    <t>10. Tabla Rangos de Horas Extras</t>
  </si>
  <si>
    <t>11. Tabla Jornadas</t>
  </si>
  <si>
    <t xml:space="preserve">RECARGO </t>
  </si>
  <si>
    <t>Regimen</t>
  </si>
  <si>
    <t>Horas Extras</t>
  </si>
  <si>
    <t>Jornadas</t>
  </si>
  <si>
    <t>Tabla_Regimen</t>
  </si>
  <si>
    <t>Tabla_Extras</t>
  </si>
  <si>
    <t>Tabla_Jornada</t>
  </si>
  <si>
    <t>No Necesaria</t>
  </si>
  <si>
    <t>Tipos de Jornadas de Trabajo.</t>
  </si>
  <si>
    <t>Rangos de Horas Extras.</t>
  </si>
  <si>
    <t>Regimen de Tiempo Extraordinario.</t>
  </si>
  <si>
    <t>GENERAL_J1</t>
  </si>
  <si>
    <t>SERVICIOS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</si>
</sst>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(&quot;C$&quot;* #,##0.00_);_(&quot;C$&quot;* \(#,##0.00\);_(&quot;C$&quot;* &quot;-&quot;??_);_(@_)"/>
    <numFmt numFmtId="165" formatCode="_(* #,##0.00_);_(* \(#,##0.00\);_(* &quot;-&quot;??_);_(@_)"/>
    <numFmt numFmtId="166" formatCode="_(&quot;B/.&quot;* #,##0.00_);_(&quot;B/.&quot;* \(#,##0.00\);_(&quot;B/.&quot;* &quot;-&quot;??_);_(@_)"/>
    <numFmt numFmtId="167" formatCode="[$-4C0A]dddd\,\ dd&quot; de &quot;mmmm&quot; de &quot;yyyy;@"/>
    <numFmt numFmtId="168" formatCode="[$-F800]dddd\,\ mmmm\ dd\,\ yyyy"/>
    <numFmt numFmtId="169" formatCode="[h]:mm"/>
    <numFmt numFmtId="170" formatCode="[$-4C0A]hh:mm:ss\ AM/PM;@"/>
    <numFmt numFmtId="171" formatCode="[hh]:mm"/>
    <numFmt numFmtId="172" formatCode="d"/>
    <numFmt numFmtId="173" formatCode="dd/mm/yyyy\ "/>
    <numFmt numFmtId="174" formatCode="&quot;B/.&quot;#,##0.00"/>
    <numFmt numFmtId="175" formatCode="mmmm\ yyyy"/>
    <numFmt numFmtId="176" formatCode="_ &quot;B/.&quot;\ * #,##0.00_ ;_ &quot;B/.&quot;\ * \-#,##0.00_ ;_ &quot;B/.&quot;\ * &quot;-&quot;??_ ;_ @_ "/>
    <numFmt numFmtId="177" formatCode="m/d/yyyy"/>
    <numFmt numFmtId="178" formatCode="h:mm:ss\ AM/PM"/>
    <numFmt numFmtId="179" formatCode="[$-F400]h:mm:ss\ AM/PM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color theme="0"/>
      <name val="Calibri Light"/>
      <family val="2"/>
      <scheme val="major"/>
    </font>
    <font>
      <sz val="11"/>
      <color theme="2" tint="-0.89996032593768116"/>
      <name val="Calibri"/>
      <family val="2"/>
      <scheme val="minor"/>
    </font>
    <font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Arial Black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 tint="4.9989318521683403E-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"/>
      <color theme="1"/>
      <name val="Webdings"/>
      <family val="1"/>
      <charset val="2"/>
    </font>
    <font>
      <u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gradientFill>
        <stop position="0">
          <color theme="3"/>
        </stop>
        <stop position="0.5">
          <color theme="3" tint="0.40000610370189521"/>
        </stop>
        <stop position="1">
          <color theme="3"/>
        </stop>
      </gradientFill>
    </fill>
    <fill>
      <patternFill patternType="solid">
        <fgColor rgb="FF0054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EDEE6"/>
        <bgColor indexed="64"/>
      </patternFill>
    </fill>
    <fill>
      <patternFill patternType="solid">
        <fgColor rgb="FFE6FAF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rgb="FF00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AFD399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8" tint="-0.49998474074526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thin">
        <color theme="0"/>
      </bottom>
      <diagonal/>
    </border>
    <border>
      <left style="medium">
        <color theme="8"/>
      </left>
      <right style="thin">
        <color theme="0"/>
      </right>
      <top style="thin">
        <color theme="0"/>
      </top>
      <bottom style="medium">
        <color theme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8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medium">
        <color theme="8"/>
      </bottom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/>
      <right/>
      <top/>
      <bottom style="medium">
        <color theme="0"/>
      </bottom>
      <diagonal/>
    </border>
  </borders>
  <cellStyleXfs count="15">
    <xf numFmtId="0" fontId="0" fillId="0" borderId="0"/>
    <xf numFmtId="0" fontId="1" fillId="0" borderId="0"/>
    <xf numFmtId="0" fontId="11" fillId="0" borderId="0" applyFill="0" applyBorder="0">
      <alignment horizontal="center" vertical="center"/>
    </xf>
    <xf numFmtId="0" fontId="12" fillId="5" borderId="0" applyProtection="0">
      <alignment horizontal="left" indent="1"/>
    </xf>
    <xf numFmtId="0" fontId="13" fillId="0" borderId="0">
      <alignment horizontal="left" vertical="center" wrapText="1" indent="1"/>
    </xf>
    <xf numFmtId="0" fontId="14" fillId="6" borderId="6" applyNumberFormat="0" applyProtection="0">
      <alignment horizontal="center" vertical="center"/>
    </xf>
    <xf numFmtId="0" fontId="15" fillId="0" borderId="0" applyNumberFormat="0" applyProtection="0">
      <alignment horizontal="right" indent="1"/>
    </xf>
    <xf numFmtId="172" fontId="16" fillId="0" borderId="11">
      <alignment horizontal="left" vertical="center" indent="1"/>
    </xf>
    <xf numFmtId="0" fontId="10" fillId="0" borderId="15" applyNumberFormat="0" applyFont="0" applyFill="0" applyAlignment="0" applyProtection="0"/>
    <xf numFmtId="0" fontId="13" fillId="0" borderId="22" applyNumberFormat="0" applyFont="0" applyFill="0" applyAlignment="0" applyProtection="0">
      <alignment horizontal="left" vertical="center" wrapText="1" indent="1"/>
    </xf>
    <xf numFmtId="0" fontId="13" fillId="0" borderId="24" applyNumberFormat="0" applyFont="0" applyFill="0" applyAlignment="0" applyProtection="0">
      <alignment horizontal="left" vertical="center" wrapText="1" indent="1"/>
    </xf>
    <xf numFmtId="0" fontId="1" fillId="0" borderId="0"/>
    <xf numFmtId="9" fontId="1" fillId="0" borderId="0" applyFont="0" applyFill="0" applyBorder="0" applyAlignment="0" applyProtection="0"/>
    <xf numFmtId="0" fontId="38" fillId="0" borderId="0"/>
    <xf numFmtId="176" fontId="38" fillId="0" borderId="0" applyFont="0" applyFill="0" applyBorder="0" applyAlignment="0" applyProtection="0"/>
  </cellStyleXfs>
  <cellXfs count="402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1" applyAlignment="1">
      <alignment horizontal="center" vertical="center"/>
    </xf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7" fontId="5" fillId="3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4" fillId="3" borderId="0" xfId="0" applyFont="1" applyFill="1" applyAlignment="1">
      <alignment horizontal="center" vertical="center"/>
    </xf>
    <xf numFmtId="167" fontId="4" fillId="3" borderId="0" xfId="0" applyNumberFormat="1" applyFont="1" applyFill="1" applyAlignment="1">
      <alignment horizontal="center" vertical="center"/>
    </xf>
    <xf numFmtId="167" fontId="4" fillId="3" borderId="0" xfId="0" applyNumberFormat="1" applyFont="1" applyFill="1" applyAlignment="1">
      <alignment horizontal="justify" vertical="center"/>
    </xf>
    <xf numFmtId="0" fontId="0" fillId="3" borderId="1" xfId="1" applyFont="1" applyFill="1" applyBorder="1" applyAlignment="1">
      <alignment horizontal="center" vertical="center" wrapText="1"/>
    </xf>
    <xf numFmtId="0" fontId="1" fillId="3" borderId="2" xfId="1" applyFill="1" applyBorder="1" applyAlignment="1">
      <alignment horizontal="center" vertical="center" wrapText="1"/>
    </xf>
    <xf numFmtId="0" fontId="0" fillId="3" borderId="2" xfId="1" applyFont="1" applyFill="1" applyBorder="1" applyAlignment="1">
      <alignment horizontal="center" vertical="center" wrapText="1"/>
    </xf>
    <xf numFmtId="169" fontId="0" fillId="3" borderId="2" xfId="1" applyNumberFormat="1" applyFont="1" applyFill="1" applyBorder="1" applyAlignment="1">
      <alignment horizontal="center" vertical="center" wrapText="1"/>
    </xf>
    <xf numFmtId="0" fontId="10" fillId="0" borderId="0" xfId="1" applyFont="1" applyAlignment="1">
      <alignment vertical="center"/>
    </xf>
    <xf numFmtId="0" fontId="10" fillId="0" borderId="0" xfId="1" applyFon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/>
    <xf numFmtId="20" fontId="0" fillId="0" borderId="0" xfId="0" applyNumberFormat="1"/>
    <xf numFmtId="20" fontId="4" fillId="3" borderId="0" xfId="0" applyNumberFormat="1" applyFont="1" applyFill="1" applyAlignment="1">
      <alignment horizontal="justify" vertical="center"/>
    </xf>
    <xf numFmtId="20" fontId="0" fillId="3" borderId="2" xfId="1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20" fontId="2" fillId="3" borderId="0" xfId="0" applyNumberFormat="1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justify" vertical="center"/>
    </xf>
    <xf numFmtId="14" fontId="5" fillId="3" borderId="0" xfId="0" applyNumberFormat="1" applyFont="1" applyFill="1" applyAlignment="1">
      <alignment horizontal="center"/>
    </xf>
    <xf numFmtId="14" fontId="5" fillId="3" borderId="0" xfId="0" applyNumberFormat="1" applyFont="1" applyFill="1" applyAlignment="1">
      <alignment horizontal="center" vertical="top"/>
    </xf>
    <xf numFmtId="14" fontId="0" fillId="3" borderId="2" xfId="1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1" fillId="0" borderId="0" xfId="1" applyNumberFormat="1"/>
    <xf numFmtId="0" fontId="19" fillId="7" borderId="0" xfId="0" applyFont="1" applyFill="1" applyAlignment="1">
      <alignment horizontal="left" vertical="center"/>
    </xf>
    <xf numFmtId="0" fontId="11" fillId="7" borderId="0" xfId="0" applyFont="1" applyFill="1"/>
    <xf numFmtId="14" fontId="11" fillId="7" borderId="0" xfId="0" applyNumberFormat="1" applyFont="1" applyFill="1"/>
    <xf numFmtId="0" fontId="20" fillId="7" borderId="0" xfId="0" applyFont="1" applyFill="1"/>
    <xf numFmtId="0" fontId="17" fillId="7" borderId="0" xfId="0" applyFont="1" applyFill="1"/>
    <xf numFmtId="0" fontId="6" fillId="7" borderId="0" xfId="0" applyFont="1" applyFill="1"/>
    <xf numFmtId="0" fontId="2" fillId="7" borderId="0" xfId="0" applyFont="1" applyFill="1"/>
    <xf numFmtId="0" fontId="17" fillId="7" borderId="0" xfId="0" applyFont="1" applyFill="1" applyAlignment="1">
      <alignment horizontal="center" vertical="center" wrapText="1"/>
    </xf>
    <xf numFmtId="14" fontId="17" fillId="7" borderId="0" xfId="0" applyNumberFormat="1" applyFont="1" applyFill="1" applyAlignment="1">
      <alignment horizontal="center" vertical="center" wrapText="1"/>
    </xf>
    <xf numFmtId="166" fontId="17" fillId="7" borderId="0" xfId="0" applyNumberFormat="1" applyFont="1" applyFill="1" applyAlignment="1">
      <alignment horizontal="center" vertical="center" wrapText="1"/>
    </xf>
    <xf numFmtId="171" fontId="17" fillId="7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/>
    </xf>
    <xf numFmtId="1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22" fontId="2" fillId="13" borderId="0" xfId="0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 wrapText="1"/>
    </xf>
    <xf numFmtId="170" fontId="11" fillId="14" borderId="0" xfId="0" applyNumberFormat="1" applyFont="1" applyFill="1" applyAlignment="1">
      <alignment horizontal="center" vertical="center" wrapText="1"/>
    </xf>
    <xf numFmtId="169" fontId="11" fillId="14" borderId="0" xfId="0" applyNumberFormat="1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17" fillId="16" borderId="40" xfId="0" applyFont="1" applyFill="1" applyBorder="1"/>
    <xf numFmtId="0" fontId="17" fillId="0" borderId="33" xfId="0" applyFont="1" applyBorder="1"/>
    <xf numFmtId="0" fontId="17" fillId="0" borderId="32" xfId="0" applyFont="1" applyBorder="1"/>
    <xf numFmtId="166" fontId="17" fillId="7" borderId="0" xfId="0" applyNumberFormat="1" applyFont="1" applyFill="1"/>
    <xf numFmtId="166" fontId="2" fillId="7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17" fillId="0" borderId="0" xfId="0" applyNumberFormat="1" applyFont="1"/>
    <xf numFmtId="0" fontId="22" fillId="0" borderId="0" xfId="0" applyFont="1"/>
    <xf numFmtId="0" fontId="3" fillId="0" borderId="0" xfId="0" applyFont="1"/>
    <xf numFmtId="171" fontId="1" fillId="11" borderId="0" xfId="1" applyNumberFormat="1" applyFill="1" applyAlignment="1">
      <alignment horizontal="center" vertical="center"/>
    </xf>
    <xf numFmtId="171" fontId="1" fillId="12" borderId="0" xfId="1" applyNumberFormat="1" applyFill="1" applyAlignment="1">
      <alignment horizontal="center" vertical="center"/>
    </xf>
    <xf numFmtId="171" fontId="1" fillId="2" borderId="0" xfId="1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1" fontId="0" fillId="0" borderId="0" xfId="0" applyNumberFormat="1" applyAlignment="1">
      <alignment horizontal="center"/>
    </xf>
    <xf numFmtId="166" fontId="23" fillId="7" borderId="0" xfId="0" applyNumberFormat="1" applyFont="1" applyFill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34" xfId="0" applyFont="1" applyBorder="1"/>
    <xf numFmtId="0" fontId="17" fillId="0" borderId="43" xfId="0" applyFont="1" applyBorder="1"/>
    <xf numFmtId="0" fontId="17" fillId="0" borderId="26" xfId="0" applyFont="1" applyBorder="1"/>
    <xf numFmtId="0" fontId="17" fillId="16" borderId="42" xfId="0" applyFont="1" applyFill="1" applyBorder="1" applyAlignment="1">
      <alignment horizontal="center" vertical="center"/>
    </xf>
    <xf numFmtId="0" fontId="20" fillId="7" borderId="0" xfId="0" quotePrefix="1" applyFont="1" applyFill="1"/>
    <xf numFmtId="0" fontId="17" fillId="0" borderId="0" xfId="0" applyFont="1" applyAlignment="1">
      <alignment vertical="center"/>
    </xf>
    <xf numFmtId="0" fontId="25" fillId="16" borderId="44" xfId="0" applyFont="1" applyFill="1" applyBorder="1" applyAlignment="1">
      <alignment horizontal="center" vertical="center" wrapText="1"/>
    </xf>
    <xf numFmtId="0" fontId="25" fillId="16" borderId="45" xfId="0" applyFont="1" applyFill="1" applyBorder="1" applyAlignment="1">
      <alignment horizontal="center" vertical="center" wrapText="1"/>
    </xf>
    <xf numFmtId="166" fontId="0" fillId="15" borderId="0" xfId="0" applyNumberForma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11" fillId="14" borderId="0" xfId="0" applyNumberFormat="1" applyFont="1" applyFill="1" applyAlignment="1">
      <alignment horizontal="center" vertical="center" wrapText="1"/>
    </xf>
    <xf numFmtId="173" fontId="0" fillId="0" borderId="0" xfId="0" applyNumberFormat="1" applyAlignment="1">
      <alignment horizontal="center"/>
    </xf>
    <xf numFmtId="0" fontId="2" fillId="7" borderId="0" xfId="0" applyFont="1" applyFill="1" applyAlignment="1">
      <alignment horizontal="center" vertical="center"/>
    </xf>
    <xf numFmtId="165" fontId="2" fillId="7" borderId="0" xfId="0" applyNumberFormat="1" applyFont="1" applyFill="1" applyAlignment="1">
      <alignment vertical="center"/>
    </xf>
    <xf numFmtId="165" fontId="24" fillId="7" borderId="0" xfId="0" applyNumberFormat="1" applyFont="1" applyFill="1" applyAlignment="1">
      <alignment horizontal="center" vertical="center" wrapText="1"/>
    </xf>
    <xf numFmtId="165" fontId="17" fillId="7" borderId="0" xfId="0" applyNumberFormat="1" applyFont="1" applyFill="1" applyAlignment="1">
      <alignment horizontal="center" vertical="center" wrapText="1"/>
    </xf>
    <xf numFmtId="165" fontId="17" fillId="8" borderId="0" xfId="0" applyNumberFormat="1" applyFont="1" applyFill="1" applyAlignment="1">
      <alignment horizontal="center"/>
    </xf>
    <xf numFmtId="165" fontId="0" fillId="0" borderId="0" xfId="0" applyNumberFormat="1"/>
    <xf numFmtId="165" fontId="17" fillId="0" borderId="0" xfId="0" applyNumberFormat="1" applyFont="1"/>
    <xf numFmtId="165" fontId="17" fillId="0" borderId="0" xfId="0" applyNumberFormat="1" applyFont="1" applyAlignment="1">
      <alignment vertical="center"/>
    </xf>
    <xf numFmtId="165" fontId="25" fillId="16" borderId="45" xfId="0" applyNumberFormat="1" applyFont="1" applyFill="1" applyBorder="1" applyAlignment="1">
      <alignment horizontal="center" vertical="center" wrapText="1"/>
    </xf>
    <xf numFmtId="165" fontId="25" fillId="0" borderId="45" xfId="0" applyNumberFormat="1" applyFont="1" applyBorder="1" applyAlignment="1">
      <alignment vertical="center"/>
    </xf>
    <xf numFmtId="0" fontId="10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4" fontId="10" fillId="0" borderId="0" xfId="0" applyNumberFormat="1" applyFont="1"/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14" fontId="28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/>
    </xf>
    <xf numFmtId="46" fontId="0" fillId="0" borderId="0" xfId="0" applyNumberFormat="1" applyAlignment="1">
      <alignment horizontal="center"/>
    </xf>
    <xf numFmtId="167" fontId="8" fillId="3" borderId="0" xfId="1" applyNumberFormat="1" applyFont="1" applyFill="1" applyAlignment="1">
      <alignment horizontal="center" vertical="center"/>
    </xf>
    <xf numFmtId="14" fontId="20" fillId="7" borderId="0" xfId="0" applyNumberFormat="1" applyFont="1" applyFill="1"/>
    <xf numFmtId="14" fontId="17" fillId="0" borderId="0" xfId="0" applyNumberFormat="1" applyFont="1"/>
    <xf numFmtId="174" fontId="0" fillId="0" borderId="0" xfId="0" applyNumberFormat="1"/>
    <xf numFmtId="166" fontId="0" fillId="0" borderId="0" xfId="0" applyNumberFormat="1"/>
    <xf numFmtId="2" fontId="0" fillId="0" borderId="0" xfId="0" applyNumberFormat="1"/>
    <xf numFmtId="46" fontId="0" fillId="0" borderId="0" xfId="0" applyNumberFormat="1"/>
    <xf numFmtId="0" fontId="11" fillId="0" borderId="0" xfId="0" applyFont="1" applyAlignment="1">
      <alignment horizontal="center"/>
    </xf>
    <xf numFmtId="0" fontId="17" fillId="0" borderId="0" xfId="0" applyFont="1" applyBorder="1"/>
    <xf numFmtId="0" fontId="1" fillId="0" borderId="0" xfId="1" applyNumberFormat="1" applyFill="1" applyAlignment="1">
      <alignment horizontal="center" vertical="center"/>
    </xf>
    <xf numFmtId="20" fontId="1" fillId="0" borderId="0" xfId="1" applyNumberFormat="1" applyFill="1" applyAlignment="1">
      <alignment horizontal="center" vertical="center"/>
    </xf>
    <xf numFmtId="171" fontId="1" fillId="0" borderId="0" xfId="1" applyNumberFormat="1" applyFill="1" applyAlignment="1">
      <alignment horizontal="center" vertical="center"/>
    </xf>
    <xf numFmtId="0" fontId="1" fillId="4" borderId="0" xfId="1" applyNumberFormat="1" applyFill="1" applyAlignment="1">
      <alignment horizontal="center" vertical="center"/>
    </xf>
    <xf numFmtId="0" fontId="1" fillId="2" borderId="0" xfId="1" applyNumberFormat="1" applyFill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167" fontId="6" fillId="3" borderId="2" xfId="1" applyNumberFormat="1" applyFont="1" applyFill="1" applyBorder="1" applyAlignment="1">
      <alignment horizontal="center" vertical="center"/>
    </xf>
    <xf numFmtId="169" fontId="4" fillId="3" borderId="2" xfId="0" applyNumberFormat="1" applyFont="1" applyFill="1" applyBorder="1" applyAlignment="1">
      <alignment horizontal="justify" vertical="center"/>
    </xf>
    <xf numFmtId="169" fontId="2" fillId="3" borderId="2" xfId="1" applyNumberFormat="1" applyFont="1" applyFill="1" applyBorder="1" applyAlignment="1">
      <alignment horizontal="center" vertical="center"/>
    </xf>
    <xf numFmtId="167" fontId="2" fillId="3" borderId="2" xfId="1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justify" vertical="center"/>
    </xf>
    <xf numFmtId="167" fontId="4" fillId="3" borderId="2" xfId="0" applyNumberFormat="1" applyFont="1" applyFill="1" applyBorder="1" applyAlignment="1">
      <alignment horizontal="justify" vertical="center"/>
    </xf>
    <xf numFmtId="20" fontId="4" fillId="3" borderId="2" xfId="0" applyNumberFormat="1" applyFont="1" applyFill="1" applyBorder="1" applyAlignment="1">
      <alignment horizontal="justify" vertical="center"/>
    </xf>
    <xf numFmtId="167" fontId="4" fillId="3" borderId="2" xfId="0" applyNumberFormat="1" applyFont="1" applyFill="1" applyBorder="1" applyAlignment="1">
      <alignment horizontal="center" vertical="center"/>
    </xf>
    <xf numFmtId="0" fontId="29" fillId="20" borderId="0" xfId="4" applyFont="1" applyFill="1">
      <alignment horizontal="left" vertical="center" wrapText="1" indent="1"/>
    </xf>
    <xf numFmtId="14" fontId="29" fillId="20" borderId="0" xfId="4" applyNumberFormat="1" applyFont="1" applyFill="1">
      <alignment horizontal="left" vertical="center" wrapText="1" indent="1"/>
    </xf>
    <xf numFmtId="20" fontId="29" fillId="20" borderId="0" xfId="4" applyNumberFormat="1" applyFont="1" applyFill="1">
      <alignment horizontal="left" vertical="center" wrapText="1" indent="1"/>
    </xf>
    <xf numFmtId="20" fontId="29" fillId="20" borderId="0" xfId="4" applyNumberFormat="1" applyFont="1" applyFill="1" applyAlignment="1">
      <alignment horizontal="center" vertical="center" wrapText="1"/>
    </xf>
    <xf numFmtId="0" fontId="30" fillId="20" borderId="0" xfId="0" applyFont="1" applyFill="1"/>
    <xf numFmtId="0" fontId="31" fillId="20" borderId="0" xfId="4" applyFont="1" applyFill="1">
      <alignment horizontal="left" vertical="center" wrapText="1" indent="1"/>
    </xf>
    <xf numFmtId="0" fontId="8" fillId="20" borderId="0" xfId="3" applyFont="1" applyFill="1">
      <alignment horizontal="left" indent="1"/>
    </xf>
    <xf numFmtId="0" fontId="32" fillId="20" borderId="0" xfId="6" applyFont="1" applyFill="1" applyAlignment="1">
      <alignment horizontal="center" vertical="center"/>
    </xf>
    <xf numFmtId="0" fontId="32" fillId="20" borderId="0" xfId="4" applyFont="1" applyFill="1">
      <alignment horizontal="left" vertical="center" wrapText="1" indent="1"/>
    </xf>
    <xf numFmtId="14" fontId="32" fillId="20" borderId="0" xfId="4" applyNumberFormat="1" applyFont="1" applyFill="1">
      <alignment horizontal="left" vertical="center" wrapText="1" indent="1"/>
    </xf>
    <xf numFmtId="0" fontId="29" fillId="0" borderId="0" xfId="4" applyFont="1">
      <alignment horizontal="left" vertical="center" wrapText="1" indent="1"/>
    </xf>
    <xf numFmtId="172" fontId="33" fillId="0" borderId="12" xfId="7" applyFont="1" applyBorder="1" applyAlignment="1">
      <alignment horizontal="center" vertical="center"/>
    </xf>
    <xf numFmtId="172" fontId="33" fillId="0" borderId="13" xfId="7" applyFont="1" applyBorder="1" applyAlignment="1">
      <alignment horizontal="center" vertical="center"/>
    </xf>
    <xf numFmtId="172" fontId="33" fillId="0" borderId="14" xfId="7" applyFont="1" applyBorder="1" applyAlignment="1">
      <alignment horizontal="center" vertical="center"/>
    </xf>
    <xf numFmtId="20" fontId="29" fillId="0" borderId="16" xfId="8" applyNumberFormat="1" applyFont="1" applyBorder="1" applyAlignment="1">
      <alignment horizontal="center" vertical="center" wrapText="1"/>
    </xf>
    <xf numFmtId="20" fontId="29" fillId="0" borderId="17" xfId="8" applyNumberFormat="1" applyFont="1" applyBorder="1" applyAlignment="1">
      <alignment horizontal="center" vertical="center" wrapText="1"/>
    </xf>
    <xf numFmtId="20" fontId="29" fillId="0" borderId="17" xfId="8" quotePrefix="1" applyNumberFormat="1" applyFont="1" applyBorder="1" applyAlignment="1">
      <alignment horizontal="center" vertical="center" wrapText="1"/>
    </xf>
    <xf numFmtId="20" fontId="29" fillId="0" borderId="18" xfId="8" applyNumberFormat="1" applyFont="1" applyBorder="1" applyAlignment="1">
      <alignment horizontal="center" vertical="center" wrapText="1"/>
    </xf>
    <xf numFmtId="172" fontId="33" fillId="0" borderId="19" xfId="7" applyFont="1" applyBorder="1" applyAlignment="1">
      <alignment horizontal="center" vertical="center"/>
    </xf>
    <xf numFmtId="172" fontId="33" fillId="0" borderId="20" xfId="7" applyFont="1" applyBorder="1" applyAlignment="1">
      <alignment horizontal="center" vertical="center"/>
    </xf>
    <xf numFmtId="172" fontId="33" fillId="0" borderId="21" xfId="7" applyFont="1" applyBorder="1" applyAlignment="1">
      <alignment horizontal="center" vertical="center"/>
    </xf>
    <xf numFmtId="20" fontId="30" fillId="0" borderId="16" xfId="8" applyNumberFormat="1" applyFont="1" applyBorder="1" applyAlignment="1">
      <alignment horizontal="center" vertical="center" wrapText="1"/>
    </xf>
    <xf numFmtId="20" fontId="29" fillId="20" borderId="0" xfId="4" quotePrefix="1" applyNumberFormat="1" applyFont="1" applyFill="1">
      <alignment horizontal="left" vertical="center" wrapText="1" indent="1"/>
    </xf>
    <xf numFmtId="2" fontId="29" fillId="20" borderId="0" xfId="4" applyNumberFormat="1" applyFont="1" applyFill="1">
      <alignment horizontal="left" vertical="center" wrapText="1" indent="1"/>
    </xf>
    <xf numFmtId="20" fontId="29" fillId="0" borderId="29" xfId="8" applyNumberFormat="1" applyFont="1" applyBorder="1" applyAlignment="1">
      <alignment horizontal="center" vertical="center" wrapText="1"/>
    </xf>
    <xf numFmtId="20" fontId="29" fillId="0" borderId="30" xfId="8" applyNumberFormat="1" applyFont="1" applyBorder="1" applyAlignment="1">
      <alignment horizontal="center" vertical="center" wrapText="1"/>
    </xf>
    <xf numFmtId="0" fontId="29" fillId="20" borderId="0" xfId="4" applyFont="1" applyFill="1" applyAlignment="1">
      <alignment horizontal="center" vertical="center" wrapText="1"/>
    </xf>
    <xf numFmtId="0" fontId="29" fillId="0" borderId="0" xfId="4" applyFont="1" applyAlignment="1">
      <alignment horizontal="center" vertical="center" wrapText="1"/>
    </xf>
    <xf numFmtId="0" fontId="26" fillId="21" borderId="56" xfId="0" applyFont="1" applyFill="1" applyBorder="1" applyAlignment="1">
      <alignment horizontal="right" vertical="center" indent="1"/>
    </xf>
    <xf numFmtId="0" fontId="5" fillId="21" borderId="49" xfId="0" applyFont="1" applyFill="1" applyBorder="1" applyAlignment="1">
      <alignment horizontal="center" vertical="center" wrapText="1"/>
    </xf>
    <xf numFmtId="0" fontId="5" fillId="21" borderId="54" xfId="0" applyFont="1" applyFill="1" applyBorder="1" applyAlignment="1">
      <alignment vertical="center"/>
    </xf>
    <xf numFmtId="0" fontId="5" fillId="21" borderId="0" xfId="0" applyFont="1" applyFill="1" applyBorder="1" applyAlignment="1">
      <alignment vertical="center"/>
    </xf>
    <xf numFmtId="0" fontId="18" fillId="23" borderId="0" xfId="0" applyFont="1" applyFill="1" applyBorder="1"/>
    <xf numFmtId="0" fontId="18" fillId="23" borderId="53" xfId="0" applyFont="1" applyFill="1" applyBorder="1"/>
    <xf numFmtId="0" fontId="18" fillId="22" borderId="0" xfId="0" applyFont="1" applyFill="1" applyBorder="1"/>
    <xf numFmtId="0" fontId="18" fillId="22" borderId="53" xfId="0" applyFont="1" applyFill="1" applyBorder="1"/>
    <xf numFmtId="0" fontId="5" fillId="21" borderId="58" xfId="0" applyFont="1" applyFill="1" applyBorder="1" applyAlignment="1">
      <alignment horizontal="center" vertical="center" wrapText="1"/>
    </xf>
    <xf numFmtId="0" fontId="5" fillId="21" borderId="59" xfId="0" applyFont="1" applyFill="1" applyBorder="1" applyAlignment="1">
      <alignment horizontal="center" vertical="center" wrapText="1"/>
    </xf>
    <xf numFmtId="0" fontId="26" fillId="21" borderId="6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8" fillId="23" borderId="58" xfId="0" applyNumberFormat="1" applyFont="1" applyFill="1" applyBorder="1" applyAlignment="1">
      <alignment horizontal="center" vertical="center"/>
    </xf>
    <xf numFmtId="14" fontId="18" fillId="22" borderId="58" xfId="0" applyNumberFormat="1" applyFont="1" applyFill="1" applyBorder="1" applyAlignment="1">
      <alignment horizontal="center" vertical="center"/>
    </xf>
    <xf numFmtId="0" fontId="26" fillId="21" borderId="55" xfId="0" applyFont="1" applyFill="1" applyBorder="1" applyAlignment="1">
      <alignment vertical="center"/>
    </xf>
    <xf numFmtId="0" fontId="26" fillId="21" borderId="56" xfId="0" applyFont="1" applyFill="1" applyBorder="1" applyAlignment="1">
      <alignment vertical="center"/>
    </xf>
    <xf numFmtId="0" fontId="18" fillId="23" borderId="0" xfId="0" applyFont="1" applyFill="1" applyBorder="1" applyAlignment="1">
      <alignment horizontal="right" vertical="center" indent="1"/>
    </xf>
    <xf numFmtId="0" fontId="18" fillId="22" borderId="0" xfId="0" applyFont="1" applyFill="1" applyBorder="1" applyAlignment="1">
      <alignment horizontal="right" vertical="center" indent="1"/>
    </xf>
    <xf numFmtId="0" fontId="26" fillId="21" borderId="63" xfId="0" applyFont="1" applyFill="1" applyBorder="1" applyAlignment="1">
      <alignment vertical="center"/>
    </xf>
    <xf numFmtId="0" fontId="26" fillId="21" borderId="64" xfId="0" applyFont="1" applyFill="1" applyBorder="1" applyAlignment="1">
      <alignment vertical="center"/>
    </xf>
    <xf numFmtId="0" fontId="26" fillId="21" borderId="55" xfId="0" applyFont="1" applyFill="1" applyBorder="1" applyAlignment="1">
      <alignment horizontal="center" vertical="center"/>
    </xf>
    <xf numFmtId="0" fontId="18" fillId="23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18" fillId="23" borderId="54" xfId="0" applyFont="1" applyFill="1" applyBorder="1" applyAlignment="1">
      <alignment vertical="center"/>
    </xf>
    <xf numFmtId="0" fontId="18" fillId="22" borderId="54" xfId="0" applyFont="1" applyFill="1" applyBorder="1" applyAlignment="1">
      <alignment vertical="center"/>
    </xf>
    <xf numFmtId="0" fontId="26" fillId="21" borderId="64" xfId="0" applyFont="1" applyFill="1" applyBorder="1" applyAlignment="1">
      <alignment horizontal="right" vertical="center" indent="1"/>
    </xf>
    <xf numFmtId="171" fontId="18" fillId="22" borderId="56" xfId="0" applyNumberFormat="1" applyFont="1" applyFill="1" applyBorder="1"/>
    <xf numFmtId="171" fontId="18" fillId="22" borderId="57" xfId="0" applyNumberFormat="1" applyFont="1" applyFill="1" applyBorder="1"/>
    <xf numFmtId="171" fontId="18" fillId="23" borderId="0" xfId="0" applyNumberFormat="1" applyFont="1" applyFill="1" applyBorder="1" applyAlignment="1">
      <alignment vertical="center"/>
    </xf>
    <xf numFmtId="171" fontId="18" fillId="23" borderId="53" xfId="0" applyNumberFormat="1" applyFont="1" applyFill="1" applyBorder="1" applyAlignment="1">
      <alignment vertical="center"/>
    </xf>
    <xf numFmtId="171" fontId="18" fillId="22" borderId="53" xfId="0" applyNumberFormat="1" applyFont="1" applyFill="1" applyBorder="1" applyAlignment="1">
      <alignment vertical="center"/>
    </xf>
    <xf numFmtId="171" fontId="18" fillId="22" borderId="63" xfId="0" applyNumberFormat="1" applyFont="1" applyFill="1" applyBorder="1" applyAlignment="1">
      <alignment horizontal="center" vertical="center"/>
    </xf>
    <xf numFmtId="0" fontId="5" fillId="21" borderId="49" xfId="0" applyFont="1" applyFill="1" applyBorder="1" applyAlignment="1">
      <alignment horizontal="left" vertical="center" wrapText="1"/>
    </xf>
    <xf numFmtId="0" fontId="18" fillId="23" borderId="0" xfId="0" applyFont="1" applyFill="1" applyBorder="1" applyAlignment="1">
      <alignment horizontal="left" vertical="center"/>
    </xf>
    <xf numFmtId="0" fontId="18" fillId="22" borderId="0" xfId="0" applyFont="1" applyFill="1" applyBorder="1" applyAlignment="1">
      <alignment horizontal="left" vertical="center"/>
    </xf>
    <xf numFmtId="14" fontId="18" fillId="23" borderId="0" xfId="0" applyNumberFormat="1" applyFont="1" applyFill="1" applyBorder="1" applyAlignment="1">
      <alignment horizontal="left" vertical="center"/>
    </xf>
    <xf numFmtId="171" fontId="18" fillId="22" borderId="65" xfId="0" applyNumberFormat="1" applyFont="1" applyFill="1" applyBorder="1" applyAlignment="1">
      <alignment horizontal="center" vertical="center"/>
    </xf>
    <xf numFmtId="171" fontId="18" fillId="23" borderId="49" xfId="0" applyNumberFormat="1" applyFont="1" applyFill="1" applyBorder="1" applyAlignment="1">
      <alignment horizontal="center" vertical="center"/>
    </xf>
    <xf numFmtId="171" fontId="18" fillId="23" borderId="59" xfId="0" applyNumberFormat="1" applyFont="1" applyFill="1" applyBorder="1" applyAlignment="1">
      <alignment horizontal="center" vertical="center"/>
    </xf>
    <xf numFmtId="171" fontId="18" fillId="22" borderId="49" xfId="0" applyNumberFormat="1" applyFont="1" applyFill="1" applyBorder="1" applyAlignment="1">
      <alignment horizontal="center" vertical="center"/>
    </xf>
    <xf numFmtId="171" fontId="18" fillId="22" borderId="59" xfId="0" applyNumberFormat="1" applyFont="1" applyFill="1" applyBorder="1" applyAlignment="1">
      <alignment horizontal="center" vertical="center"/>
    </xf>
    <xf numFmtId="0" fontId="32" fillId="20" borderId="0" xfId="6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6" fontId="35" fillId="7" borderId="0" xfId="0" applyNumberFormat="1" applyFont="1" applyFill="1" applyAlignment="1">
      <alignment horizontal="center" vertical="center" wrapText="1"/>
    </xf>
    <xf numFmtId="166" fontId="25" fillId="16" borderId="45" xfId="0" applyNumberFormat="1" applyFont="1" applyFill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5" fontId="25" fillId="16" borderId="46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/>
    </xf>
    <xf numFmtId="0" fontId="0" fillId="15" borderId="0" xfId="0" applyFill="1" applyAlignment="1">
      <alignment horizontal="center" vertical="center" wrapText="1"/>
    </xf>
    <xf numFmtId="0" fontId="17" fillId="0" borderId="0" xfId="0" applyFont="1" applyAlignment="1">
      <alignment horizontal="left"/>
    </xf>
    <xf numFmtId="171" fontId="17" fillId="0" borderId="0" xfId="0" applyNumberFormat="1" applyFont="1" applyBorder="1"/>
    <xf numFmtId="0" fontId="17" fillId="0" borderId="0" xfId="0" quotePrefix="1" applyFont="1" applyAlignment="1">
      <alignment horizontal="center"/>
    </xf>
    <xf numFmtId="166" fontId="0" fillId="0" borderId="0" xfId="0" applyNumberFormat="1" applyAlignment="1">
      <alignment horizontal="center"/>
    </xf>
    <xf numFmtId="0" fontId="2" fillId="25" borderId="66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1" fillId="1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6" fontId="25" fillId="0" borderId="46" xfId="0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14" fontId="39" fillId="0" borderId="0" xfId="0" applyNumberFormat="1" applyFont="1" applyFill="1" applyAlignment="1">
      <alignment horizontal="center" vertical="center"/>
    </xf>
    <xf numFmtId="0" fontId="39" fillId="0" borderId="0" xfId="0" applyNumberFormat="1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1" fillId="0" borderId="0" xfId="1" applyNumberFormat="1" applyFill="1" applyAlignment="1">
      <alignment horizontal="left" vertical="center"/>
    </xf>
    <xf numFmtId="0" fontId="40" fillId="0" borderId="0" xfId="1" applyNumberFormat="1" applyFont="1" applyFill="1" applyAlignment="1">
      <alignment horizontal="center" vertical="center"/>
    </xf>
    <xf numFmtId="14" fontId="1" fillId="0" borderId="0" xfId="1" applyNumberFormat="1" applyFill="1" applyAlignment="1">
      <alignment horizontal="center" vertical="center"/>
    </xf>
    <xf numFmtId="0" fontId="41" fillId="9" borderId="0" xfId="0" applyFont="1" applyFill="1" applyAlignment="1">
      <alignment horizontal="center"/>
    </xf>
    <xf numFmtId="0" fontId="42" fillId="9" borderId="0" xfId="0" applyNumberFormat="1" applyFont="1" applyFill="1" applyAlignment="1">
      <alignment horizontal="left"/>
    </xf>
    <xf numFmtId="0" fontId="42" fillId="9" borderId="0" xfId="0" applyNumberFormat="1" applyFont="1" applyFill="1" applyAlignment="1">
      <alignment horizontal="center"/>
    </xf>
    <xf numFmtId="14" fontId="42" fillId="9" borderId="0" xfId="0" applyNumberFormat="1" applyFont="1" applyFill="1" applyAlignment="1">
      <alignment horizontal="center"/>
    </xf>
    <xf numFmtId="166" fontId="42" fillId="8" borderId="0" xfId="0" applyNumberFormat="1" applyFont="1" applyFill="1" applyAlignment="1">
      <alignment horizontal="center"/>
    </xf>
    <xf numFmtId="171" fontId="42" fillId="9" borderId="0" xfId="0" applyNumberFormat="1" applyFont="1" applyFill="1" applyAlignment="1">
      <alignment horizontal="center"/>
    </xf>
    <xf numFmtId="171" fontId="42" fillId="24" borderId="0" xfId="0" applyNumberFormat="1" applyFont="1" applyFill="1" applyAlignment="1">
      <alignment horizontal="center"/>
    </xf>
    <xf numFmtId="171" fontId="41" fillId="8" borderId="0" xfId="0" applyNumberFormat="1" applyFont="1" applyFill="1" applyAlignment="1">
      <alignment horizontal="center"/>
    </xf>
    <xf numFmtId="166" fontId="42" fillId="17" borderId="0" xfId="0" applyNumberFormat="1" applyFont="1" applyFill="1" applyAlignment="1">
      <alignment horizontal="center"/>
    </xf>
    <xf numFmtId="166" fontId="42" fillId="0" borderId="0" xfId="0" applyNumberFormat="1" applyFont="1" applyAlignment="1">
      <alignment horizontal="center"/>
    </xf>
    <xf numFmtId="166" fontId="42" fillId="0" borderId="0" xfId="0" applyNumberFormat="1" applyFont="1" applyFill="1" applyAlignment="1">
      <alignment horizontal="center"/>
    </xf>
    <xf numFmtId="0" fontId="42" fillId="8" borderId="0" xfId="0" applyNumberFormat="1" applyFont="1" applyFill="1" applyAlignment="1">
      <alignment horizontal="center"/>
    </xf>
    <xf numFmtId="165" fontId="42" fillId="8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1" fontId="0" fillId="10" borderId="0" xfId="1" applyNumberFormat="1" applyFont="1" applyFill="1" applyBorder="1" applyAlignment="1">
      <alignment horizontal="center" vertical="center"/>
    </xf>
    <xf numFmtId="0" fontId="0" fillId="4" borderId="0" xfId="1" applyNumberFormat="1" applyFont="1" applyFill="1" applyBorder="1" applyAlignment="1">
      <alignment horizontal="center" vertical="center"/>
    </xf>
    <xf numFmtId="0" fontId="0" fillId="2" borderId="0" xfId="1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43" fillId="0" borderId="0" xfId="1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71" fontId="26" fillId="21" borderId="61" xfId="0" applyNumberFormat="1" applyFont="1" applyFill="1" applyBorder="1" applyAlignment="1">
      <alignment horizontal="center" vertical="center"/>
    </xf>
    <xf numFmtId="171" fontId="26" fillId="21" borderId="62" xfId="0" applyNumberFormat="1" applyFont="1" applyFill="1" applyBorder="1" applyAlignment="1">
      <alignment horizontal="center" vertical="center"/>
    </xf>
    <xf numFmtId="171" fontId="26" fillId="21" borderId="64" xfId="0" applyNumberFormat="1" applyFont="1" applyFill="1" applyBorder="1" applyAlignment="1">
      <alignment vertical="center"/>
    </xf>
    <xf numFmtId="171" fontId="26" fillId="21" borderId="65" xfId="0" applyNumberFormat="1" applyFont="1" applyFill="1" applyBorder="1" applyAlignment="1">
      <alignment vertical="center"/>
    </xf>
    <xf numFmtId="1" fontId="44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17" fillId="0" borderId="0" xfId="0" applyFont="1" applyAlignment="1">
      <alignment horizontal="center"/>
    </xf>
    <xf numFmtId="166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16" borderId="40" xfId="0" applyFont="1" applyFill="1" applyBorder="1" applyAlignment="1">
      <alignment horizontal="center" vertical="center"/>
    </xf>
    <xf numFmtId="0" fontId="26" fillId="21" borderId="50" xfId="0" applyFont="1" applyFill="1" applyBorder="1" applyAlignment="1">
      <alignment horizontal="center" vertical="center"/>
    </xf>
    <xf numFmtId="0" fontId="26" fillId="21" borderId="52" xfId="0" applyFont="1" applyFill="1" applyBorder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165" fontId="39" fillId="0" borderId="0" xfId="0" applyNumberFormat="1" applyFont="1" applyFill="1" applyAlignment="1">
      <alignment horizontal="center" vertical="center"/>
    </xf>
    <xf numFmtId="165" fontId="0" fillId="0" borderId="0" xfId="0" applyNumberFormat="1"/>
    <xf numFmtId="165" fontId="27" fillId="0" borderId="0" xfId="0" applyNumberFormat="1" applyFont="1" applyFill="1" applyAlignment="1">
      <alignment horizontal="center" vertical="center"/>
    </xf>
    <xf numFmtId="177" fontId="27" fillId="0" borderId="0" xfId="0" applyNumberFormat="1" applyFont="1" applyFill="1" applyAlignment="1">
      <alignment horizontal="center" vertical="center"/>
    </xf>
    <xf numFmtId="14" fontId="27" fillId="0" borderId="0" xfId="0" applyNumberFormat="1" applyFont="1" applyFill="1" applyAlignment="1">
      <alignment horizontal="center" vertical="center"/>
    </xf>
    <xf numFmtId="0" fontId="27" fillId="0" borderId="0" xfId="0" applyNumberFormat="1" applyFont="1" applyFill="1" applyAlignment="1">
      <alignment horizontal="center" vertical="center"/>
    </xf>
    <xf numFmtId="19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9" fontId="45" fillId="0" borderId="0" xfId="0" applyNumberFormat="1" applyFont="1" applyAlignment="1">
      <alignment horizontal="center"/>
    </xf>
    <xf numFmtId="0" fontId="17" fillId="0" borderId="17" xfId="0" applyFont="1" applyBorder="1" applyAlignment="1">
      <alignment horizontal="center" vertical="center"/>
    </xf>
    <xf numFmtId="166" fontId="17" fillId="0" borderId="17" xfId="0" applyNumberFormat="1" applyFont="1" applyBorder="1" applyAlignment="1">
      <alignment horizontal="center" vertical="center"/>
    </xf>
    <xf numFmtId="165" fontId="17" fillId="0" borderId="17" xfId="0" applyNumberFormat="1" applyFont="1" applyBorder="1" applyAlignment="1">
      <alignment vertical="center"/>
    </xf>
    <xf numFmtId="0" fontId="17" fillId="16" borderId="16" xfId="0" applyFont="1" applyFill="1" applyBorder="1" applyAlignment="1">
      <alignment horizontal="center" vertical="center"/>
    </xf>
    <xf numFmtId="0" fontId="17" fillId="16" borderId="17" xfId="0" applyFont="1" applyFill="1" applyBorder="1" applyAlignment="1">
      <alignment vertical="center"/>
    </xf>
    <xf numFmtId="165" fontId="17" fillId="0" borderId="18" xfId="0" applyNumberFormat="1" applyFont="1" applyBorder="1" applyAlignment="1">
      <alignment vertical="center"/>
    </xf>
    <xf numFmtId="164" fontId="17" fillId="0" borderId="0" xfId="0" applyNumberFormat="1" applyFont="1" applyBorder="1"/>
    <xf numFmtId="164" fontId="17" fillId="0" borderId="32" xfId="0" applyNumberFormat="1" applyFont="1" applyBorder="1"/>
    <xf numFmtId="164" fontId="17" fillId="0" borderId="35" xfId="0" applyNumberFormat="1" applyFont="1" applyBorder="1"/>
    <xf numFmtId="164" fontId="17" fillId="0" borderId="33" xfId="0" applyNumberFormat="1" applyFont="1" applyBorder="1"/>
    <xf numFmtId="164" fontId="17" fillId="0" borderId="0" xfId="0" applyNumberFormat="1" applyFont="1"/>
    <xf numFmtId="164" fontId="17" fillId="16" borderId="40" xfId="0" applyNumberFormat="1" applyFont="1" applyFill="1" applyBorder="1"/>
    <xf numFmtId="165" fontId="28" fillId="0" borderId="0" xfId="0" applyNumberFormat="1" applyFont="1" applyAlignment="1">
      <alignment horizontal="center" vertical="center"/>
    </xf>
    <xf numFmtId="164" fontId="18" fillId="22" borderId="5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168" fontId="46" fillId="0" borderId="0" xfId="0" applyNumberFormat="1" applyFont="1" applyAlignment="1">
      <alignment horizontal="left" vertical="center"/>
    </xf>
    <xf numFmtId="0" fontId="45" fillId="0" borderId="0" xfId="0" applyFont="1" applyAlignment="1">
      <alignment horizontal="left" vertical="center"/>
    </xf>
    <xf numFmtId="168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/>
    </xf>
    <xf numFmtId="168" fontId="3" fillId="0" borderId="0" xfId="0" applyNumberFormat="1" applyFont="1" applyAlignment="1">
      <alignment horizontal="left"/>
    </xf>
    <xf numFmtId="168" fontId="34" fillId="0" borderId="0" xfId="0" applyNumberFormat="1" applyFont="1" applyAlignment="1">
      <alignment horizontal="left" vertical="center"/>
    </xf>
    <xf numFmtId="0" fontId="0" fillId="0" borderId="39" xfId="0" applyBorder="1"/>
    <xf numFmtId="0" fontId="0" fillId="0" borderId="0" xfId="0" applyAlignment="1">
      <alignment horizontal="right"/>
    </xf>
    <xf numFmtId="0" fontId="2" fillId="26" borderId="36" xfId="0" applyFont="1" applyFill="1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37" xfId="0" applyBorder="1"/>
    <xf numFmtId="0" fontId="0" fillId="0" borderId="3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27" borderId="39" xfId="0" applyFont="1" applyFill="1" applyBorder="1"/>
    <xf numFmtId="0" fontId="47" fillId="27" borderId="8" xfId="0" applyFont="1" applyFill="1" applyBorder="1" applyAlignment="1">
      <alignment horizontal="right"/>
    </xf>
    <xf numFmtId="0" fontId="47" fillId="27" borderId="37" xfId="0" applyFont="1" applyFill="1" applyBorder="1"/>
    <xf numFmtId="2" fontId="47" fillId="27" borderId="10" xfId="0" applyNumberFormat="1" applyFont="1" applyFill="1" applyBorder="1" applyAlignment="1">
      <alignment horizontal="right"/>
    </xf>
    <xf numFmtId="0" fontId="47" fillId="27" borderId="10" xfId="0" applyFont="1" applyFill="1" applyBorder="1" applyAlignment="1">
      <alignment horizontal="right"/>
    </xf>
    <xf numFmtId="9" fontId="0" fillId="0" borderId="8" xfId="12" applyFont="1" applyBorder="1" applyAlignment="1">
      <alignment horizontal="center"/>
    </xf>
    <xf numFmtId="9" fontId="0" fillId="0" borderId="10" xfId="12" applyFont="1" applyBorder="1" applyAlignment="1">
      <alignment horizontal="center"/>
    </xf>
    <xf numFmtId="179" fontId="0" fillId="0" borderId="8" xfId="0" applyNumberFormat="1" applyBorder="1" applyAlignment="1">
      <alignment horizontal="center"/>
    </xf>
    <xf numFmtId="179" fontId="0" fillId="0" borderId="1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47" fillId="27" borderId="8" xfId="0" applyNumberFormat="1" applyFont="1" applyFill="1" applyBorder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2" fillId="26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14" fontId="47" fillId="27" borderId="7" xfId="0" applyNumberFormat="1" applyFont="1" applyFill="1" applyBorder="1" applyAlignment="1">
      <alignment horizontal="right"/>
    </xf>
    <xf numFmtId="0" fontId="47" fillId="27" borderId="7" xfId="0" applyFont="1" applyFill="1" applyBorder="1" applyAlignment="1">
      <alignment horizontal="right"/>
    </xf>
    <xf numFmtId="2" fontId="47" fillId="27" borderId="7" xfId="0" applyNumberFormat="1" applyFont="1" applyFill="1" applyBorder="1" applyAlignment="1">
      <alignment horizontal="right"/>
    </xf>
    <xf numFmtId="17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right"/>
    </xf>
    <xf numFmtId="9" fontId="0" fillId="0" borderId="7" xfId="12" applyFont="1" applyBorder="1" applyAlignment="1">
      <alignment horizontal="center"/>
    </xf>
    <xf numFmtId="9" fontId="0" fillId="0" borderId="28" xfId="12" applyFont="1" applyBorder="1" applyAlignment="1">
      <alignment horizontal="center"/>
    </xf>
    <xf numFmtId="0" fontId="0" fillId="0" borderId="0" xfId="0" applyFont="1" applyAlignment="1">
      <alignment horizontal="center"/>
    </xf>
    <xf numFmtId="167" fontId="8" fillId="3" borderId="0" xfId="1" applyNumberFormat="1" applyFont="1" applyFill="1" applyAlignment="1">
      <alignment horizontal="center" vertical="center"/>
    </xf>
    <xf numFmtId="0" fontId="8" fillId="3" borderId="0" xfId="1" applyFont="1" applyFill="1" applyAlignment="1">
      <alignment horizontal="justify" vertical="center"/>
    </xf>
    <xf numFmtId="0" fontId="9" fillId="3" borderId="0" xfId="0" applyFont="1" applyFill="1" applyAlignment="1">
      <alignment horizontal="justify" vertical="center"/>
    </xf>
    <xf numFmtId="167" fontId="6" fillId="3" borderId="0" xfId="1" applyNumberFormat="1" applyFont="1" applyFill="1" applyAlignment="1">
      <alignment horizontal="justify" vertical="center"/>
    </xf>
    <xf numFmtId="0" fontId="7" fillId="3" borderId="0" xfId="0" applyFont="1" applyFill="1" applyAlignment="1">
      <alignment horizontal="justify" vertical="center"/>
    </xf>
    <xf numFmtId="168" fontId="4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5" fillId="16" borderId="38" xfId="0" applyFont="1" applyFill="1" applyBorder="1" applyAlignment="1">
      <alignment horizontal="right" vertical="center" indent="2"/>
    </xf>
    <xf numFmtId="0" fontId="0" fillId="0" borderId="48" xfId="0" applyBorder="1" applyAlignment="1">
      <alignment horizontal="right" vertical="center" indent="2"/>
    </xf>
    <xf numFmtId="0" fontId="0" fillId="0" borderId="47" xfId="0" applyBorder="1" applyAlignment="1">
      <alignment horizontal="right" vertical="center" indent="2"/>
    </xf>
    <xf numFmtId="0" fontId="17" fillId="16" borderId="26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17" fillId="16" borderId="40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17" fillId="16" borderId="41" xfId="0" applyFont="1" applyFill="1" applyBorder="1" applyAlignment="1">
      <alignment horizontal="center" vertical="center"/>
    </xf>
    <xf numFmtId="0" fontId="17" fillId="0" borderId="34" xfId="0" applyFont="1" applyBorder="1" applyAlignment="1">
      <alignment vertical="center"/>
    </xf>
    <xf numFmtId="0" fontId="0" fillId="0" borderId="34" xfId="0" applyBorder="1" applyAlignment="1">
      <alignment vertical="center"/>
    </xf>
    <xf numFmtId="0" fontId="37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16" borderId="32" xfId="0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16" borderId="26" xfId="0" applyFont="1" applyFill="1" applyBorder="1" applyAlignment="1">
      <alignment horizontal="right" vertical="center"/>
    </xf>
    <xf numFmtId="0" fontId="0" fillId="0" borderId="26" xfId="0" applyBorder="1" applyAlignment="1">
      <alignment horizontal="right" vertical="center"/>
    </xf>
    <xf numFmtId="164" fontId="17" fillId="16" borderId="26" xfId="0" applyNumberFormat="1" applyFont="1" applyFill="1" applyBorder="1" applyAlignment="1">
      <alignment horizontal="right" vertical="center"/>
    </xf>
    <xf numFmtId="0" fontId="0" fillId="0" borderId="35" xfId="0" applyBorder="1" applyAlignment="1">
      <alignment horizontal="right" vertical="center"/>
    </xf>
    <xf numFmtId="0" fontId="17" fillId="16" borderId="40" xfId="0" applyFont="1" applyFill="1" applyBorder="1" applyAlignment="1">
      <alignment horizontal="right" vertical="center"/>
    </xf>
    <xf numFmtId="0" fontId="0" fillId="0" borderId="40" xfId="0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0" fontId="5" fillId="21" borderId="50" xfId="0" applyFont="1" applyFill="1" applyBorder="1" applyAlignment="1">
      <alignment horizontal="center" vertical="center"/>
    </xf>
    <xf numFmtId="0" fontId="5" fillId="21" borderId="51" xfId="0" applyFont="1" applyFill="1" applyBorder="1" applyAlignment="1">
      <alignment horizontal="center" vertical="center"/>
    </xf>
    <xf numFmtId="0" fontId="5" fillId="21" borderId="52" xfId="0" applyFont="1" applyFill="1" applyBorder="1" applyAlignment="1">
      <alignment horizontal="center" vertical="center"/>
    </xf>
    <xf numFmtId="0" fontId="18" fillId="23" borderId="63" xfId="0" applyFont="1" applyFill="1" applyBorder="1" applyAlignment="1">
      <alignment horizontal="center" vertical="center"/>
    </xf>
    <xf numFmtId="0" fontId="18" fillId="23" borderId="64" xfId="0" applyFont="1" applyFill="1" applyBorder="1" applyAlignment="1">
      <alignment horizontal="center" vertical="center"/>
    </xf>
    <xf numFmtId="0" fontId="18" fillId="23" borderId="65" xfId="0" applyFont="1" applyFill="1" applyBorder="1" applyAlignment="1">
      <alignment horizontal="center" vertical="center"/>
    </xf>
    <xf numFmtId="0" fontId="26" fillId="21" borderId="50" xfId="0" applyFont="1" applyFill="1" applyBorder="1" applyAlignment="1">
      <alignment horizontal="center" vertical="center"/>
    </xf>
    <xf numFmtId="0" fontId="26" fillId="21" borderId="51" xfId="0" applyFont="1" applyFill="1" applyBorder="1" applyAlignment="1">
      <alignment horizontal="center" vertical="center"/>
    </xf>
    <xf numFmtId="0" fontId="26" fillId="21" borderId="52" xfId="0" applyFont="1" applyFill="1" applyBorder="1" applyAlignment="1">
      <alignment horizontal="center" vertical="center"/>
    </xf>
    <xf numFmtId="0" fontId="8" fillId="20" borderId="4" xfId="3" applyFont="1" applyFill="1" applyBorder="1" applyAlignment="1">
      <alignment horizontal="center" vertical="center"/>
    </xf>
    <xf numFmtId="0" fontId="8" fillId="20" borderId="0" xfId="0" applyFont="1" applyFill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5" xfId="3" applyFont="1" applyFill="1" applyBorder="1" applyAlignment="1">
      <alignment horizontal="center" vertical="center"/>
    </xf>
    <xf numFmtId="0" fontId="8" fillId="20" borderId="8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8" fillId="20" borderId="0" xfId="5" applyFont="1" applyFill="1" applyBorder="1">
      <alignment horizontal="center" vertical="center"/>
    </xf>
    <xf numFmtId="0" fontId="34" fillId="0" borderId="23" xfId="9" applyFont="1" applyBorder="1" applyAlignment="1">
      <alignment horizontal="center" vertical="center" wrapText="1"/>
    </xf>
    <xf numFmtId="0" fontId="34" fillId="0" borderId="30" xfId="9" applyFont="1" applyBorder="1" applyAlignment="1">
      <alignment horizontal="center" vertical="center" wrapText="1"/>
    </xf>
    <xf numFmtId="0" fontId="29" fillId="0" borderId="25" xfId="10" applyFont="1" applyBorder="1" applyAlignment="1">
      <alignment horizontal="center" vertical="center" wrapText="1"/>
    </xf>
    <xf numFmtId="0" fontId="29" fillId="0" borderId="26" xfId="10" applyFont="1" applyBorder="1" applyAlignment="1">
      <alignment horizontal="center" vertical="center" wrapText="1"/>
    </xf>
    <xf numFmtId="0" fontId="29" fillId="0" borderId="27" xfId="10" applyFont="1" applyBorder="1" applyAlignment="1">
      <alignment horizontal="center" vertical="center" wrapText="1"/>
    </xf>
    <xf numFmtId="0" fontId="29" fillId="0" borderId="31" xfId="10" applyFont="1" applyBorder="1" applyAlignment="1">
      <alignment horizontal="center" vertical="center" wrapText="1"/>
    </xf>
    <xf numFmtId="0" fontId="29" fillId="0" borderId="9" xfId="10" applyFont="1" applyBorder="1" applyAlignment="1">
      <alignment horizontal="center" vertical="center" wrapText="1"/>
    </xf>
    <xf numFmtId="0" fontId="29" fillId="0" borderId="10" xfId="10" applyFont="1" applyBorder="1" applyAlignment="1">
      <alignment horizontal="center" vertical="center" wrapText="1"/>
    </xf>
    <xf numFmtId="0" fontId="8" fillId="20" borderId="3" xfId="2" applyFont="1" applyFill="1" applyBorder="1">
      <alignment horizontal="center" vertical="center"/>
    </xf>
    <xf numFmtId="0" fontId="8" fillId="20" borderId="7" xfId="2" applyFont="1" applyFill="1" applyBorder="1">
      <alignment horizontal="center" vertical="center"/>
    </xf>
    <xf numFmtId="0" fontId="8" fillId="20" borderId="28" xfId="2" applyFont="1" applyFill="1" applyBorder="1">
      <alignment horizontal="center" vertical="center"/>
    </xf>
  </cellXfs>
  <cellStyles count="15">
    <cellStyle name="Año y mes" xfId="2"/>
    <cellStyle name="Día" xfId="7"/>
    <cellStyle name="Encabezado 4 2" xfId="6"/>
    <cellStyle name="Entrada 2" xfId="8"/>
    <cellStyle name="Moneda 2" xfId="14"/>
    <cellStyle name="Normal" xfId="0" builtinId="0"/>
    <cellStyle name="Normal 2" xfId="13"/>
    <cellStyle name="Normal 2 2 2" xfId="1"/>
    <cellStyle name="Normal 3" xfId="11"/>
    <cellStyle name="Normal 4" xfId="4"/>
    <cellStyle name="Notas 2" xfId="9"/>
    <cellStyle name="Porcentaje" xfId="12" builtinId="5"/>
    <cellStyle name="Texto explicativo 2" xfId="10"/>
    <cellStyle name="Título 2 2" xfId="3"/>
    <cellStyle name="Título 3 2" xfId="5"/>
  </cellStyles>
  <dxfs count="785"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818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rgb="FF006699"/>
        </patternFill>
      </fill>
    </dxf>
    <dxf>
      <font>
        <color theme="0"/>
      </font>
      <fill>
        <patternFill>
          <bgColor rgb="FF006699"/>
        </patternFill>
      </fill>
    </dxf>
    <dxf>
      <fill>
        <patternFill>
          <bgColor theme="8" tint="0.39994506668294322"/>
        </patternFill>
      </fill>
    </dxf>
    <dxf>
      <font>
        <b/>
        <i val="0"/>
        <color rgb="FF742700"/>
      </font>
      <fill>
        <patternFill>
          <bgColor theme="7" tint="0.39994506668294322"/>
        </patternFill>
      </fill>
    </dxf>
    <dxf>
      <font>
        <b/>
        <i val="0"/>
        <color rgb="FF742700"/>
      </font>
      <fill>
        <patternFill>
          <bgColor theme="5" tint="0.39994506668294322"/>
        </patternFill>
      </fill>
    </dxf>
    <dxf>
      <font>
        <color rgb="FF742700"/>
      </font>
      <fill>
        <patternFill>
          <bgColor rgb="FFFED6D6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3" tint="-0.24994659260841701"/>
      </font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7C80"/>
        </patternFill>
      </fill>
    </dxf>
    <dxf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"/>
        <color theme="1"/>
        <name val="Webdings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dd/mm/yyyy\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numFmt numFmtId="171" formatCode="[hh]:mm"/>
      <alignment horizontal="center" vertical="center" textRotation="0" wrapText="0" indent="0" justifyLastLine="0" shrinkToFit="0" readingOrder="0"/>
    </dxf>
    <dxf>
      <numFmt numFmtId="171" formatCode="[hh]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numFmt numFmtId="14" formatCode="0.00%"/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68" formatCode="[$-F800]dddd\,\ mmmm\ dd\,\ yyyy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textRotation="0" wrapText="0" indent="0" justifyLastLine="0" shrinkToFit="0" readingOrder="0"/>
    </dxf>
    <dxf>
      <numFmt numFmtId="175" formatCode="mmmm\ yyyy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75" formatCode="mmmm\ yyyy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1" formatCode="[hh]:mm"/>
      <alignment horizontal="center" vertical="center" textRotation="0" wrapText="0" indent="0" justifyLastLine="0" shrinkToFit="0" readingOrder="0"/>
    </dxf>
    <dxf>
      <numFmt numFmtId="171" formatCode="[h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1" formatCode="[hh]:mm"/>
      <fill>
        <patternFill patternType="solid">
          <fgColor indexed="64"/>
          <bgColor rgb="FFAFD3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1" formatCode="[hh]:mm"/>
      <fill>
        <patternFill patternType="solid">
          <fgColor indexed="64"/>
          <bgColor rgb="FFAFD3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[hh]:mm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1" formatCode="[hh]:mm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1" formatCode="[hh]:mm"/>
      <fill>
        <patternFill patternType="solid">
          <fgColor indexed="64"/>
          <bgColor theme="9" tint="0.79998168889431442"/>
        </patternFill>
      </fill>
      <alignment horizontal="center" textRotation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6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81" formatCode="mm/d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7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7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_(&quot;B/.&quot;* #,##0.00_);_(&quot;B/.&quot;* \(#,##0.00\);_(&quot;B/.&quot;* &quot;-&quot;??_);_(@_)"/>
      <fill>
        <patternFill patternType="solid">
          <fgColor indexed="64"/>
          <bgColor rgb="FF0054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alignment horizontal="center" vertical="center" textRotation="0" wrapText="0" indent="0" justifyLastLine="0" shrinkToFit="0" readingOrder="0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1" formatCode="[hh]:mm"/>
      <alignment horizontal="center" vertical="bottom" textRotation="0" wrapText="0" indent="0" justifyLastLine="0" shrinkToFit="0" readingOrder="0"/>
    </dxf>
    <dxf>
      <numFmt numFmtId="171" formatCode="[hh]:mm"/>
      <fill>
        <patternFill patternType="solid">
          <fgColor indexed="64"/>
          <bgColor rgb="FFFEDEE6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solid">
          <fgColor indexed="64"/>
          <bgColor rgb="FFE6FAF1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1" formatCode="[hh]:mm"/>
      <alignment horizontal="center" vertical="bottom" textRotation="0" wrapText="0" indent="0" justifyLastLine="0" shrinkToFit="0" readingOrder="0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1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1" formatCode="[hh]:mm"/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71" formatCode="[hh]:mm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mm/dd/yyyy"/>
      <alignment horizontal="center" vertical="bottom" textRotation="0" wrapText="0" indent="0" justifyLastLine="0" shrinkToFit="0" readingOrder="0"/>
    </dxf>
    <dxf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1" formatCode="mm/dd/yyyy"/>
      <alignment horizontal="center" vertical="bottom" textRotation="0" wrapText="0" indent="0" justifyLastLine="0" shrinkToFit="0" readingOrder="0"/>
    </dxf>
    <dxf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"/>
        <color theme="1"/>
        <name val="Webdings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h]:mm"/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8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3" formatCode="dd/mm/yyyy\ "/>
      <alignment horizontal="center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77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77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_(* #,##0.00_);_(* \(#,##0.0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8"/>
          <bgColor theme="8" tint="-0.499984740745262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theme="0" tint="-0.14996795556505021"/>
        </patternFill>
      </fill>
    </dxf>
    <dxf>
      <fill>
        <patternFill>
          <bgColor theme="8" tint="-0.499984740745262"/>
        </patternFill>
      </fill>
      <border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horizontal/>
      </border>
    </dxf>
    <dxf>
      <fill>
        <patternFill>
          <bgColor theme="8" tint="-0.499984740745262"/>
        </patternFill>
      </fill>
    </dxf>
  </dxfs>
  <tableStyles count="3" defaultTableStyle="TableStyleMedium2" defaultPivotStyle="PivotStyleLight16">
    <tableStyle name="Estilo de tabla 1" pivot="0" count="1">
      <tableStyleElement type="headerRow" dxfId="784"/>
    </tableStyle>
    <tableStyle name="Estilo de tabla 2" pivot="0" count="3">
      <tableStyleElement type="wholeTable" dxfId="783"/>
      <tableStyleElement type="headerRow" dxfId="782"/>
      <tableStyleElement type="firstRowStripe" dxfId="781"/>
    </tableStyle>
    <tableStyle name="TableStyleMedium20 2" pivot="0" count="7">
      <tableStyleElement type="wholeTable" dxfId="780"/>
      <tableStyleElement type="headerRow" dxfId="779"/>
      <tableStyleElement type="totalRow" dxfId="778"/>
      <tableStyleElement type="firstColumn" dxfId="777"/>
      <tableStyleElement type="lastColumn" dxfId="776"/>
      <tableStyleElement type="firstRowStripe" dxfId="775"/>
      <tableStyleElement type="firstColumnStripe" dxfId="774"/>
    </tableStyle>
  </tableStyles>
  <colors>
    <mruColors>
      <color rgb="FFA80000"/>
      <color rgb="FFFF9999"/>
      <color rgb="FFF88C8C"/>
      <color rgb="FFB02200"/>
      <color rgb="FFFF6D4B"/>
      <color rgb="FFAFD399"/>
      <color rgb="FFFF8265"/>
      <color rgb="FFEE2D00"/>
      <color rgb="FFD62900"/>
      <color rgb="FFFF71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304801</xdr:colOff>
      <xdr:row>0</xdr:row>
      <xdr:rowOff>123826</xdr:rowOff>
    </xdr:from>
    <xdr:to>
      <xdr:col>14</xdr:col>
      <xdr:colOff>581025</xdr:colOff>
      <xdr:row>6</xdr:row>
      <xdr:rowOff>133350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04801" y="123826"/>
          <a:ext cx="10944224" cy="1152524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r>
            <a:rPr lang="es-SV" sz="7200" b="1" baseline="0">
              <a:solidFill>
                <a:srgbClr val="003300"/>
              </a:solidFill>
            </a:rPr>
            <a:t>Sistema de Nomina</a:t>
          </a:r>
        </a:p>
        <a:p>
          <a:pPr algn="l"/>
          <a:r>
            <a:rPr lang="es-SV" sz="2400" b="1" baseline="0">
              <a:solidFill>
                <a:sysClr val="windowText" lastClr="000000"/>
              </a:solidFill>
            </a:rPr>
            <a:t>            </a:t>
          </a:r>
          <a:endParaRPr lang="es-SV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514351</xdr:colOff>
      <xdr:row>7</xdr:row>
      <xdr:rowOff>76201</xdr:rowOff>
    </xdr:from>
    <xdr:to>
      <xdr:col>1</xdr:col>
      <xdr:colOff>409576</xdr:colOff>
      <xdr:row>10</xdr:row>
      <xdr:rowOff>161926</xdr:rowOff>
    </xdr:to>
    <xdr:pic macro="[0]!CambiarUsuario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1" y="1409701"/>
          <a:ext cx="657225" cy="657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480060</xdr:colOff>
          <xdr:row>11</xdr:row>
          <xdr:rowOff>22860</xdr:rowOff>
        </xdr:from>
        <xdr:to>
          <xdr:col>4</xdr:col>
          <xdr:colOff>274320</xdr:colOff>
          <xdr:row>13</xdr:row>
          <xdr:rowOff>38100</xdr:rowOff>
        </xdr:to>
        <xdr:sp macro="" textlink="">
          <xdr:nvSpPr>
            <xdr:cNvPr id="1026" name="lbl_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342901</xdr:colOff>
      <xdr:row>8</xdr:row>
      <xdr:rowOff>38100</xdr:rowOff>
    </xdr:from>
    <xdr:to>
      <xdr:col>6</xdr:col>
      <xdr:colOff>628650</xdr:colOff>
      <xdr:row>10</xdr:row>
      <xdr:rowOff>142875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104901" y="1562100"/>
          <a:ext cx="4095749" cy="4857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r>
            <a:rPr lang="es-SV" sz="2400" b="1" baseline="0">
              <a:solidFill>
                <a:sysClr val="windowText" lastClr="000000"/>
              </a:solidFill>
            </a:rPr>
            <a:t>Gestor de Recursos Humanos</a:t>
          </a:r>
          <a:endParaRPr lang="es-SV" sz="2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64996" cy="1115786"/>
    <xdr:sp macro="" textlink="$K$2">
      <xdr:nvSpPr>
        <xdr:cNvPr id="2" name="Año del calendario" descr="Año del calendario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SpPr/>
      </xdr:nvSpPr>
      <xdr:spPr>
        <a:xfrm>
          <a:off x="0" y="0"/>
          <a:ext cx="1064996" cy="1115786"/>
        </a:xfrm>
        <a:prstGeom prst="rect">
          <a:avLst/>
        </a:prstGeom>
        <a:solidFill>
          <a:srgbClr val="006699"/>
        </a:solidFill>
        <a:ln>
          <a:solidFill>
            <a:srgbClr val="00669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ctr"/>
        <a:lstStyle/>
        <a:p>
          <a:pPr algn="ctr" rtl="0"/>
          <a:fld id="{C242D41A-E9AB-4AC4-A029-BA1A2A2EA08C}" type="TxLink">
            <a:rPr lang="en-US" sz="2000" b="1" i="0" u="none" strike="noStrike">
              <a:solidFill>
                <a:schemeClr val="bg1"/>
              </a:solidFill>
              <a:latin typeface="+mj-lt"/>
              <a:cs typeface="Calibri"/>
            </a:rPr>
            <a:pPr algn="ctr" rtl="0"/>
            <a:t>2023</a:t>
          </a:fld>
          <a:endParaRPr lang="en-US" sz="3200" b="1">
            <a:solidFill>
              <a:schemeClr val="bg1"/>
            </a:solidFill>
            <a:latin typeface="+mj-lt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io%20para%20cualquier%20a&#241;o%20(tema%20Ion)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10\data_usuarios\Users\Alarrahondo\Desktop\GESTOR%20DE%20RECURSOS%20HUMANOS\GESTO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10\data_usuarios\Users\Usuario\Desktop\Luichix\EMPRESA\COMERCIO\REPORTES\ESTADOS%20FINANCIEROS\INGRESOS%20POR%20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>
        <row r="2">
          <cell r="L2">
            <v>2017</v>
          </cell>
        </row>
        <row r="3">
          <cell r="L3" t="str">
            <v>DO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MEN"/>
      <sheetName val="ANALISIS"/>
      <sheetName val="CODIGO"/>
      <sheetName val="VENTAS"/>
      <sheetName val="SERVICIO"/>
      <sheetName val="PRESTAMOS"/>
      <sheetName val="DEUDA"/>
      <sheetName val="ENTRADAS"/>
      <sheetName val="SALIDAS"/>
      <sheetName val="MATERIALES"/>
      <sheetName val="PRODUCTOS"/>
      <sheetName val="PROVEEDORES"/>
      <sheetName val="CLIENTES"/>
      <sheetName val="ENCARGOS"/>
      <sheetName val="GANADERIA"/>
      <sheetName val="MADERA"/>
      <sheetName val="GASTOS"/>
      <sheetName val="LEGALES"/>
      <sheetName val="FAMILIA"/>
      <sheetName val="ID PERSONAL"/>
      <sheetName val="ASISTENCIAS"/>
      <sheetName val="PAGOS"/>
      <sheetName val="HORAS"/>
      <sheetName val="PLANILLA"/>
      <sheetName val="COLILLA"/>
      <sheetName val="AUSENCIAS"/>
      <sheetName val="CALENDARIO"/>
      <sheetName val="CANCELACIÓN"/>
      <sheetName val="ANIMALES"/>
      <sheetName val="ORDEÑOS"/>
      <sheetName val="MEDICACIÓN"/>
      <sheetName val="REPRODUCCIÓN"/>
      <sheetName val="CÁTALOGO DE CUENTAS"/>
      <sheetName val="LIBRO DIARIO"/>
      <sheetName val="LIBRO MAYOR"/>
      <sheetName val="BALANZA DE COMPROBACIÓN"/>
      <sheetName val="BALANCE GENERAL"/>
      <sheetName val="ESTADO DE RESULTADO"/>
      <sheetName val="CUENTAS"/>
      <sheetName val="USUARIOS"/>
      <sheetName val="LOGIN"/>
      <sheetName val="COMPROBANTE"/>
      <sheetName val="CONFIGURACIÓN"/>
      <sheetName val="CUOTAS"/>
      <sheetName val="CALENDARIO2"/>
      <sheetName val="0 - 6834"/>
      <sheetName val="0 - 8872"/>
      <sheetName val="0 -0411"/>
      <sheetName val="1 - 4654"/>
      <sheetName val="2 - 1375"/>
      <sheetName val="3 - 5937"/>
      <sheetName val="4 -6144"/>
      <sheetName val="5 - 4534721"/>
      <sheetName val="6 - 1000"/>
      <sheetName val="7 -6443"/>
      <sheetName val="8 - 3862"/>
      <sheetName val="9 - 1106"/>
      <sheetName val="10  -436239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">
          <cell r="C2">
            <v>43111</v>
          </cell>
          <cell r="D2">
            <v>31</v>
          </cell>
        </row>
      </sheetData>
      <sheetData sheetId="24">
        <row r="2">
          <cell r="H2">
            <v>43256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"/>
      <sheetName val="PLU"/>
      <sheetName val="VENTAS"/>
      <sheetName val="PEDIDOS"/>
      <sheetName val="IMPUESTOS"/>
      <sheetName val="FAMILIA"/>
      <sheetName val="DEUDA"/>
      <sheetName val="PERSONAL"/>
      <sheetName val="VENTA"/>
      <sheetName val="ADMÓN"/>
      <sheetName val="SALDO"/>
      <sheetName val="ANALISIS I"/>
      <sheetName val="ANALISIS II"/>
      <sheetName val="CUENTAS"/>
      <sheetName val="ESTADO"/>
      <sheetName val="DINAMICA"/>
      <sheetName val="DINAMICA II"/>
      <sheetName val="EMPLEADOS"/>
      <sheetName val="PLANILLA"/>
      <sheetName val="HORAS"/>
      <sheetName val="PAGOS"/>
      <sheetName val="INGRESOS POR VENTAS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Tbl_personal" displayName="Tbl_personal" ref="A1:R8" totalsRowCount="1" headerRowDxfId="773" dataDxfId="772" totalsRowDxfId="771">
  <autoFilter ref="A1:R7"/>
  <sortState ref="A2:R7">
    <sortCondition ref="A1:A7"/>
  </sortState>
  <tableColumns count="18">
    <tableColumn id="1" name="ID PERSONAL" dataDxfId="770" totalsRowDxfId="769"/>
    <tableColumn id="2" name="APELLIDO &amp; NOMBRE" dataDxfId="768" totalsRowDxfId="767"/>
    <tableColumn id="3" name="N°  IDENTIFICACIÓN" dataDxfId="766" totalsRowDxfId="765"/>
    <tableColumn id="4" name="TELEFONO" dataDxfId="764" totalsRowDxfId="763"/>
    <tableColumn id="5" name="ÁREA" dataDxfId="762" totalsRowDxfId="761"/>
    <tableColumn id="6" name="CARGO" dataDxfId="760" totalsRowDxfId="759"/>
    <tableColumn id="13" name="REGIMEN" dataDxfId="758" totalsRowDxfId="757"/>
    <tableColumn id="19" name="JORNADA" dataDxfId="756" totalsRowDxfId="755"/>
    <tableColumn id="15" name="CONTROL HORARIO" dataDxfId="754" totalsRowDxfId="753"/>
    <tableColumn id="7" name="SALARIO BASE" totalsRowFunction="sum" dataDxfId="752" totalsRowDxfId="751"/>
    <tableColumn id="12" name="CONTRATO" dataDxfId="750" totalsRowDxfId="749"/>
    <tableColumn id="8" name="INICIO CONTRATO" dataDxfId="748" totalsRowDxfId="747"/>
    <tableColumn id="10" name="FIN CONTRATO" dataDxfId="746" totalsRowDxfId="745"/>
    <tableColumn id="14" name="CUENTA DE PAGO" dataDxfId="744" totalsRowDxfId="743"/>
    <tableColumn id="16" name="CUENTA BANCARIA" dataDxfId="742" totalsRowDxfId="741"/>
    <tableColumn id="9" name="ESTADO" dataDxfId="740" totalsRowDxfId="739"/>
    <tableColumn id="11" name="ULTIMA ACTUALIZACIÓN" totalsRowFunction="count" dataDxfId="738" totalsRowDxfId="737"/>
    <tableColumn id="17" name="ALARMA" dataDxfId="736" totalsRowDxfId="735">
      <calculatedColumnFormula>IF(Tbl_personal[[#This Row],[FIN CONTRATO]]="","",IF(Tbl_personal[[#This Row],[FIN CONTRATO]]&gt;TODAY(),CONCATENATE(Tbl_personal[[#This Row],[FIN CONTRATO]]-TODAY()," DIAS"),"FINALIZADO"))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bl_tiempo" displayName="Tbl_tiempo" ref="A1:Z17" totalsRowShown="0" headerRowDxfId="734" dataDxfId="733">
  <autoFilter ref="A1:Z17"/>
  <sortState ref="A3:Z111">
    <sortCondition ref="B1:B111"/>
  </sortState>
  <tableColumns count="26">
    <tableColumn id="1" name="FECHA" dataDxfId="732" totalsRowDxfId="731"/>
    <tableColumn id="2" name="ID PERSONAL" dataDxfId="730" totalsRowDxfId="729"/>
    <tableColumn id="3" name="NOMBRE DEL COLABORADOR" dataDxfId="728" totalsRowDxfId="727">
      <calculatedColumnFormula>IFERROR(VLOOKUP(Tbl_tiempo[[#This Row],[ID PERSONAL]],Tbl_personal[],2,0),"")</calculatedColumnFormula>
    </tableColumn>
    <tableColumn id="7" name="REFERENCIA" dataDxfId="31" totalsRowDxfId="32">
      <calculatedColumnFormula>CONCATENATE(Tbl_tiempo[[#This Row],[ID PERSONAL]],Tbl_tiempo[[#This Row],[FECHA]])</calculatedColumnFormula>
    </tableColumn>
    <tableColumn id="17" name="MARCA INICIAL" dataDxfId="726" totalsRowDxfId="725"/>
    <tableColumn id="24" name="MARCA FINAL" dataDxfId="724" totalsRowDxfId="723"/>
    <tableColumn id="4" name="ANALISIS MARCAJE INICIAL" dataDxfId="722" totalsRowDxfId="721">
      <calculatedColumnFormula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calculatedColumnFormula>
    </tableColumn>
    <tableColumn id="15" name="ANALISIS MARCAJE FINAL" dataDxfId="720" totalsRowDxfId="719">
      <calculatedColumnFormula>IFERROR(Tbl_tiempo[[#This Row],[MARCA FINAL]],"")</calculatedColumnFormula>
    </tableColumn>
    <tableColumn id="23" name="REGIMEN" dataDxfId="718" totalsRowDxfId="717">
      <calculatedColumnFormula>IFERROR(VLOOKUP(Tbl_tiempo[[#This Row],[ID PERSONAL]],Tbl_personal[],7,0),"")</calculatedColumnFormula>
    </tableColumn>
    <tableColumn id="26" name="JORNADA" dataDxfId="716" totalsRowDxfId="715">
      <calculatedColumnFormula>IFERROR(VLOOKUP(Tbl_tiempo[[#This Row],[ID PERSONAL]],Tbl_personal[],8,0),"")</calculatedColumnFormula>
    </tableColumn>
    <tableColumn id="16" name="HORAS" dataDxfId="714" totalsRowDxfId="713">
      <calculatedColumnFormula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calculatedColumnFormula>
    </tableColumn>
    <tableColumn id="20" name="REPORTE X DIA" dataDxfId="712" totalsRowDxfId="711">
      <calculatedColumnFormula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calculatedColumnFormula>
    </tableColumn>
    <tableColumn id="6" name="CRITERIO" dataDxfId="710" totalsRowDxfId="709">
      <calculatedColumnFormula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calculatedColumnFormula>
    </tableColumn>
    <tableColumn id="9" name="REVISIÓN" dataDxfId="708" totalsRowDxfId="707">
      <calculatedColumnFormula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calculatedColumnFormula>
    </tableColumn>
    <tableColumn id="25" name="PENALIZACIÓN" dataDxfId="706" totalsRowDxfId="705"/>
    <tableColumn id="18" name="MARCAJE ALMUERZO" dataDxfId="704" totalsRowDxfId="703">
      <calculatedColumnFormula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calculatedColumnFormula>
    </tableColumn>
    <tableColumn id="22" name="APROBACIÓN HORAS ALMUERZO" dataDxfId="702" totalsRowDxfId="701"/>
    <tableColumn id="19" name="HORAS ALMUERZO" dataDxfId="700" totalsRowDxfId="699">
      <calculatedColumnFormula>IF(Tbl_tiempo[[#This Row],[APROBACIÓN HORAS ALMUERZO]]="APROBADO",IF(Tbl_tiempo[[#This Row],[MARCAJE ALMUERZO]]="APROBACIÓN REALIZADA",(VLOOKUP(Tbl_tiempo[[#This Row],[JORNADA]],Tabla_Jornada[],(IF(WEEKDAY(Tbl_tiempo[[#This Row],[FECHA]],1)=7,8,4)),0)),0),0)</calculatedColumnFormula>
    </tableColumn>
    <tableColumn id="21" name="MARCAJE EXTRA DIURNAS" dataDxfId="698" totalsRowDxfId="697">
      <calculatedColumnFormula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calculatedColumnFormula>
    </tableColumn>
    <tableColumn id="11" name="APROBACIÓN EXTRAS DIURNAS" dataDxfId="696" totalsRowDxfId="695"/>
    <tableColumn id="5" name="EXTRAS DIURNAS" dataDxfId="694" totalsRowDxfId="693">
      <calculatedColumnFormula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calculatedColumnFormula>
    </tableColumn>
    <tableColumn id="13" name="EXTRAS VESPERTINO - 6" dataDxfId="692" totalsRowDxfId="691">
      <calculatedColumnFormula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calculatedColumnFormula>
    </tableColumn>
    <tableColumn id="8" name="EXTRAS NOCTURNO 6 -8" dataDxfId="690" totalsRowDxfId="689">
      <calculatedColumnFormula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calculatedColumnFormula>
    </tableColumn>
    <tableColumn id="10" name="EXTRAS NOCTURNO 8 +" dataDxfId="688" totalsRowDxfId="687">
      <calculatedColumnFormula>IFERROR(IF(VLOOKUP(Tbl_tiempo[[#This Row],[REGIMEN]],Tabla_Regimen[],2,0)=SI,IF(Tbl_tiempo[[#This Row],[ANALISIS MARCAJE FINAL]]&gt;PARAMETROS!$AF$6,Tbl_tiempo[[#This Row],[ANALISIS MARCAJE FINAL]]-PARAMETROS!$AF$6,0),0),0)</calculatedColumnFormula>
    </tableColumn>
    <tableColumn id="12" name="REGISTRO UNICO" dataDxfId="686" totalsRowDxfId="685">
      <calculatedColumnFormula>IF(COUNTIF(Tbl_tiempo[REFERENCIA UNICA],Tbl_tiempo[[#This Row],[REFERENCIA UNICA]])&gt;1,"REPETIDO","UNICO")</calculatedColumnFormula>
    </tableColumn>
    <tableColumn id="14" name="REFERENCIA UNICA" dataDxfId="684" totalsRowDxfId="683">
      <calculatedColumnFormula>CONCATENATE(Tbl_tiempo[[#This Row],[ID PERSONAL]],Tbl_tiempo[[#This Row],[FECHA]],Tbl_tiempo[[#This Row],[MARCA INICIAL]],Tbl_tiempo[[#This Row],[MARCA FINAL]])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6" name="Tbl_tiempo7" displayName="Tbl_tiempo7" ref="A1:Z17" totalsRowShown="0" headerRowDxfId="82" dataDxfId="81">
  <autoFilter ref="A1:Z17"/>
  <sortState ref="A2:Z110">
    <sortCondition ref="B1:B111"/>
  </sortState>
  <tableColumns count="26">
    <tableColumn id="1" name="FECHA" dataDxfId="79" totalsRowDxfId="80"/>
    <tableColumn id="2" name="ID PERSONAL" dataDxfId="77" totalsRowDxfId="78"/>
    <tableColumn id="3" name="NOMBRE DEL COLABORADOR" dataDxfId="30"/>
    <tableColumn id="17" name="MARCA INICIAL" dataDxfId="75" totalsRowDxfId="76"/>
    <tableColumn id="24" name="MARCA FINAL" dataDxfId="73" totalsRowDxfId="74"/>
    <tableColumn id="7" name="REFERENCIA" dataDxfId="28" totalsRowDxfId="29">
      <calculatedColumnFormula>CONCATENATE(Tbl_tiempo7[[#This Row],[ID PERSONAL]],Tbl_tiempo7[[#This Row],[FECHA]])</calculatedColumnFormula>
    </tableColumn>
    <tableColumn id="4" name="ANALISIS MARCAJE INICIAL" dataDxfId="71" totalsRowDxfId="72">
      <calculatedColumnFormula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calculatedColumnFormula>
    </tableColumn>
    <tableColumn id="15" name="ANALISIS MARCAJE FINAL" dataDxfId="69" totalsRowDxfId="70">
      <calculatedColumnFormula>IFERROR(Tbl_tiempo7[[#This Row],[MARCA FINAL]],"")</calculatedColumnFormula>
    </tableColumn>
    <tableColumn id="23" name="REGIMEN" dataDxfId="67" totalsRowDxfId="68">
      <calculatedColumnFormula>IFERROR(VLOOKUP(Tbl_tiempo7[[#This Row],[ID PERSONAL]],Tbl_personal[],7,0),"")</calculatedColumnFormula>
    </tableColumn>
    <tableColumn id="26" name="JORNADA" dataDxfId="65" totalsRowDxfId="66">
      <calculatedColumnFormula>IFERROR(VLOOKUP(Tbl_tiempo7[[#This Row],[ID PERSONAL]],Tbl_personal[],8,0),"")</calculatedColumnFormula>
    </tableColumn>
    <tableColumn id="16" name="HORAS" dataDxfId="63" totalsRowDxfId="64">
      <calculatedColumnFormula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calculatedColumnFormula>
    </tableColumn>
    <tableColumn id="20" name="REPORTE X DIA" dataDxfId="61" totalsRowDxfId="62">
      <calculatedColumnFormula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calculatedColumnFormula>
    </tableColumn>
    <tableColumn id="6" name="CRITERIO" dataDxfId="59" totalsRowDxfId="60">
      <calculatedColumnFormula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calculatedColumnFormula>
    </tableColumn>
    <tableColumn id="9" name="REVISIÓN" dataDxfId="57" totalsRowDxfId="58">
      <calculatedColumnFormula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calculatedColumnFormula>
    </tableColumn>
    <tableColumn id="25" name="PENALIZACIÓN" dataDxfId="55" totalsRowDxfId="56"/>
    <tableColumn id="18" name="MARCAJE ALMUERZO" dataDxfId="53" totalsRowDxfId="54">
      <calculatedColumnFormula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calculatedColumnFormula>
    </tableColumn>
    <tableColumn id="22" name="APROBACIÓN HORAS ALMUERZO" dataDxfId="51" totalsRowDxfId="52"/>
    <tableColumn id="19" name="HORAS ALMUERZO" dataDxfId="49" totalsRowDxfId="50">
      <calculatedColumnFormula>IF(Tbl_tiempo7[[#This Row],[APROBACIÓN HORAS ALMUERZO]]="APROBADO",IF(Tbl_tiempo7[[#This Row],[MARCAJE ALMUERZO]]="APROBACIÓN REALIZADA",(VLOOKUP(Tbl_tiempo7[[#This Row],[JORNADA]],Tabla_Jornada[],(IF(WEEKDAY(Tbl_tiempo7[[#This Row],[FECHA]],1)=7,8,4)),0)),0),0)</calculatedColumnFormula>
    </tableColumn>
    <tableColumn id="21" name="MARCAJE EXTRA DIURNAS" dataDxfId="47" totalsRowDxfId="48">
      <calculatedColumnFormula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calculatedColumnFormula>
    </tableColumn>
    <tableColumn id="11" name="APROBACIÓN EXTRAS DIURNAS" dataDxfId="45" totalsRowDxfId="46"/>
    <tableColumn id="5" name="EXTRAS DIURNAS" dataDxfId="43" totalsRowDxfId="44">
      <calculatedColumnFormula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calculatedColumnFormula>
    </tableColumn>
    <tableColumn id="13" name="EXTRAS VESPERTINO - 6" dataDxfId="41" totalsRowDxfId="42">
      <calculatedColumnFormula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calculatedColumnFormula>
    </tableColumn>
    <tableColumn id="8" name="EXTRAS NOCTURNO 6 -8" dataDxfId="39" totalsRowDxfId="40">
      <calculatedColumnFormula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calculatedColumnFormula>
    </tableColumn>
    <tableColumn id="10" name="EXTRAS NOCTURNO 8 +" dataDxfId="37" totalsRowDxfId="38">
      <calculatedColumnFormula>IFERROR(IF(VLOOKUP(Tbl_tiempo7[[#This Row],[REGIMEN]],Tabla_Regimen[],2,0)=SI,IF(Tbl_tiempo7[[#This Row],[ANALISIS MARCAJE FINAL]]&gt;PARAMETROS!$AF$6,Tbl_tiempo7[[#This Row],[ANALISIS MARCAJE FINAL]]-PARAMETROS!$AF$6,0),0),0)</calculatedColumnFormula>
    </tableColumn>
    <tableColumn id="12" name="REGISTRO UNICO" dataDxfId="35" totalsRowDxfId="36">
      <calculatedColumnFormula>IF(COUNTIF(Tbl_tiempo7[REFERENCIA UNICA],Tbl_tiempo7[[#This Row],[REFERENCIA UNICA]])&gt;1,"REPETIDO","UNICO")</calculatedColumnFormula>
    </tableColumn>
    <tableColumn id="14" name="REFERENCIA UNICA" dataDxfId="33" totalsRowDxfId="34">
      <calculatedColumnFormula>CONCATENATE(Tbl_tiempo7[[#This Row],[ID PERSONAL]],Tbl_tiempo7[[#This Row],[FECHA]],Tbl_tiempo7[[#This Row],[MARCA INICIAL]],Tbl_tiempo7[[#This Row],[MARCA FINAL]])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bl_horario" displayName="Tbl_horario" ref="A4:HN6" totalsRowCount="1" headerRowDxfId="682" dataDxfId="680" headerRowBorderDxfId="681">
  <autoFilter ref="A4:HN5"/>
  <sortState ref="A5:HN17">
    <sortCondition ref="A5"/>
  </sortState>
  <tableColumns count="222">
    <tableColumn id="1" name="CODIGO" dataDxfId="679"/>
    <tableColumn id="3" name="NOMBRE Y APELLIDO" totalsRowFunction="count" dataDxfId="678" totalsRowDxfId="677">
      <calculatedColumnFormula>IFERROR(VLOOKUP(A5,Tbl_personal[],2,0),"-")</calculatedColumnFormula>
    </tableColumn>
    <tableColumn id="84" name="CARGO" dataDxfId="676" totalsRowDxfId="675" dataCellStyle="Normal 2 2 2">
      <calculatedColumnFormula>IFERROR(VLOOKUP(A5,Tbl_personal[],6,0),"-")</calculatedColumnFormula>
    </tableColumn>
    <tableColumn id="4" name="REGIMEN" dataDxfId="674" totalsRowDxfId="673">
      <calculatedColumnFormula>IFERROR(VLOOKUP(A5,Tbl_personal[],7,0),"-")</calculatedColumnFormula>
    </tableColumn>
    <tableColumn id="258" name="JORNADA" dataDxfId="672" totalsRowDxfId="671" dataCellStyle="Normal 2 2 2">
      <calculatedColumnFormula>IFERROR(VLOOKUP(A5,Tbl_personal[],8,0),"-")</calculatedColumnFormula>
    </tableColumn>
    <tableColumn id="80" name="FECHA DE INGRESO" dataDxfId="670" totalsRowDxfId="669" dataCellStyle="Normal 2 2 2">
      <calculatedColumnFormula>IFERROR(VLOOKUP(A5,Tbl_personal[],12,0),"-")</calculatedColumnFormula>
    </tableColumn>
    <tableColumn id="244" name="FECHA DE BAJA" dataDxfId="668" totalsRowDxfId="667" dataCellStyle="Normal 2 2 2">
      <calculatedColumnFormula>IFERROR(IF(VLOOKUP(A5,Tbl_personal[],13,0)="","-",VLOOKUP(A5,Tbl_personal[],13,0)),"-")</calculatedColumnFormula>
    </tableColumn>
    <tableColumn id="113" name="CONTROL" dataDxfId="666" totalsRowDxfId="665" dataCellStyle="Normal 2 2 2">
      <calculatedColumnFormula>IFERROR(VLOOKUP(A5,Tbl_personal[],9,0),"-")</calculatedColumnFormula>
    </tableColumn>
    <tableColumn id="6" name="ENTRADA 01" dataDxfId="664" dataCellStyle="Normal 2 2 2">
      <calculatedColumnFormula>SUMIFS(Tbl_tiempo[ANALISIS MARCAJE INICIAL],Tbl_tiempo[ID PERSONAL],Tbl_horario[[#This Row],[CODIGO]],Tbl_tiempo[FECHA],$I$2)</calculatedColumnFormula>
    </tableColumn>
    <tableColumn id="7" name="SALIDA 01" dataDxfId="663" dataCellStyle="Normal 2 2 2">
      <calculatedColumnFormula>SUMIFS(Tbl_tiempo[ANALISIS MARCAJE FINAL],Tbl_tiempo[ID PERSONAL],Tbl_horario[[#This Row],[CODIGO]],Tbl_tiempo[FECHA],$I$2)</calculatedColumnFormula>
    </tableColumn>
    <tableColumn id="10" name="HORAS 01" dataDxfId="662">
      <calculatedColumnFormula>IFERROR(IF(Tbl_horario[[#This Row],[SALIDA 01]]-Tbl_horario[[#This Row],[ENTRADA 01]]&lt;0,"REVISAR HORAS",(SUMIFS(Tbl_tiempo[REPORTE X DIA],Tbl_tiempo[FECHA],CONSOLIDADO!$I$2,Tbl_tiempo[ID PERSONAL],Tbl_horario[[#This Row],[CODIGO]]))/(COUNTIFS(Tbl_tiempo[FECHA],CONSOLIDADO!$I$2,Tbl_tiempo[ID PERSONAL],Tbl_horario[[#This Row],[CODIGO]]))),0)</calculatedColumnFormula>
    </tableColumn>
    <tableColumn id="74" name="TIEMPO A FAVOR 01" dataDxfId="661" dataCellStyle="Normal 2 2 2">
      <calculatedColumnFormula>IFERROR(IF(Tbl_horario[[#This Row],[HORAS 01]]&gt;SUM(Tbl_horario[[#This Row],[EXTRAS DIURNAS 01]:[TIEMPO 01]]),Tbl_horario[[#This Row],[HORAS 01]]-SUM(Tbl_horario[[#This Row],[EXTRAS DIURNAS 01]:[TIEMPO 01]]),0),0)</calculatedColumnFormula>
    </tableColumn>
    <tableColumn id="115" name="TIEMPO PENDIENTE 01" dataDxfId="660" dataCellStyle="Normal 2 2 2">
      <calculatedColumnFormula>IFERROR(IF(Tbl_horario[[#This Row],[HORAS 01]]=0,Tbl_horario[[#This Row],[TIEMPO 01]],IF(Tbl_horario[[#This Row],[HORAS 01]]&lt;SUM(Tbl_horario[[#This Row],[EXTRAS VESPERTINAS 5-6 01]:[TIEMPO 01]]),IF(WEEKDAY($I$2,1)=7,(IF((Tbl_horario[[#This Row],[HORAS 01]]+VLOOKUP(Tbl_horario[[#This Row],[JORNADA]],Tabla_Jornada[],11,0))&lt;(SUM(Tbl_horario[[#This Row],[EXTRAS VESPERTINAS 5-6 01]:[TIEMPO 01]])),(SUM(Tbl_horario[[#This Row],[EXTRAS VESPERTINAS 5-6 01]:[TIEMPO 01]]))-(Tbl_horario[[#This Row],[HORAS 01]]+VLOOKUP(Tbl_horario[[#This Row],[JORNADA]],Tabla_Jornada[],11,0)),0)),SUM(Tbl_horario[[#This Row],[EXTRAS VESPERTINAS 5-6 01]:[TIEMPO 01]])-Tbl_horario[[#This Row],[HORAS 01]]),0)),0)</calculatedColumnFormula>
    </tableColumn>
    <tableColumn id="53" name="EXTRAS DIURNAS 01" dataDxfId="659" dataCellStyle="Normal 2 2 2">
      <calculatedColumnFormula>SUMIFS(Tbl_tiempo[EXTRAS DIURNAS],Tbl_tiempo[ID PERSONAL],Tbl_horario[[#This Row],[CODIGO]],Tbl_tiempo[FECHA],$I$2)</calculatedColumnFormula>
    </tableColumn>
    <tableColumn id="54" name="EXTRAS VESPERTINAS 5-6 01" dataDxfId="658" dataCellStyle="Normal 2 2 2">
      <calculatedColumnFormula>SUMIFS(Tbl_tiempo[EXTRAS VESPERTINO - 6],Tbl_tiempo[ID PERSONAL],Tbl_horario[[#This Row],[CODIGO]],Tbl_tiempo[FECHA],$I$2)</calculatedColumnFormula>
    </tableColumn>
    <tableColumn id="58" name="EXTRAS NOCTURNAS 6-8 01" dataDxfId="657" dataCellStyle="Normal 2 2 2">
      <calculatedColumnFormula>SUMIFS(Tbl_tiempo[EXTRAS NOCTURNO 6 -8],Tbl_tiempo[ID PERSONAL],Tbl_horario[[#This Row],[CODIGO]],Tbl_tiempo[FECHA],$I$2)</calculatedColumnFormula>
    </tableColumn>
    <tableColumn id="59" name="EXTRAS NOCTURNAS 8+ 01" dataDxfId="656" dataCellStyle="Normal 2 2 2">
      <calculatedColumnFormula>SUMIFS(Tbl_tiempo[EXTRAS NOCTURNO 8 +],Tbl_tiempo[ID PERSONAL],Tbl_horario[[#This Row],[CODIGO]],Tbl_tiempo[FECHA],$I$2)</calculatedColumnFormula>
    </tableColumn>
    <tableColumn id="209" name="TIEMPO 01" dataDxfId="655" dataCellStyle="Normal 2 2 2">
      <calculatedColumnFormula>IFERROR(IF(OR(Tbl_horario[[#This Row],[FERIADO 01]]="DIA FERIADO",Tbl_horario[[#This Row],[DIA 01]]="SEPTIMO DIA"),0,VLOOKUP(Tbl_horario[[#This Row],[JORNADA]],Tabla_Jornada[],(IF(WEEKDAY($I$2,1)=7,6,2)),0)),0)</calculatedColumnFormula>
    </tableColumn>
    <tableColumn id="87" name="DIA 01" dataDxfId="654" totalsRowDxfId="653" dataCellStyle="Normal 2 2 2">
      <calculatedColumnFormula>IF(WEEKDAY($I$2)=1,"SEPTIMO DIA",IF(Tbl_horario[[#This Row],[HORAS 01]]&gt;0,"LABORADO","NO LABORADO"))</calculatedColumnFormula>
    </tableColumn>
    <tableColumn id="9" name="FERIADO 01" dataDxfId="652" totalsRowDxfId="651" dataCellStyle="Normal 2 2 2">
      <calculatedColumnFormula>IF(DATE(YEAR(TODAY()),MONTH(TODAY()),DAY(TODAY()))&gt;=$I$2,IF(AND(Tbl_horario[[#This Row],[FECHA DE INGRESO]]&lt;=$I$2,Tbl_horario[[#This Row],[FECHA DE BAJA]]&gt;=$I$2),IF((COUNTIF(Tabla_Feriados[FECHA],$I$2))=1,"DIA FERIADO","-"),"-"),"-")</calculatedColumnFormula>
    </tableColumn>
    <tableColumn id="11" name="ENTRADA 02" dataDxfId="650" dataCellStyle="Normal 2 2 2">
      <calculatedColumnFormula>SUMIFS(Tbl_tiempo[ANALISIS MARCAJE INICIAL],Tbl_tiempo[ID PERSONAL],Tbl_horario[[#This Row],[CODIGO]],Tbl_tiempo[FECHA],$U$2)</calculatedColumnFormula>
    </tableColumn>
    <tableColumn id="12" name="SALIDA 02" dataDxfId="649" dataCellStyle="Normal 2 2 2">
      <calculatedColumnFormula>SUMIFS(Tbl_tiempo[ANALISIS MARCAJE FINAL],Tbl_tiempo[ID PERSONAL],Tbl_horario[[#This Row],[CODIGO]],Tbl_tiempo[FECHA],$U$2)</calculatedColumnFormula>
    </tableColumn>
    <tableColumn id="15" name="HORAS 02" dataDxfId="648" dataCellStyle="Normal 2 2 2">
      <calculatedColumnFormula>IFERROR(IF(Tbl_horario[[#This Row],[SALIDA 02]]-Tbl_horario[[#This Row],[ENTRADA 02]]&lt;0,"REVISAR HORAS",(SUMIFS(Tbl_tiempo[REPORTE X DIA],Tbl_tiempo[FECHA],CONSOLIDADO!$U$2,Tbl_tiempo[ID PERSONAL],Tbl_horario[[#This Row],[CODIGO]]))/(COUNTIFS(Tbl_tiempo[FECHA],CONSOLIDADO!$U$2,Tbl_tiempo[ID PERSONAL],Tbl_horario[[#This Row],[CODIGO]]))),0)</calculatedColumnFormula>
    </tableColumn>
    <tableColumn id="144" name="TIEMPO A FAVOR 02" dataDxfId="647" dataCellStyle="Normal 2 2 2">
      <calculatedColumnFormula>IFERROR(IF(Tbl_horario[[#This Row],[HORAS 02]]&gt;SUM(Tbl_horario[[#This Row],[EXTRAS DIURNAS 02]:[TIEMPO 02]]),Tbl_horario[[#This Row],[HORAS 02]]-SUM(Tbl_horario[[#This Row],[EXTRAS DIURNAS 02]:[TIEMPO 02]]),0),0)</calculatedColumnFormula>
    </tableColumn>
    <tableColumn id="120" name="TIEMPO PENDIENTE 02" dataDxfId="646" dataCellStyle="Normal 2 2 2">
      <calculatedColumnFormula>IFERROR(IF(Tbl_horario[[#This Row],[HORAS 02]]=0,Tbl_horario[[#This Row],[TIEMPO 02]],IF(Tbl_horario[[#This Row],[HORAS 02]]&lt;SUM(Tbl_horario[[#This Row],[EXTRAS VESPERTINAS 5-6 02]:[TIEMPO 02]]),IF(WEEKDAY($U$2,1)=7,(IF((Tbl_horario[[#This Row],[HORAS 02]]+VLOOKUP(Tbl_horario[[#This Row],[JORNADA]],Tabla_Jornada[],11,0))&lt;(SUM(Tbl_horario[[#This Row],[EXTRAS VESPERTINAS 5-6 02]:[TIEMPO 02]])),(SUM(Tbl_horario[[#This Row],[EXTRAS VESPERTINAS 5-6 02]:[TIEMPO 02]]))-(Tbl_horario[[#This Row],[HORAS 02]]+VLOOKUP(Tbl_horario[[#This Row],[JORNADA]],Tabla_Jornada[],11,0)),0)),SUM(Tbl_horario[[#This Row],[EXTRAS VESPERTINAS 5-6 02]:[TIEMPO 02]])-Tbl_horario[[#This Row],[HORAS 02]]),0)),0)</calculatedColumnFormula>
    </tableColumn>
    <tableColumn id="73" name="EXTRAS DIURNAS 02" dataDxfId="645" dataCellStyle="Normal 2 2 2">
      <calculatedColumnFormula>SUMIFS(Tbl_tiempo[EXTRAS DIURNAS],Tbl_tiempo[ID PERSONAL],Tbl_horario[[#This Row],[CODIGO]],Tbl_tiempo[FECHA],$U$2)</calculatedColumnFormula>
    </tableColumn>
    <tableColumn id="69" name="EXTRAS VESPERTINAS 5-6 02" dataDxfId="644" dataCellStyle="Normal 2 2 2">
      <calculatedColumnFormula>SUMIFS(Tbl_tiempo[EXTRAS VESPERTINO - 6],Tbl_tiempo[ID PERSONAL],Tbl_horario[[#This Row],[CODIGO]],Tbl_tiempo[FECHA],$U$2)</calculatedColumnFormula>
    </tableColumn>
    <tableColumn id="68" name="EXTRAS NOCTURNAS 6-8 02" dataDxfId="643" dataCellStyle="Normal 2 2 2">
      <calculatedColumnFormula>SUMIFS(Tbl_tiempo[EXTRAS NOCTURNO 6 -8],Tbl_tiempo[ID PERSONAL],Tbl_horario[[#This Row],[CODIGO]],Tbl_tiempo[FECHA],$U$2)</calculatedColumnFormula>
    </tableColumn>
    <tableColumn id="64" name="EXTRAS NOCTURNAS 8+ 02" dataDxfId="642" dataCellStyle="Normal 2 2 2">
      <calculatedColumnFormula>SUMIFS(Tbl_tiempo[EXTRAS NOCTURNO 8 +],Tbl_tiempo[ID PERSONAL],Tbl_horario[[#This Row],[CODIGO]],Tbl_tiempo[FECHA],$U$2)</calculatedColumnFormula>
    </tableColumn>
    <tableColumn id="210" name="TIEMPO 02" dataDxfId="641" dataCellStyle="Normal 2 2 2">
      <calculatedColumnFormula>IFERROR(IF(OR(Tbl_horario[[#This Row],[FERIADO 02]]="DIA FERIADO",Tbl_horario[[#This Row],[DIA 02]]="SEPTIMO DIA"),0,VLOOKUP(Tbl_horario[[#This Row],[JORNADA]],Tabla_Jornada[],(IF(WEEKDAY($U$2,1)=7,6,2)),0)),0)</calculatedColumnFormula>
    </tableColumn>
    <tableColumn id="88" name="DIA 02" dataDxfId="640" dataCellStyle="Normal 2 2 2">
      <calculatedColumnFormula>IF(WEEKDAY($U$2)=1,"SEPTIMO DIA",IF(Tbl_horario[[#This Row],[HORAS 02]]&gt;0,"LABORADO","NO LABORADO"))</calculatedColumnFormula>
    </tableColumn>
    <tableColumn id="13" name="FERIADO 02" dataDxfId="639" dataCellStyle="Normal 2 2 2">
      <calculatedColumnFormula>IF(DATE(YEAR(TODAY()),MONTH(TODAY()),DAY(TODAY()))&gt;=$U$2,IF(AND(Tbl_horario[[#This Row],[FECHA DE INGRESO]]&lt;=$U$2,Tbl_horario[[#This Row],[FECHA DE BAJA]]&gt;=$U$2),IF((COUNTIF(Tabla_Feriados[FECHA],$U$2))=1,"DIA FERIADO","-"),"-"),"-")</calculatedColumnFormula>
    </tableColumn>
    <tableColumn id="16" name="ENTRADA 03" dataDxfId="638" dataCellStyle="Normal 2 2 2">
      <calculatedColumnFormula>SUMIFS(Tbl_tiempo[ANALISIS MARCAJE INICIAL],Tbl_tiempo[ID PERSONAL],Tbl_horario[[#This Row],[CODIGO]],Tbl_tiempo[FECHA],$AG$2)</calculatedColumnFormula>
    </tableColumn>
    <tableColumn id="17" name="SALIDA 03" dataDxfId="637" dataCellStyle="Normal 2 2 2">
      <calculatedColumnFormula>SUMIFS(Tbl_tiempo[ANALISIS MARCAJE FINAL],Tbl_tiempo[ID PERSONAL],Tbl_horario[[#This Row],[CODIGO]],Tbl_tiempo[FECHA],$AG$2)</calculatedColumnFormula>
    </tableColumn>
    <tableColumn id="20" name="HORAS 03" dataDxfId="636" dataCellStyle="Normal 2 2 2">
      <calculatedColumnFormula>IFERROR(IF(Tbl_horario[[#This Row],[SALIDA 03]]-Tbl_horario[[#This Row],[ENTRADA 03]]&lt;0,"REVISAR HORAS",(SUMIFS(Tbl_tiempo[REPORTE X DIA],Tbl_tiempo[FECHA],CONSOLIDADO!$AG$2,Tbl_tiempo[ID PERSONAL],Tbl_horario[[#This Row],[CODIGO]]))/(COUNTIFS(Tbl_tiempo[FECHA],CONSOLIDADO!$AG$2,Tbl_tiempo[ID PERSONAL],Tbl_horario[[#This Row],[CODIGO]]))),0)</calculatedColumnFormula>
    </tableColumn>
    <tableColumn id="149" name="TIEMPO A FAVOR 03" dataDxfId="635" dataCellStyle="Normal 2 2 2">
      <calculatedColumnFormula>IFERROR(IF(Tbl_horario[[#This Row],[HORAS 03]]&gt;SUM(Tbl_horario[[#This Row],[EXTRAS DIURNAS 03]:[TIEMPO 03]]),Tbl_horario[[#This Row],[HORAS 03]]-SUM(Tbl_horario[[#This Row],[EXTRAS DIURNAS 03]:[TIEMPO 03]]),0),0)</calculatedColumnFormula>
    </tableColumn>
    <tableColumn id="125" name="TIEMPO PENDIENTE 03" dataDxfId="634" dataCellStyle="Normal 2 2 2">
      <calculatedColumnFormula>IFERROR(IF(Tbl_horario[[#This Row],[HORAS 03]]=0,Tbl_horario[[#This Row],[TIEMPO 03]],IF(Tbl_horario[[#This Row],[HORAS 03]]&lt;SUM(Tbl_horario[[#This Row],[EXTRAS VESPERTINAS 5-6 03]:[TIEMPO 03]]),IF(WEEKDAY($AG$2,1)=7,(IF((Tbl_horario[[#This Row],[HORAS 03]]+VLOOKUP(Tbl_horario[[#This Row],[JORNADA]],Tabla_Jornada[],11,0))&lt;(SUM(Tbl_horario[[#This Row],[EXTRAS VESPERTINAS 5-6 03]:[TIEMPO 03]])),(SUM(Tbl_horario[[#This Row],[EXTRAS VESPERTINAS 5-6 03]:[TIEMPO 03]]))-(Tbl_horario[[#This Row],[HORAS 03]]+VLOOKUP(Tbl_horario[[#This Row],[JORNADA]],Tabla_Jornada[],11,0)),0)),SUM(Tbl_horario[[#This Row],[EXTRAS VESPERTINAS 5-6 03]:[TIEMPO 03]])-Tbl_horario[[#This Row],[HORAS 03]]),0)),0)</calculatedColumnFormula>
    </tableColumn>
    <tableColumn id="91" name="EXTRAS DIURNAS 03" dataDxfId="633" dataCellStyle="Normal 2 2 2">
      <calculatedColumnFormula>SUMIFS(Tbl_tiempo[EXTRAS DIURNAS],Tbl_tiempo[ID PERSONAL],Tbl_horario[[#This Row],[CODIGO]],Tbl_tiempo[FECHA],$AG$2)</calculatedColumnFormula>
    </tableColumn>
    <tableColumn id="90" name="EXTRAS VESPERTINAS 5-6 03" dataDxfId="632" dataCellStyle="Normal 2 2 2">
      <calculatedColumnFormula>SUMIFS(Tbl_tiempo[EXTRAS VESPERTINO - 6],Tbl_tiempo[ID PERSONAL],Tbl_horario[[#This Row],[CODIGO]],Tbl_tiempo[FECHA],$AG$2)</calculatedColumnFormula>
    </tableColumn>
    <tableColumn id="78" name="EXTRAS NOCTURNAS 6-8 03" dataDxfId="631" dataCellStyle="Normal 2 2 2">
      <calculatedColumnFormula>SUMIFS(Tbl_tiempo[EXTRAS NOCTURNO 6 -8],Tbl_tiempo[ID PERSONAL],Tbl_horario[[#This Row],[CODIGO]],Tbl_tiempo[FECHA],$AG$2)</calculatedColumnFormula>
    </tableColumn>
    <tableColumn id="77" name="EXTRAS NOCTURNAS 8+ 03" dataDxfId="630" dataCellStyle="Normal 2 2 2">
      <calculatedColumnFormula>SUMIFS(Tbl_tiempo[EXTRAS NOCTURNO 8 +],Tbl_tiempo[ID PERSONAL],Tbl_horario[[#This Row],[CODIGO]],Tbl_tiempo[FECHA],$AG$2)</calculatedColumnFormula>
    </tableColumn>
    <tableColumn id="211" name="TIEMPO 03" dataDxfId="629" dataCellStyle="Normal 2 2 2">
      <calculatedColumnFormula>IFERROR(IF(OR(Tbl_horario[[#This Row],[FERIADO 03]]="DIA FERIADO",Tbl_horario[[#This Row],[DIA 03]]="SEPTIMO DIA"),0,VLOOKUP(Tbl_horario[[#This Row],[JORNADA]],Tabla_Jornada[],(IF(WEEKDAY($AG$2,1)=7,6,2)),0)),0)</calculatedColumnFormula>
    </tableColumn>
    <tableColumn id="94" name="DIA 03" dataDxfId="628" dataCellStyle="Normal 2 2 2">
      <calculatedColumnFormula>IF(WEEKDAY($AG$2)=1,"SEPTIMO DIA",IF(Tbl_horario[[#This Row],[HORAS 03]]&gt;0,"LABORADO","NO LABORADO"))</calculatedColumnFormula>
    </tableColumn>
    <tableColumn id="14" name="FERIADO 03" dataDxfId="627" dataCellStyle="Normal 2 2 2">
      <calculatedColumnFormula>IF(DATE(YEAR(TODAY()),MONTH(TODAY()),DAY(TODAY()))&gt;=$AG$2,IF(AND(Tbl_horario[[#This Row],[FECHA DE INGRESO]]&lt;=$AG$2,Tbl_horario[[#This Row],[FECHA DE BAJA]]&gt;=$AG$2),IF((COUNTIF(Tabla_Feriados[FECHA],$AG$2))=1,"DIA FERIADO","-"),"-"),"-")</calculatedColumnFormula>
    </tableColumn>
    <tableColumn id="21" name="ENTRADA 04" dataDxfId="626">
      <calculatedColumnFormula>SUMIFS(Tbl_tiempo[ANALISIS MARCAJE INICIAL],Tbl_tiempo[ID PERSONAL],Tbl_horario[[#This Row],[CODIGO]],Tbl_tiempo[FECHA],$AS$2)</calculatedColumnFormula>
    </tableColumn>
    <tableColumn id="22" name="SALIDA 04" dataDxfId="625">
      <calculatedColumnFormula>SUMIFS(Tbl_tiempo[ANALISIS MARCAJE FINAL],Tbl_tiempo[ID PERSONAL],Tbl_horario[[#This Row],[CODIGO]],Tbl_tiempo[FECHA],$AS$2)</calculatedColumnFormula>
    </tableColumn>
    <tableColumn id="25" name="HORAS 04" dataDxfId="624" dataCellStyle="Normal 2 2 2">
      <calculatedColumnFormula>IFERROR(IF(Tbl_horario[[#This Row],[SALIDA 04]]-Tbl_horario[[#This Row],[ENTRADA 04]]&lt;0,"REVISAR HORAS",(SUMIFS(Tbl_tiempo[REPORTE X DIA],Tbl_tiempo[FECHA],CONSOLIDADO!$AS$2,Tbl_tiempo[ID PERSONAL],Tbl_horario[[#This Row],[CODIGO]]))/(COUNTIFS(Tbl_tiempo[FECHA],CONSOLIDADO!$AS$2,Tbl_tiempo[ID PERSONAL],Tbl_horario[[#This Row],[CODIGO]]))),0)</calculatedColumnFormula>
    </tableColumn>
    <tableColumn id="159" name="TIEMPO A FAVOR 04" dataDxfId="623" dataCellStyle="Normal 2 2 2">
      <calculatedColumnFormula>IFERROR(IF(Tbl_horario[[#This Row],[HORAS 04]]&gt;SUM(Tbl_horario[[#This Row],[EXTRAS DIURNAS 04]:[TIEMPO 04]]),Tbl_horario[[#This Row],[HORAS 04]]-SUM(Tbl_horario[[#This Row],[EXTRAS DIURNAS 04]:[TIEMPO 04]]),0),0)</calculatedColumnFormula>
    </tableColumn>
    <tableColumn id="130" name="TIEMPO PENDIENTE 04" dataDxfId="622" dataCellStyle="Normal 2 2 2">
      <calculatedColumnFormula>IFERROR(IF(Tbl_horario[[#This Row],[HORAS 04]]=0,Tbl_horario[[#This Row],[TIEMPO 04]],IF(Tbl_horario[[#This Row],[HORAS 04]]&lt;SUM(Tbl_horario[[#This Row],[EXTRAS VESPERTINAS 5-6 04]:[TIEMPO 04]]),IF(WEEKDAY($AS$2,1)=7,(IF((Tbl_horario[[#This Row],[HORAS 04]]+VLOOKUP(Tbl_horario[[#This Row],[JORNADA]],Tabla_Jornada[],11,0))&lt;(SUM(Tbl_horario[[#This Row],[EXTRAS VESPERTINAS 5-6 04]:[TIEMPO 04]])),(SUM(Tbl_horario[[#This Row],[EXTRAS VESPERTINAS 5-6 04]:[TIEMPO 04]]))-(Tbl_horario[[#This Row],[HORAS 04]]+VLOOKUP(Tbl_horario[[#This Row],[JORNADA]],Tabla_Jornada[],11,0)),0)),SUM(Tbl_horario[[#This Row],[EXTRAS VESPERTINAS 5-6 04]:[TIEMPO 04]])-Tbl_horario[[#This Row],[HORAS 04]]),0)),0)</calculatedColumnFormula>
    </tableColumn>
    <tableColumn id="119" name="EXTRAS DIURNAS 04" dataDxfId="621" dataCellStyle="Normal 2 2 2">
      <calculatedColumnFormula>SUMIFS(Tbl_tiempo[EXTRAS DIURNAS],Tbl_tiempo[ID PERSONAL],Tbl_horario[[#This Row],[CODIGO]],Tbl_tiempo[FECHA],$AS$2)</calculatedColumnFormula>
    </tableColumn>
    <tableColumn id="118" name="EXTRAS VESPERTINAS 5-6 04" dataDxfId="620" dataCellStyle="Normal 2 2 2">
      <calculatedColumnFormula>SUMIFS(Tbl_tiempo[EXTRAS VESPERTINO - 6],Tbl_tiempo[ID PERSONAL],Tbl_horario[[#This Row],[CODIGO]],Tbl_tiempo[FECHA],$AS$2)</calculatedColumnFormula>
    </tableColumn>
    <tableColumn id="117" name="EXTRAS NOCTURNAS 6-8 04" dataDxfId="619" dataCellStyle="Normal 2 2 2">
      <calculatedColumnFormula>SUMIFS(Tbl_tiempo[EXTRAS NOCTURNO 6 -8],Tbl_tiempo[ID PERSONAL],Tbl_horario[[#This Row],[CODIGO]],Tbl_tiempo[FECHA],$AS$2)</calculatedColumnFormula>
    </tableColumn>
    <tableColumn id="116" name="EXTRAS NOCTURNAS 8+ 04" dataDxfId="618" dataCellStyle="Normal 2 2 2">
      <calculatedColumnFormula>SUMIFS(Tbl_tiempo[EXTRAS NOCTURNO 8 +],Tbl_tiempo[ID PERSONAL],Tbl_horario[[#This Row],[CODIGO]],Tbl_tiempo[FECHA],$AS$2)</calculatedColumnFormula>
    </tableColumn>
    <tableColumn id="212" name="TIEMPO 04" dataDxfId="617" dataCellStyle="Normal 2 2 2">
      <calculatedColumnFormula>IFERROR(IF(OR(Tbl_horario[[#This Row],[FERIADO 04]]="DIA FERIADO",Tbl_horario[[#This Row],[DIA 04]]="SEPTIMO DIA"),0,VLOOKUP(Tbl_horario[[#This Row],[JORNADA]],Tabla_Jornada[],(IF(WEEKDAY($AS$2,1)=7,6,2)),0)),0)</calculatedColumnFormula>
    </tableColumn>
    <tableColumn id="95" name="DIA 04" dataDxfId="616" dataCellStyle="Normal 2 2 2">
      <calculatedColumnFormula>IF(WEEKDAY($AS$2)=1,"SEPTIMO DIA",IF(Tbl_horario[[#This Row],[HORAS 04]]&gt;0,"LABORADO","NO LABORADO"))</calculatedColumnFormula>
    </tableColumn>
    <tableColumn id="18" name="FERIADO 04" dataDxfId="615" dataCellStyle="Normal 2 2 2">
      <calculatedColumnFormula>IF(DATE(YEAR(TODAY()),MONTH(TODAY()),DAY(TODAY()))&gt;=$AS$2,IF(AND(Tbl_horario[[#This Row],[FECHA DE INGRESO]]&lt;=$AS$2,Tbl_horario[[#This Row],[FECHA DE BAJA]]&gt;=$AS$2),IF((COUNTIF(Tabla_Feriados[FECHA],$AS$2))=1,"DIA FERIADO","-"),"-"),"-")</calculatedColumnFormula>
    </tableColumn>
    <tableColumn id="26" name="ENTRADA 05" dataDxfId="614">
      <calculatedColumnFormula>SUMIFS(Tbl_tiempo[ANALISIS MARCAJE INICIAL],Tbl_tiempo[ID PERSONAL],Tbl_horario[[#This Row],[CODIGO]],Tbl_tiempo[FECHA],$BE$2)</calculatedColumnFormula>
    </tableColumn>
    <tableColumn id="27" name="SALIDA 05" dataDxfId="613">
      <calculatedColumnFormula>SUMIFS(Tbl_tiempo[ANALISIS MARCAJE FINAL],Tbl_tiempo[ID PERSONAL],Tbl_horario[[#This Row],[CODIGO]],Tbl_tiempo[FECHA],$BE$2)</calculatedColumnFormula>
    </tableColumn>
    <tableColumn id="30" name="HORAS 05" dataDxfId="612" dataCellStyle="Normal 2 2 2">
      <calculatedColumnFormula>IFERROR(IF(Tbl_horario[[#This Row],[SALIDA 05]]-Tbl_horario[[#This Row],[ENTRADA 05]]&lt;0,"REVISAR HORAS",(SUMIFS(Tbl_tiempo[REPORTE X DIA],Tbl_tiempo[FECHA],CONSOLIDADO!$BE$2,Tbl_tiempo[ID PERSONAL],Tbl_horario[[#This Row],[CODIGO]]))/(COUNTIFS(Tbl_tiempo[FECHA],CONSOLIDADO!$BE$2,Tbl_tiempo[ID PERSONAL],Tbl_horario[[#This Row],[CODIGO]]))),0)</calculatedColumnFormula>
    </tableColumn>
    <tableColumn id="164" name="TIEMPO A FAVOR 05" dataDxfId="611" dataCellStyle="Normal 2 2 2">
      <calculatedColumnFormula>IFERROR(IF(Tbl_horario[[#This Row],[HORAS 05]]&gt;SUM(Tbl_horario[[#This Row],[EXTRAS DIURNAS 05]:[TIEMPO 05]]),Tbl_horario[[#This Row],[HORAS 05]]-SUM(Tbl_horario[[#This Row],[EXTRAS DIURNAS 05]:[TIEMPO 05]]),0),0)</calculatedColumnFormula>
    </tableColumn>
    <tableColumn id="134" name="TIEMPO PENDIENTE 05" dataDxfId="610" dataCellStyle="Normal 2 2 2">
      <calculatedColumnFormula>IFERROR(IF(Tbl_horario[[#This Row],[HORAS 05]]=0,Tbl_horario[[#This Row],[TIEMPO 05]],IF(Tbl_horario[[#This Row],[HORAS 05]]&lt;SUM(Tbl_horario[[#This Row],[EXTRAS VESPERTINAS 5-6 05]:[TIEMPO 05]]),IF(WEEKDAY($BE$2,1)=7,(IF((Tbl_horario[[#This Row],[HORAS 05]]+VLOOKUP(Tbl_horario[[#This Row],[JORNADA]],Tabla_Jornada[],11,0))&lt;(SUM(Tbl_horario[[#This Row],[EXTRAS VESPERTINAS 5-6 05]:[TIEMPO 05]])),(SUM(Tbl_horario[[#This Row],[EXTRAS VESPERTINAS 5-6 05]:[TIEMPO 05]]))-(Tbl_horario[[#This Row],[HORAS 05]]+VLOOKUP(Tbl_horario[[#This Row],[JORNADA]],Tabla_Jornada[],11,0)),0)),SUM(Tbl_horario[[#This Row],[EXTRAS VESPERTINAS 5-6 05]:[TIEMPO 05]])-Tbl_horario[[#This Row],[HORAS 05]]),0)),0)</calculatedColumnFormula>
    </tableColumn>
    <tableColumn id="124" name="EXTRAS DIURNAS 05" dataDxfId="609" dataCellStyle="Normal 2 2 2">
      <calculatedColumnFormula>SUMIFS(Tbl_tiempo[EXTRAS DIURNAS],Tbl_tiempo[ID PERSONAL],Tbl_horario[[#This Row],[CODIGO]],Tbl_tiempo[FECHA],$BE$2)</calculatedColumnFormula>
    </tableColumn>
    <tableColumn id="123" name="EXTRAS VESPERTINAS 5-6 05" dataDxfId="608" dataCellStyle="Normal 2 2 2">
      <calculatedColumnFormula>SUMIFS(Tbl_tiempo[EXTRAS VESPERTINO - 6],Tbl_tiempo[ID PERSONAL],Tbl_horario[[#This Row],[CODIGO]],Tbl_tiempo[FECHA],$BE$2)</calculatedColumnFormula>
    </tableColumn>
    <tableColumn id="122" name="EXTRAS NOCTURNAS 6-8 05" dataDxfId="607" dataCellStyle="Normal 2 2 2">
      <calculatedColumnFormula>SUMIFS(Tbl_tiempo[EXTRAS NOCTURNO 6 -8],Tbl_tiempo[ID PERSONAL],Tbl_horario[[#This Row],[CODIGO]],Tbl_tiempo[FECHA],$BE$2)</calculatedColumnFormula>
    </tableColumn>
    <tableColumn id="121" name="EXTRAS NOCTURNAS 8+ 05" dataDxfId="606" dataCellStyle="Normal 2 2 2">
      <calculatedColumnFormula>SUMIFS(Tbl_tiempo[EXTRAS NOCTURNO 8 +],Tbl_tiempo[ID PERSONAL],Tbl_horario[[#This Row],[CODIGO]],Tbl_tiempo[FECHA],$BE$2)</calculatedColumnFormula>
    </tableColumn>
    <tableColumn id="213" name="TIEMPO 05" dataDxfId="605" dataCellStyle="Normal 2 2 2">
      <calculatedColumnFormula>IFERROR(IF(OR(Tbl_horario[[#This Row],[FERIADO 05]]="DIA FERIADO",Tbl_horario[[#This Row],[DIA 05]]="SEPTIMO DIA"),0,VLOOKUP(Tbl_horario[[#This Row],[JORNADA]],Tabla_Jornada[],(IF(WEEKDAY($BE$2,1)=7,6,2)),0)),0)</calculatedColumnFormula>
    </tableColumn>
    <tableColumn id="96" name="DIA 05" dataDxfId="604" dataCellStyle="Normal 2 2 2">
      <calculatedColumnFormula>IF(WEEKDAY($BE$2)=1,"SEPTIMO DIA",IF(Tbl_horario[[#This Row],[HORAS 05]]&gt;0,"LABORADO","NO LABORADO"))</calculatedColumnFormula>
    </tableColumn>
    <tableColumn id="19" name="FERIADO 05" dataDxfId="603" dataCellStyle="Normal 2 2 2">
      <calculatedColumnFormula>IF(DATE(YEAR(TODAY()),MONTH(TODAY()),DAY(TODAY()))&gt;=$BE$2,IF(AND(Tbl_horario[[#This Row],[FECHA DE INGRESO]]&lt;=$BE$2,Tbl_horario[[#This Row],[FECHA DE BAJA]]&gt;=$BE$2),IF((COUNTIF(Tabla_Feriados[FECHA],$BE$2))=1,"DIA FERIADO","-"),"-"),"-")</calculatedColumnFormula>
    </tableColumn>
    <tableColumn id="31" name="ENTRADA 06" dataDxfId="602">
      <calculatedColumnFormula>SUMIFS(Tbl_tiempo[ANALISIS MARCAJE INICIAL],Tbl_tiempo[ID PERSONAL],Tbl_horario[[#This Row],[CODIGO]],Tbl_tiempo[FECHA],$BQ$2)</calculatedColumnFormula>
    </tableColumn>
    <tableColumn id="32" name="SALIDA 06" dataDxfId="601">
      <calculatedColumnFormula>SUMIFS(Tbl_tiempo[ANALISIS MARCAJE FINAL],Tbl_tiempo[ID PERSONAL],Tbl_horario[[#This Row],[CODIGO]],Tbl_tiempo[FECHA],$BQ$2)</calculatedColumnFormula>
    </tableColumn>
    <tableColumn id="35" name="HORAS 06" dataDxfId="600" dataCellStyle="Normal 2 2 2">
      <calculatedColumnFormula>IFERROR(IF(Tbl_horario[[#This Row],[SALIDA 06]]-Tbl_horario[[#This Row],[ENTRADA 06]]&lt;0,"REVISAR HORAS",(SUMIFS(Tbl_tiempo[REPORTE X DIA],Tbl_tiempo[FECHA],CONSOLIDADO!$BQ$2,Tbl_tiempo[ID PERSONAL],Tbl_horario[[#This Row],[CODIGO]]))/(COUNTIFS(Tbl_tiempo[FECHA],CONSOLIDADO!$BQ$2,Tbl_tiempo[ID PERSONAL],Tbl_horario[[#This Row],[CODIGO]]))),0)</calculatedColumnFormula>
    </tableColumn>
    <tableColumn id="169" name="TIEMPO A FAVOR 06" dataDxfId="599" dataCellStyle="Normal 2 2 2">
      <calculatedColumnFormula>IFERROR(IF(Tbl_horario[[#This Row],[HORAS 06]]&gt;SUM(Tbl_horario[[#This Row],[EXTRAS DIURNAS 06]:[TIEMPO 06]]),Tbl_horario[[#This Row],[HORAS 06]]-SUM(Tbl_horario[[#This Row],[EXTRAS DIURNAS 06]:[TIEMPO 06]]),0),0)</calculatedColumnFormula>
    </tableColumn>
    <tableColumn id="139" name="TIEMPO PENDIENTE 06" dataDxfId="598" dataCellStyle="Normal 2 2 2">
      <calculatedColumnFormula>IFERROR(IF(Tbl_horario[[#This Row],[HORAS 06]]=0,Tbl_horario[[#This Row],[TIEMPO 06]],IF(Tbl_horario[[#This Row],[HORAS 06]]&lt;SUM(Tbl_horario[[#This Row],[EXTRAS VESPERTINAS 5-6 06]:[TIEMPO 06]]),IF(WEEKDAY($BQ$2,1)=7,(IF((Tbl_horario[[#This Row],[HORAS 06]]+VLOOKUP(Tbl_horario[[#This Row],[JORNADA]],Tabla_Jornada[],11,0))&lt;(SUM(Tbl_horario[[#This Row],[EXTRAS VESPERTINAS 5-6 06]:[TIEMPO 06]])),(SUM(Tbl_horario[[#This Row],[EXTRAS VESPERTINAS 5-6 06]:[TIEMPO 06]]))-(Tbl_horario[[#This Row],[HORAS 06]]+VLOOKUP(Tbl_horario[[#This Row],[JORNADA]],Tabla_Jornada[],11,0)),0)),SUM(Tbl_horario[[#This Row],[EXTRAS VESPERTINAS 5-6 06]:[TIEMPO 06]])-Tbl_horario[[#This Row],[HORAS 06]]),0)),0)</calculatedColumnFormula>
    </tableColumn>
    <tableColumn id="128" name="EXTRAS DIURNAS 06" dataDxfId="597" dataCellStyle="Normal 2 2 2">
      <calculatedColumnFormula>SUMIFS(Tbl_tiempo[EXTRAS DIURNAS],Tbl_tiempo[ID PERSONAL],Tbl_horario[[#This Row],[CODIGO]],Tbl_tiempo[FECHA],$BQ$2)</calculatedColumnFormula>
    </tableColumn>
    <tableColumn id="129" name="EXTRAS VESPERTINAS 5-6 06" dataDxfId="596" dataCellStyle="Normal 2 2 2">
      <calculatedColumnFormula>SUMIFS(Tbl_tiempo[EXTRAS VESPERTINO - 6],Tbl_tiempo[ID PERSONAL],Tbl_horario[[#This Row],[CODIGO]],Tbl_tiempo[FECHA],$BQ$2)</calculatedColumnFormula>
    </tableColumn>
    <tableColumn id="127" name="EXTRAS NOCTURNAS 6-8 06" dataDxfId="595" dataCellStyle="Normal 2 2 2">
      <calculatedColumnFormula>SUMIFS(Tbl_tiempo[EXTRAS NOCTURNO 6 -8],Tbl_tiempo[ID PERSONAL],Tbl_horario[[#This Row],[CODIGO]],Tbl_tiempo[FECHA],$BQ$2)</calculatedColumnFormula>
    </tableColumn>
    <tableColumn id="126" name="EXTRAS NOCTURNAS 8+ 06" dataDxfId="594" dataCellStyle="Normal 2 2 2">
      <calculatedColumnFormula>SUMIFS(Tbl_tiempo[EXTRAS NOCTURNO 8 +],Tbl_tiempo[ID PERSONAL],Tbl_horario[[#This Row],[CODIGO]],Tbl_tiempo[FECHA],$BQ$2)</calculatedColumnFormula>
    </tableColumn>
    <tableColumn id="214" name="TIEMPO 06" dataDxfId="593" dataCellStyle="Normal 2 2 2">
      <calculatedColumnFormula>IFERROR(IF(OR(Tbl_horario[[#This Row],[FERIADO 06]]="DIA FERIADO",Tbl_horario[[#This Row],[DIA 06]]="SEPTIMO DIA"),0,VLOOKUP(Tbl_horario[[#This Row],[JORNADA]],Tabla_Jornada[],(IF(WEEKDAY($BQ$2,1)=7,6,2)),0)),0)</calculatedColumnFormula>
    </tableColumn>
    <tableColumn id="97" name="DIA 06" dataDxfId="592" dataCellStyle="Normal 2 2 2">
      <calculatedColumnFormula>IF(WEEKDAY($BQ$2)=1,"SEPTIMO DIA",IF(Tbl_horario[[#This Row],[HORAS 06]]&gt;0,"LABORADO","NO LABORADO"))</calculatedColumnFormula>
    </tableColumn>
    <tableColumn id="23" name="FERIADO 06" dataDxfId="591" dataCellStyle="Normal 2 2 2">
      <calculatedColumnFormula>IF(DATE(YEAR(TODAY()),MONTH(TODAY()),DAY(TODAY()))&gt;=$BQ$2,IF(AND(Tbl_horario[[#This Row],[FECHA DE INGRESO]]&lt;=$BQ$2,Tbl_horario[[#This Row],[FECHA DE BAJA]]&gt;=$BQ$2),IF((COUNTIF(Tabla_Feriados[FECHA],$BQ$2))=1,"DIA FERIADO","-"),"-"),"-")</calculatedColumnFormula>
    </tableColumn>
    <tableColumn id="36" name="ENTRADA 07" dataDxfId="590">
      <calculatedColumnFormula>SUMIFS(Tbl_tiempo[ANALISIS MARCAJE INICIAL],Tbl_tiempo[ID PERSONAL],Tbl_horario[[#This Row],[CODIGO]],Tbl_tiempo[FECHA],$CC$2)</calculatedColumnFormula>
    </tableColumn>
    <tableColumn id="37" name="SALIDA 07" dataDxfId="589">
      <calculatedColumnFormula>SUMIFS(Tbl_tiempo[ANALISIS MARCAJE FINAL],Tbl_tiempo[ID PERSONAL],Tbl_horario[[#This Row],[CODIGO]],Tbl_tiempo[FECHA],$CC$2)</calculatedColumnFormula>
    </tableColumn>
    <tableColumn id="40" name="HORAS 07" dataDxfId="588" dataCellStyle="Normal 2 2 2">
      <calculatedColumnFormula>IFERROR(IF(Tbl_horario[[#This Row],[SALIDA 07]]-Tbl_horario[[#This Row],[ENTRADA 07]]&lt;0,"REVISAR HORAS",(SUMIFS(Tbl_tiempo[REPORTE X DIA],Tbl_tiempo[FECHA],CONSOLIDADO!$CC$2,Tbl_tiempo[ID PERSONAL],Tbl_horario[[#This Row],[CODIGO]]))/(COUNTIFS(Tbl_tiempo[FECHA],CONSOLIDADO!$CC$2,Tbl_tiempo[ID PERSONAL],Tbl_horario[[#This Row],[CODIGO]]))),0)</calculatedColumnFormula>
    </tableColumn>
    <tableColumn id="174" name="TIEMPO A FAVOR 07" dataDxfId="587" dataCellStyle="Normal 2 2 2">
      <calculatedColumnFormula>IFERROR(IF(Tbl_horario[[#This Row],[HORAS 07]]&gt;SUM(Tbl_horario[[#This Row],[EXTRAS DIURNAS 07]:[TIEMPO 07]]),Tbl_horario[[#This Row],[HORAS 07]]-SUM(Tbl_horario[[#This Row],[EXTRAS DIURNAS 07]:[TIEMPO 07]]),0),0)</calculatedColumnFormula>
    </tableColumn>
    <tableColumn id="225" name="TIEMPO PENDIENTE 07" dataDxfId="586" dataCellStyle="Normal 2 2 2">
      <calculatedColumnFormula>IFERROR(IF(Tbl_horario[[#This Row],[HORAS 07]]=0,Tbl_horario[[#This Row],[TIEMPO 07]],IF(Tbl_horario[[#This Row],[HORAS 07]]&lt;SUM(Tbl_horario[[#This Row],[EXTRAS VESPERTINAS 5-6 07]:[TIEMPO 07]]),IF(WEEKDAY($CC$2,1)=7,(IF((Tbl_horario[[#This Row],[HORAS 07]]+VLOOKUP(Tbl_horario[[#This Row],[JORNADA]],Tabla_Jornada[],11,0))&lt;(SUM(Tbl_horario[[#This Row],[EXTRAS VESPERTINAS 5-6 07]:[TIEMPO 07]])),(SUM(Tbl_horario[[#This Row],[EXTRAS VESPERTINAS 5-6 07]:[TIEMPO 07]]))-(Tbl_horario[[#This Row],[HORAS 07]]+VLOOKUP(Tbl_horario[[#This Row],[JORNADA]],Tabla_Jornada[],11,0)),0)),SUM(Tbl_horario[[#This Row],[EXTRAS VESPERTINAS 5-6 07]:[TIEMPO 07]])-Tbl_horario[[#This Row],[HORAS 07]]),0)),0)</calculatedColumnFormula>
    </tableColumn>
    <tableColumn id="132" name="EXTRAS DIURNAS 07" dataDxfId="585" dataCellStyle="Normal 2 2 2">
      <calculatedColumnFormula>SUMIFS(Tbl_tiempo[EXTRAS DIURNAS],Tbl_tiempo[ID PERSONAL],Tbl_horario[[#This Row],[CODIGO]],Tbl_tiempo[FECHA],$CC$2)</calculatedColumnFormula>
    </tableColumn>
    <tableColumn id="133" name="EXTRAS VESPERTINAS 5-6 07" dataDxfId="584" dataCellStyle="Normal 2 2 2">
      <calculatedColumnFormula>SUMIFS(Tbl_tiempo[EXTRAS VESPERTINO - 6],Tbl_tiempo[ID PERSONAL],Tbl_horario[[#This Row],[CODIGO]],Tbl_tiempo[FECHA],$CC$2)</calculatedColumnFormula>
    </tableColumn>
    <tableColumn id="131" name="EXTRAS NOCTURNAS 6-8 07" dataDxfId="583" dataCellStyle="Normal 2 2 2">
      <calculatedColumnFormula>SUMIFS(Tbl_tiempo[EXTRAS NOCTURNO 6 -8],Tbl_tiempo[ID PERSONAL],Tbl_horario[[#This Row],[CODIGO]],Tbl_tiempo[FECHA],$CC$2)</calculatedColumnFormula>
    </tableColumn>
    <tableColumn id="5" name="EXTRAS NOCTURNAS 8+ 07" dataDxfId="582" dataCellStyle="Normal 2 2 2">
      <calculatedColumnFormula>SUMIFS(Tbl_tiempo[EXTRAS NOCTURNO 8 +],Tbl_tiempo[ID PERSONAL],Tbl_horario[[#This Row],[CODIGO]],Tbl_tiempo[FECHA],$CC$2)</calculatedColumnFormula>
    </tableColumn>
    <tableColumn id="215" name="TIEMPO 07" dataDxfId="581" dataCellStyle="Normal 2 2 2">
      <calculatedColumnFormula>IFERROR(IF(OR(Tbl_horario[[#This Row],[FERIADO 07]]="DIA FERIADO",Tbl_horario[[#This Row],[DIA 07]]="SEPTIMO DIA"),0,VLOOKUP(Tbl_horario[[#This Row],[JORNADA]],Tabla_Jornada[],(IF(WEEKDAY($CC$2,1)=7,6,2)),0)),0)</calculatedColumnFormula>
    </tableColumn>
    <tableColumn id="98" name="DIA 07" dataDxfId="580" dataCellStyle="Normal 2 2 2">
      <calculatedColumnFormula>IF(WEEKDAY($CC$2)=1,"SEPTIMO DIA",IF(Tbl_horario[[#This Row],[HORAS 07]]&gt;0,"LABORADO","NO LABORADO"))</calculatedColumnFormula>
    </tableColumn>
    <tableColumn id="24" name="FERIADO 07" dataDxfId="579" dataCellStyle="Normal 2 2 2">
      <calculatedColumnFormula>IF(DATE(YEAR(TODAY()),MONTH(TODAY()),DAY(TODAY()))&gt;=$CC$2,IF(AND(Tbl_horario[[#This Row],[FECHA DE INGRESO]]&lt;=$CC$2,Tbl_horario[[#This Row],[FECHA DE BAJA]]&gt;=$CC$2),IF((COUNTIF(Tabla_Feriados[FECHA],$CC$2))=1,"DIA FERIADO","-"),"-"),"-")</calculatedColumnFormula>
    </tableColumn>
    <tableColumn id="41" name="ENTRADA 08" dataDxfId="578">
      <calculatedColumnFormula>SUMIFS(Tbl_tiempo[ANALISIS MARCAJE INICIAL],Tbl_tiempo[ID PERSONAL],Tbl_horario[[#This Row],[CODIGO]],Tbl_tiempo[FECHA],$CO$2)</calculatedColumnFormula>
    </tableColumn>
    <tableColumn id="42" name="SALIDA 08" dataDxfId="577">
      <calculatedColumnFormula>SUMIFS(Tbl_tiempo[ANALISIS MARCAJE FINAL],Tbl_tiempo[ID PERSONAL],Tbl_horario[[#This Row],[CODIGO]],Tbl_tiempo[FECHA],$CO$2)</calculatedColumnFormula>
    </tableColumn>
    <tableColumn id="45" name="HORAS 08" dataDxfId="576" dataCellStyle="Normal 2 2 2">
      <calculatedColumnFormula>IFERROR(IF(Tbl_horario[[#This Row],[SALIDA 08]]-Tbl_horario[[#This Row],[ENTRADA 08]]&lt;0,"REVISAR HORAS",(SUMIFS(Tbl_tiempo[REPORTE X DIA],Tbl_tiempo[FECHA],CONSOLIDADO!$CO$2,Tbl_tiempo[ID PERSONAL],Tbl_horario[[#This Row],[CODIGO]]))/(COUNTIFS(Tbl_tiempo[FECHA],CONSOLIDADO!$CO$2,Tbl_tiempo[ID PERSONAL],Tbl_horario[[#This Row],[CODIGO]]))),0)</calculatedColumnFormula>
    </tableColumn>
    <tableColumn id="179" name="TIEMPO A FAVOR 08" dataDxfId="575" dataCellStyle="Normal 2 2 2">
      <calculatedColumnFormula>IFERROR(IF(Tbl_horario[[#This Row],[HORAS 08]]&gt;SUM(Tbl_horario[[#This Row],[EXTRAS DIURNAS 08]:[TIEMPO 08]]),Tbl_horario[[#This Row],[HORAS 08]]-SUM(Tbl_horario[[#This Row],[EXTRAS DIURNAS 08]:[TIEMPO 08]]),0),0)</calculatedColumnFormula>
    </tableColumn>
    <tableColumn id="226" name="TIEMPO PENDIENTE 08" dataDxfId="574" dataCellStyle="Normal 2 2 2">
      <calculatedColumnFormula>IFERROR(IF(Tbl_horario[[#This Row],[HORAS 08]]=0,Tbl_horario[[#This Row],[TIEMPO 08]],IF(Tbl_horario[[#This Row],[HORAS 08]]&lt;SUM(Tbl_horario[[#This Row],[EXTRAS VESPERTINAS 5-6 08]:[TIEMPO 08]]),IF(WEEKDAY($CO$2,1)=7,(IF((Tbl_horario[[#This Row],[HORAS 08]]+VLOOKUP(Tbl_horario[[#This Row],[JORNADA]],Tabla_Jornada[],11,0))&lt;(SUM(Tbl_horario[[#This Row],[EXTRAS VESPERTINAS 5-6 08]:[TIEMPO 08]])),(SUM(Tbl_horario[[#This Row],[EXTRAS VESPERTINAS 5-6 08]:[TIEMPO 08]]))-(Tbl_horario[[#This Row],[HORAS 08]]+VLOOKUP(Tbl_horario[[#This Row],[JORNADA]],Tabla_Jornada[],11,0)),0)),SUM(Tbl_horario[[#This Row],[EXTRAS VESPERTINAS 5-6 08]:[TIEMPO 08]])-Tbl_horario[[#This Row],[HORAS 08]]),0)),0)</calculatedColumnFormula>
    </tableColumn>
    <tableColumn id="137" name="EXTRAS DIURNAS 08" dataDxfId="573" dataCellStyle="Normal 2 2 2">
      <calculatedColumnFormula>SUMIFS(Tbl_tiempo[EXTRAS DIURNAS],Tbl_tiempo[ID PERSONAL],Tbl_horario[[#This Row],[CODIGO]],Tbl_tiempo[FECHA],$CO$2)</calculatedColumnFormula>
    </tableColumn>
    <tableColumn id="138" name="EXTRAS VESPERTINAS 5-6 08" dataDxfId="572" dataCellStyle="Normal 2 2 2">
      <calculatedColumnFormula>SUMIFS(Tbl_tiempo[EXTRAS VESPERTINO - 6],Tbl_tiempo[ID PERSONAL],Tbl_horario[[#This Row],[CODIGO]],Tbl_tiempo[FECHA],$CO$2)</calculatedColumnFormula>
    </tableColumn>
    <tableColumn id="136" name="EXTRAS NOCTURNAS 6-8 08" dataDxfId="571" dataCellStyle="Normal 2 2 2">
      <calculatedColumnFormula>SUMIFS(Tbl_tiempo[EXTRAS NOCTURNO 6 -8],Tbl_tiempo[ID PERSONAL],Tbl_horario[[#This Row],[CODIGO]],Tbl_tiempo[FECHA],$CO$2)</calculatedColumnFormula>
    </tableColumn>
    <tableColumn id="135" name="EXTRAS NOCTURNAS 8+ 08" dataDxfId="570" dataCellStyle="Normal 2 2 2">
      <calculatedColumnFormula>SUMIFS(Tbl_tiempo[EXTRAS NOCTURNO 8 +],Tbl_tiempo[ID PERSONAL],Tbl_horario[[#This Row],[CODIGO]],Tbl_tiempo[FECHA],$CO$2)</calculatedColumnFormula>
    </tableColumn>
    <tableColumn id="216" name="TIEMPO 08" dataDxfId="569" dataCellStyle="Normal 2 2 2">
      <calculatedColumnFormula>IFERROR(IF(OR(Tbl_horario[[#This Row],[FERIADO 08]]="DIA FERIADO",Tbl_horario[[#This Row],[DIA 08]]="SEPTIMO DIA"),0,VLOOKUP(Tbl_horario[[#This Row],[JORNADA]],Tabla_Jornada[],(IF(WEEKDAY($CO$2,1)=7,6,2)),0)),0)</calculatedColumnFormula>
    </tableColumn>
    <tableColumn id="99" name="DIA 08" dataDxfId="568" dataCellStyle="Normal 2 2 2">
      <calculatedColumnFormula>IF(WEEKDAY($CO$2)=1,"SEPTIMO DIA",IF(Tbl_horario[[#This Row],[HORAS 08]]&gt;0,"LABORADO","NO LABORADO"))</calculatedColumnFormula>
    </tableColumn>
    <tableColumn id="28" name="FERIADO 08" dataDxfId="567" dataCellStyle="Normal 2 2 2">
      <calculatedColumnFormula>IF(DATE(YEAR(TODAY()),MONTH(TODAY()),DAY(TODAY()))&gt;=$CO$2,IF(AND(Tbl_horario[[#This Row],[FECHA DE INGRESO]]&lt;=$CO$2,Tbl_horario[[#This Row],[FECHA DE BAJA]]&gt;=$CO$2),IF((COUNTIF(Tabla_Feriados[FECHA],$CO$2))=1,"DIA FERIADO","-"),"-"),"-")</calculatedColumnFormula>
    </tableColumn>
    <tableColumn id="46" name="ENTRADA 09" dataDxfId="566">
      <calculatedColumnFormula>SUMIFS(Tbl_tiempo[ANALISIS MARCAJE INICIAL],Tbl_tiempo[ID PERSONAL],Tbl_horario[[#This Row],[CODIGO]],Tbl_tiempo[FECHA],$DA$2)</calculatedColumnFormula>
    </tableColumn>
    <tableColumn id="47" name="SALIDA 09" dataDxfId="565">
      <calculatedColumnFormula>SUMIFS(Tbl_tiempo[ANALISIS MARCAJE FINAL],Tbl_tiempo[ID PERSONAL],Tbl_horario[[#This Row],[CODIGO]],Tbl_tiempo[FECHA],$DA$2)</calculatedColumnFormula>
    </tableColumn>
    <tableColumn id="50" name="HORAS 09" dataDxfId="564" dataCellStyle="Normal 2 2 2">
      <calculatedColumnFormula>IFERROR(IF(Tbl_horario[[#This Row],[SALIDA 09]]-Tbl_horario[[#This Row],[ENTRADA 09]]&lt;0,"REVISAR HORAS",(SUMIFS(Tbl_tiempo[REPORTE X DIA],Tbl_tiempo[FECHA],CONSOLIDADO!$DA$2,Tbl_tiempo[ID PERSONAL],Tbl_horario[[#This Row],[CODIGO]]))/(COUNTIFS(Tbl_tiempo[FECHA],CONSOLIDADO!$DA$2,Tbl_tiempo[ID PERSONAL],Tbl_horario[[#This Row],[CODIGO]]))),0)</calculatedColumnFormula>
    </tableColumn>
    <tableColumn id="200" name="TIEMPO A FAVOR 09" dataDxfId="563" dataCellStyle="Normal 2 2 2">
      <calculatedColumnFormula>IFERROR(IF(Tbl_horario[[#This Row],[HORAS 09]]&gt;SUM(Tbl_horario[[#This Row],[EXTRAS DIURNAS 09]:[TIEMPO 09]]),Tbl_horario[[#This Row],[HORAS 09]]-SUM(Tbl_horario[[#This Row],[EXTRAS DIURNAS 09]:[TIEMPO 09]]),0),0)</calculatedColumnFormula>
    </tableColumn>
    <tableColumn id="227" name="TIEMPO PENDIENTE 09" dataDxfId="562" dataCellStyle="Normal 2 2 2">
      <calculatedColumnFormula>IFERROR(IF(Tbl_horario[[#This Row],[HORAS 09]]=0,Tbl_horario[[#This Row],[TIEMPO 09]],IF(Tbl_horario[[#This Row],[HORAS 09]]&lt;SUM(Tbl_horario[[#This Row],[EXTRAS VESPERTINAS 5-6 09]:[TIEMPO 09]]),IF(WEEKDAY($DA$2,1)=7,(IF((Tbl_horario[[#This Row],[HORAS 09]]+VLOOKUP(Tbl_horario[[#This Row],[JORNADA]],Tabla_Jornada[],11,0))&lt;(SUM(Tbl_horario[[#This Row],[EXTRAS VESPERTINAS 5-6 09]:[TIEMPO 09]])),(SUM(Tbl_horario[[#This Row],[EXTRAS VESPERTINAS 5-6 09]:[TIEMPO 09]]))-(Tbl_horario[[#This Row],[HORAS 09]]+VLOOKUP(Tbl_horario[[#This Row],[JORNADA]],Tabla_Jornada[],11,0)),0)),SUM(Tbl_horario[[#This Row],[EXTRAS VESPERTINAS 5-6 09]:[TIEMPO 09]])-Tbl_horario[[#This Row],[HORAS 09]]),0)),0)</calculatedColumnFormula>
    </tableColumn>
    <tableColumn id="143" name="EXTRAS DIURNAS 09" dataDxfId="561" dataCellStyle="Normal 2 2 2">
      <calculatedColumnFormula>SUMIFS(Tbl_tiempo[EXTRAS DIURNAS],Tbl_tiempo[ID PERSONAL],Tbl_horario[[#This Row],[CODIGO]],Tbl_tiempo[FECHA],$DA$2)</calculatedColumnFormula>
    </tableColumn>
    <tableColumn id="142" name="EXTRAS VESPERTINAS 5-6 09" dataDxfId="560" dataCellStyle="Normal 2 2 2">
      <calculatedColumnFormula>SUMIFS(Tbl_tiempo[EXTRAS VESPERTINO - 6],Tbl_tiempo[ID PERSONAL],Tbl_horario[[#This Row],[CODIGO]],Tbl_tiempo[FECHA],$DA$2)</calculatedColumnFormula>
    </tableColumn>
    <tableColumn id="141" name="EXTRAS NOCTURNAS 6-8 09" dataDxfId="559" dataCellStyle="Normal 2 2 2">
      <calculatedColumnFormula>SUMIFS(Tbl_tiempo[EXTRAS NOCTURNO 6 -8],Tbl_tiempo[ID PERSONAL],Tbl_horario[[#This Row],[CODIGO]],Tbl_tiempo[FECHA],$DA$2)</calculatedColumnFormula>
    </tableColumn>
    <tableColumn id="140" name="EXTRAS NOCTURNAS 8+ 09" dataDxfId="558" dataCellStyle="Normal 2 2 2">
      <calculatedColumnFormula>SUMIFS(Tbl_tiempo[EXTRAS NOCTURNO 8 +],Tbl_tiempo[ID PERSONAL],Tbl_horario[[#This Row],[CODIGO]],Tbl_tiempo[FECHA],$DA$2)</calculatedColumnFormula>
    </tableColumn>
    <tableColumn id="217" name="TIEMPO 09" dataDxfId="557" dataCellStyle="Normal 2 2 2">
      <calculatedColumnFormula>IFERROR(IF(OR(Tbl_horario[[#This Row],[FERIADO 09]]="DIA FERIADO",Tbl_horario[[#This Row],[DIA 09]]="SEPTIMO DIA"),0,VLOOKUP(Tbl_horario[[#This Row],[JORNADA]],Tabla_Jornada[],(IF(WEEKDAY($DA$2,1)=7,6,2)),0)),0)</calculatedColumnFormula>
    </tableColumn>
    <tableColumn id="100" name="DIA 09" dataDxfId="556" dataCellStyle="Normal 2 2 2">
      <calculatedColumnFormula>IF(WEEKDAY($DA$2)=1,"SEPTIMO DIA",IF(Tbl_horario[[#This Row],[HORAS 09]]&gt;0,"LABORADO","NO LABORADO"))</calculatedColumnFormula>
    </tableColumn>
    <tableColumn id="29" name="FERIADO 09" dataDxfId="555" dataCellStyle="Normal 2 2 2">
      <calculatedColumnFormula>IF(DATE(YEAR(TODAY()),MONTH(TODAY()),DAY(TODAY()))&gt;=$DA$2,IF(AND(Tbl_horario[[#This Row],[FECHA DE INGRESO]]&lt;=$DA$2,Tbl_horario[[#This Row],[FECHA DE BAJA]]&gt;=$DA$2),IF((COUNTIF(Tabla_Feriados[FECHA],$DA$2))=1,"DIA FERIADO","-"),"-"),"-")</calculatedColumnFormula>
    </tableColumn>
    <tableColumn id="51" name="ENTRADA 10" dataDxfId="554">
      <calculatedColumnFormula>SUMIFS(Tbl_tiempo[ANALISIS MARCAJE INICIAL],Tbl_tiempo[ID PERSONAL],Tbl_horario[[#This Row],[CODIGO]],Tbl_tiempo[FECHA],$DM$2)</calculatedColumnFormula>
    </tableColumn>
    <tableColumn id="52" name="SALIDA 10" dataDxfId="553">
      <calculatedColumnFormula>SUMIFS(Tbl_tiempo[ANALISIS MARCAJE FINAL],Tbl_tiempo[ID PERSONAL],Tbl_horario[[#This Row],[CODIGO]],Tbl_tiempo[FECHA],$DM$2)</calculatedColumnFormula>
    </tableColumn>
    <tableColumn id="55" name="HORAS 10" dataDxfId="552" dataCellStyle="Normal 2 2 2">
      <calculatedColumnFormula>IFERROR(IF(Tbl_horario[[#This Row],[SALIDA 10]]-Tbl_horario[[#This Row],[ENTRADA 10]]&lt;0,"REVISAR HORAS",(SUMIFS(Tbl_tiempo[REPORTE X DIA],Tbl_tiempo[FECHA],CONSOLIDADO!$DM$2,Tbl_tiempo[ID PERSONAL],Tbl_horario[[#This Row],[CODIGO]]))/(COUNTIFS(Tbl_tiempo[FECHA],CONSOLIDADO!$DM$2,Tbl_tiempo[ID PERSONAL],Tbl_horario[[#This Row],[CODIGO]]))),0)</calculatedColumnFormula>
    </tableColumn>
    <tableColumn id="201" name="TIEMPO A FAVOR 10" dataDxfId="551" dataCellStyle="Normal 2 2 2">
      <calculatedColumnFormula>IFERROR(IF(Tbl_horario[[#This Row],[HORAS 10]]&gt;SUM(Tbl_horario[[#This Row],[EXTRAS DIURNAS 10]:[TIEMPO 10]]),Tbl_horario[[#This Row],[HORAS 10]]-SUM(Tbl_horario[[#This Row],[EXTRAS DIURNAS 10]:[TIEMPO 10]]),0),0)</calculatedColumnFormula>
    </tableColumn>
    <tableColumn id="228" name="TIEMPO PENDIENTE 10" dataDxfId="550" dataCellStyle="Normal 2 2 2">
      <calculatedColumnFormula>IFERROR(IF(Tbl_horario[[#This Row],[HORAS 10]]=0,Tbl_horario[[#This Row],[TIEMPO 10]],IF(Tbl_horario[[#This Row],[HORAS 10]]&lt;SUM(Tbl_horario[[#This Row],[EXTRAS VESPERTINAS 5-6 10]:[TIEMPO 10]]),IF(WEEKDAY($DM$2,1)=7,(IF((Tbl_horario[[#This Row],[HORAS 10]]+VLOOKUP(Tbl_horario[[#This Row],[JORNADA]],Tabla_Jornada[],11,0))&lt;(SUM(Tbl_horario[[#This Row],[EXTRAS VESPERTINAS 5-6 10]:[TIEMPO 10]])),(SUM(Tbl_horario[[#This Row],[EXTRAS VESPERTINAS 5-6 10]:[TIEMPO 10]]))-(Tbl_horario[[#This Row],[HORAS 10]]+VLOOKUP(Tbl_horario[[#This Row],[JORNADA]],Tabla_Jornada[],11,0)),0)),SUM(Tbl_horario[[#This Row],[EXTRAS VESPERTINAS 5-6 10]:[TIEMPO 10]])-Tbl_horario[[#This Row],[HORAS 10]]),0)),0)</calculatedColumnFormula>
    </tableColumn>
    <tableColumn id="148" name="EXTRAS DIURNAS 10" dataDxfId="549" dataCellStyle="Normal 2 2 2">
      <calculatedColumnFormula>SUMIFS(Tbl_tiempo[EXTRAS DIURNAS],Tbl_tiempo[ID PERSONAL],Tbl_horario[[#This Row],[CODIGO]],Tbl_tiempo[FECHA],$DM$2)</calculatedColumnFormula>
    </tableColumn>
    <tableColumn id="147" name="EXTRAS VESPERTINAS 5-6 10" dataDxfId="548" dataCellStyle="Normal 2 2 2">
      <calculatedColumnFormula>SUMIFS(Tbl_tiempo[EXTRAS VESPERTINO - 6],Tbl_tiempo[ID PERSONAL],Tbl_horario[[#This Row],[CODIGO]],Tbl_tiempo[FECHA],$DM$2)</calculatedColumnFormula>
    </tableColumn>
    <tableColumn id="146" name="EXTRAS NOCTURNAS 6-8 10" dataDxfId="547" dataCellStyle="Normal 2 2 2">
      <calculatedColumnFormula>SUMIFS(Tbl_tiempo[EXTRAS NOCTURNO 6 -8],Tbl_tiempo[ID PERSONAL],Tbl_horario[[#This Row],[CODIGO]],Tbl_tiempo[FECHA],$DM$2)</calculatedColumnFormula>
    </tableColumn>
    <tableColumn id="145" name="EXTRAS NOCTURNAS 8+ 10" dataDxfId="546" dataCellStyle="Normal 2 2 2">
      <calculatedColumnFormula>SUMIFS(Tbl_tiempo[EXTRAS NOCTURNO 8 +],Tbl_tiempo[ID PERSONAL],Tbl_horario[[#This Row],[CODIGO]],Tbl_tiempo[FECHA],$DM$2)</calculatedColumnFormula>
    </tableColumn>
    <tableColumn id="218" name="TIEMPO 10" dataDxfId="545" dataCellStyle="Normal 2 2 2">
      <calculatedColumnFormula>IFERROR(IF(OR(Tbl_horario[[#This Row],[FERIADO 10]]="DIA FERIADO",Tbl_horario[[#This Row],[DIA 10]]="SEPTIMO DIA"),0,VLOOKUP(Tbl_horario[[#This Row],[JORNADA]],Tabla_Jornada[],(IF(WEEKDAY($DM$2,1)=7,6,2)),0)),0)</calculatedColumnFormula>
    </tableColumn>
    <tableColumn id="101" name="DIA 10" dataDxfId="544" dataCellStyle="Normal 2 2 2">
      <calculatedColumnFormula>IF(WEEKDAY($DM$2)=1,"SEPTIMO DIA",IF(Tbl_horario[[#This Row],[HORAS 10]]&gt;0,"LABORADO","NO LABORADO"))</calculatedColumnFormula>
    </tableColumn>
    <tableColumn id="33" name="FERIADO 10" dataDxfId="543" dataCellStyle="Normal 2 2 2">
      <calculatedColumnFormula>IF(DATE(YEAR(TODAY()),MONTH(TODAY()),DAY(TODAY()))&gt;=$DM$2,IF(AND(Tbl_horario[[#This Row],[FECHA DE INGRESO]]&lt;=$DM$2,Tbl_horario[[#This Row],[FECHA DE BAJA]]&gt;=$DM$2),IF((COUNTIF(Tabla_Feriados[FECHA],$CW$2))=1,"DIA FERIADO","-"),"-"),"-")</calculatedColumnFormula>
    </tableColumn>
    <tableColumn id="56" name="ENTRADA 11" dataDxfId="542">
      <calculatedColumnFormula>SUMIFS(Tbl_tiempo[ANALISIS MARCAJE INICIAL],Tbl_tiempo[ID PERSONAL],Tbl_horario[[#This Row],[CODIGO]],Tbl_tiempo[FECHA],$DY$2)</calculatedColumnFormula>
    </tableColumn>
    <tableColumn id="57" name="SALIDA 11" dataDxfId="541">
      <calculatedColumnFormula>SUMIFS(Tbl_tiempo[ANALISIS MARCAJE FINAL],Tbl_tiempo[ID PERSONAL],Tbl_horario[[#This Row],[CODIGO]],Tbl_tiempo[FECHA],$DY$2)</calculatedColumnFormula>
    </tableColumn>
    <tableColumn id="60" name="HORAS 11" dataDxfId="540" dataCellStyle="Normal 2 2 2">
      <calculatedColumnFormula>IFERROR(IF(Tbl_horario[[#This Row],[SALIDA 11]]-Tbl_horario[[#This Row],[ENTRADA 11]]&lt;0,"REVISAR HORAS",(SUMIFS(Tbl_tiempo[REPORTE X DIA],Tbl_tiempo[FECHA],CONSOLIDADO!$DY$2,Tbl_tiempo[ID PERSONAL],Tbl_horario[[#This Row],[CODIGO]]))/(COUNTIFS(Tbl_tiempo[FECHA],CONSOLIDADO!$DY$2,Tbl_tiempo[ID PERSONAL],Tbl_horario[[#This Row],[CODIGO]]))),0)</calculatedColumnFormula>
    </tableColumn>
    <tableColumn id="154" name="TIEMPO A FAVOR 11" dataDxfId="539" dataCellStyle="Normal 2 2 2">
      <calculatedColumnFormula>IFERROR(IF(Tbl_horario[[#This Row],[HORAS 11]]&gt;SUM(Tbl_horario[[#This Row],[EXTRAS DIURNAS 11]:[TIEMPO 11]]),Tbl_horario[[#This Row],[HORAS 11]]-SUM(Tbl_horario[[#This Row],[EXTRAS DIURNAS 11]:[TIEMPO 11]]),0),0)</calculatedColumnFormula>
    </tableColumn>
    <tableColumn id="229" name="TIEMPO PENDIENTE 11" dataDxfId="538" dataCellStyle="Normal 2 2 2">
      <calculatedColumnFormula>IFERROR(IF(Tbl_horario[[#This Row],[HORAS 11]]=0,Tbl_horario[[#This Row],[TIEMPO 11]],IF(Tbl_horario[[#This Row],[HORAS 11]]&lt;SUM(Tbl_horario[[#This Row],[EXTRAS VESPERTINAS 5-6 11]:[TIEMPO 11]]),IF(WEEKDAY($DY$2,1)=7,(IF((Tbl_horario[[#This Row],[HORAS 11]]+VLOOKUP(Tbl_horario[[#This Row],[JORNADA]],Tabla_Jornada[],11,0))&lt;(SUM(Tbl_horario[[#This Row],[EXTRAS VESPERTINAS 5-6 11]:[TIEMPO 11]])),(SUM(Tbl_horario[[#This Row],[EXTRAS VESPERTINAS 5-6 11]:[TIEMPO 11]]))-(Tbl_horario[[#This Row],[HORAS 11]]+VLOOKUP(Tbl_horario[[#This Row],[JORNADA]],Tabla_Jornada[],11,0)),0)),SUM(Tbl_horario[[#This Row],[EXTRAS VESPERTINAS 5-6 11]:[TIEMPO 11]])-Tbl_horario[[#This Row],[HORAS 11]]),0)),0)</calculatedColumnFormula>
    </tableColumn>
    <tableColumn id="153" name="EXTRAS DIURNAS 11" dataDxfId="537" dataCellStyle="Normal 2 2 2">
      <calculatedColumnFormula>SUMIFS(Tbl_tiempo[EXTRAS DIURNAS],Tbl_tiempo[ID PERSONAL],Tbl_horario[[#This Row],[CODIGO]],Tbl_tiempo[FECHA],$DY$2)</calculatedColumnFormula>
    </tableColumn>
    <tableColumn id="152" name="EXTRAS VESPERTINAS 5-6 11" dataDxfId="536" dataCellStyle="Normal 2 2 2">
      <calculatedColumnFormula>SUMIFS(Tbl_tiempo[EXTRAS VESPERTINO - 6],Tbl_tiempo[ID PERSONAL],Tbl_horario[[#This Row],[CODIGO]],Tbl_tiempo[FECHA],$DY$2)</calculatedColumnFormula>
    </tableColumn>
    <tableColumn id="151" name="EXTRAS NOCTURNAS 6-8 11" dataDxfId="535" dataCellStyle="Normal 2 2 2">
      <calculatedColumnFormula>SUMIFS(Tbl_tiempo[EXTRAS NOCTURNO 6 -8],Tbl_tiempo[ID PERSONAL],Tbl_horario[[#This Row],[CODIGO]],Tbl_tiempo[FECHA],$DY$2)</calculatedColumnFormula>
    </tableColumn>
    <tableColumn id="150" name="EXTRAS NOCTURNAS 8+ 11" dataDxfId="534" dataCellStyle="Normal 2 2 2">
      <calculatedColumnFormula>SUMIFS(Tbl_tiempo[EXTRAS NOCTURNO 8 +],Tbl_tiempo[ID PERSONAL],Tbl_horario[[#This Row],[CODIGO]],Tbl_tiempo[FECHA],$DY$2)</calculatedColumnFormula>
    </tableColumn>
    <tableColumn id="219" name="TIEMPO 11" dataDxfId="533" dataCellStyle="Normal 2 2 2">
      <calculatedColumnFormula>IFERROR(IF(OR(Tbl_horario[[#This Row],[FERIADO 11]]="DIA FERIADO",Tbl_horario[[#This Row],[DIA 11]]="SEPTIMO DIA"),0,VLOOKUP(Tbl_horario[[#This Row],[JORNADA]],Tabla_Jornada[],(IF(WEEKDAY($DY$2,1)=7,6,2)),0)),0)</calculatedColumnFormula>
    </tableColumn>
    <tableColumn id="102" name="DIA 11" dataDxfId="532" dataCellStyle="Normal 2 2 2">
      <calculatedColumnFormula>IF(WEEKDAY($DY$2)=1,"SEPTIMO DIA",IF(Tbl_horario[[#This Row],[HORAS 11]]&gt;0,"LABORADO","NO LABORADO"))</calculatedColumnFormula>
    </tableColumn>
    <tableColumn id="34" name="FERIADO 11" dataDxfId="531" dataCellStyle="Normal 2 2 2">
      <calculatedColumnFormula>IF(DATE(YEAR(TODAY()),MONTH(TODAY()),DAY(TODAY()))&gt;=$DY$2,IF(AND(Tbl_horario[[#This Row],[FECHA DE INGRESO]]&lt;=$DY$2,Tbl_horario[[#This Row],[FECHA DE BAJA]]&gt;=$DY$2),IF((COUNTIF(Tabla_Feriados[FECHA],$DY$2))=1,"DIA FERIADO","-"),"-"),"-")</calculatedColumnFormula>
    </tableColumn>
    <tableColumn id="61" name="ENTRADA 12" dataDxfId="530">
      <calculatedColumnFormula>SUMIFS(Tbl_tiempo[ANALISIS MARCAJE INICIAL],Tbl_tiempo[ID PERSONAL],Tbl_horario[[#This Row],[CODIGO]],Tbl_tiempo[FECHA],$EK$2)</calculatedColumnFormula>
    </tableColumn>
    <tableColumn id="62" name="SALIDA 12" dataDxfId="529">
      <calculatedColumnFormula>SUMIFS(Tbl_tiempo[ANALISIS MARCAJE FINAL],Tbl_tiempo[ID PERSONAL],Tbl_horario[[#This Row],[CODIGO]],Tbl_tiempo[FECHA],$EK$2)</calculatedColumnFormula>
    </tableColumn>
    <tableColumn id="65" name="HORAS 12" dataDxfId="528" dataCellStyle="Normal 2 2 2">
      <calculatedColumnFormula>IFERROR(IF(Tbl_horario[[#This Row],[SALIDA 12]]-Tbl_horario[[#This Row],[ENTRADA 12]]&lt;0,"REVISAR HORAS",(SUMIFS(Tbl_tiempo[REPORTE X DIA],Tbl_tiempo[FECHA],CONSOLIDADO!$EK$2,Tbl_tiempo[ID PERSONAL],Tbl_horario[[#This Row],[CODIGO]]))/(COUNTIFS(Tbl_tiempo[FECHA],CONSOLIDADO!$EK$2,Tbl_tiempo[ID PERSONAL],Tbl_horario[[#This Row],[CODIGO]]))),0)</calculatedColumnFormula>
    </tableColumn>
    <tableColumn id="202" name="TIEMPO A FAVOR 12" dataDxfId="527" dataCellStyle="Normal 2 2 2">
      <calculatedColumnFormula>IFERROR(IF(Tbl_horario[[#This Row],[HORAS 12]]&gt;SUM(Tbl_horario[[#This Row],[EXTRAS DIURNAS 12]:[TIEMPO 12]]),Tbl_horario[[#This Row],[HORAS 12]]-SUM(Tbl_horario[[#This Row],[EXTRAS DIURNAS 12]:[TIEMPO 12]]),0),0)</calculatedColumnFormula>
    </tableColumn>
    <tableColumn id="230" name="TIEMPO PENDIENTE 12" dataDxfId="526" dataCellStyle="Normal 2 2 2">
      <calculatedColumnFormula>IFERROR(IF(Tbl_horario[[#This Row],[HORAS 12]]=0,Tbl_horario[[#This Row],[TIEMPO 12]],IF(Tbl_horario[[#This Row],[HORAS 12]]&lt;SUM(Tbl_horario[[#This Row],[EXTRAS VESPERTINAS 5-6 12]:[TIEMPO 12]]),IF(WEEKDAY($EK$2,1)=7,(IF((Tbl_horario[[#This Row],[HORAS 12]]+VLOOKUP(Tbl_horario[[#This Row],[JORNADA]],Tabla_Jornada[],11,0))&lt;(SUM(Tbl_horario[[#This Row],[EXTRAS VESPERTINAS 5-6 12]:[TIEMPO 12]])),(SUM(Tbl_horario[[#This Row],[EXTRAS VESPERTINAS 5-6 12]:[TIEMPO 12]]))-(Tbl_horario[[#This Row],[HORAS 12]]+VLOOKUP(Tbl_horario[[#This Row],[JORNADA]],Tabla_Jornada[],11,0)),0)),SUM(Tbl_horario[[#This Row],[EXTRAS VESPERTINAS 5-6 12]:[TIEMPO 12]])-Tbl_horario[[#This Row],[HORAS 12]]),0)),0)</calculatedColumnFormula>
    </tableColumn>
    <tableColumn id="158" name="EXTRAS DIURNAS 12" dataDxfId="525" dataCellStyle="Normal 2 2 2">
      <calculatedColumnFormula>SUMIFS(Tbl_tiempo[EXTRAS DIURNAS],Tbl_tiempo[ID PERSONAL],Tbl_horario[[#This Row],[CODIGO]],Tbl_tiempo[FECHA],$EK$2)</calculatedColumnFormula>
    </tableColumn>
    <tableColumn id="157" name="EXTRAS VESPERTINAS 5-6 12" dataDxfId="524" dataCellStyle="Normal 2 2 2">
      <calculatedColumnFormula>SUMIFS(Tbl_tiempo[EXTRAS VESPERTINO - 6],Tbl_tiempo[ID PERSONAL],Tbl_horario[[#This Row],[CODIGO]],Tbl_tiempo[FECHA],$EK$2)</calculatedColumnFormula>
    </tableColumn>
    <tableColumn id="156" name="EXTRAS NOCTURNAS 6-8 12" dataDxfId="523" dataCellStyle="Normal 2 2 2">
      <calculatedColumnFormula>SUMIFS(Tbl_tiempo[EXTRAS NOCTURNO 6 -8],Tbl_tiempo[ID PERSONAL],Tbl_horario[[#This Row],[CODIGO]],Tbl_tiempo[FECHA],$EK$2)</calculatedColumnFormula>
    </tableColumn>
    <tableColumn id="155" name="EXTRAS NOCTURNAS 8+ 12" dataDxfId="522" dataCellStyle="Normal 2 2 2">
      <calculatedColumnFormula>SUMIFS(Tbl_tiempo[EXTRAS NOCTURNO 8 +],Tbl_tiempo[ID PERSONAL],Tbl_horario[[#This Row],[CODIGO]],Tbl_tiempo[FECHA],$EK$2)</calculatedColumnFormula>
    </tableColumn>
    <tableColumn id="220" name="TIEMPO 12" dataDxfId="521" dataCellStyle="Normal 2 2 2">
      <calculatedColumnFormula>IFERROR(IF(OR(Tbl_horario[[#This Row],[FERIADO 12]]="DIA FERIADO",Tbl_horario[[#This Row],[DIA 12]]="SEPTIMO DIA"),0,VLOOKUP(Tbl_horario[[#This Row],[JORNADA]],Tabla_Jornada[],(IF(WEEKDAY($EK$2,1)=7,6,2)),0)),0)</calculatedColumnFormula>
    </tableColumn>
    <tableColumn id="103" name="DIA 12" dataDxfId="520" dataCellStyle="Normal 2 2 2">
      <calculatedColumnFormula>IF(WEEKDAY($EK$2)=1,"SEPTIMO DIA",IF(Tbl_horario[[#This Row],[HORAS 12]]&gt;0,"LABORADO","NO LABORADO"))</calculatedColumnFormula>
    </tableColumn>
    <tableColumn id="38" name="FERIADO 12" dataDxfId="519" dataCellStyle="Normal 2 2 2">
      <calculatedColumnFormula>IF(DATE(YEAR(TODAY()),MONTH(TODAY()),DAY(TODAY()))&gt;=$EK$2,IF(AND(Tbl_horario[[#This Row],[FECHA DE INGRESO]]&lt;=$EK$2,Tbl_horario[[#This Row],[FECHA DE BAJA]]&gt;=$EK$2),IF((COUNTIF(Tabla_Feriados[FECHA],$EK$2))=1,"DIA FERIADO","-"),"-"),"-")</calculatedColumnFormula>
    </tableColumn>
    <tableColumn id="66" name="ENTRADA 13" dataDxfId="518">
      <calculatedColumnFormula>SUMIFS(Tbl_tiempo[ANALISIS MARCAJE INICIAL],Tbl_tiempo[ID PERSONAL],Tbl_horario[[#This Row],[CODIGO]],Tbl_tiempo[FECHA],$EW$2)</calculatedColumnFormula>
    </tableColumn>
    <tableColumn id="67" name="SALIDA 13" dataDxfId="517">
      <calculatedColumnFormula>SUMIFS(Tbl_tiempo[ANALISIS MARCAJE FINAL],Tbl_tiempo[ID PERSONAL],Tbl_horario[[#This Row],[CODIGO]],Tbl_tiempo[FECHA],$EW$2)</calculatedColumnFormula>
    </tableColumn>
    <tableColumn id="70" name="HORAS 13" dataDxfId="516" dataCellStyle="Normal 2 2 2">
      <calculatedColumnFormula>IFERROR(IF(Tbl_horario[[#This Row],[SALIDA 13]]-Tbl_horario[[#This Row],[ENTRADA 13]]&lt;0,"REVISAR HORAS",(SUMIFS(Tbl_tiempo[REPORTE X DIA],Tbl_tiempo[FECHA],CONSOLIDADO!$EW$2,Tbl_tiempo[ID PERSONAL],Tbl_horario[[#This Row],[CODIGO]]))/(COUNTIFS(Tbl_tiempo[FECHA],CONSOLIDADO!$EW$2,Tbl_tiempo[ID PERSONAL],Tbl_horario[[#This Row],[CODIGO]]))),0)</calculatedColumnFormula>
    </tableColumn>
    <tableColumn id="203" name="TIEMPO A FAVOR 13" dataDxfId="515" dataCellStyle="Normal 2 2 2">
      <calculatedColumnFormula>IFERROR(IF(Tbl_horario[[#This Row],[HORAS 13]]&gt;SUM(Tbl_horario[[#This Row],[EXTRAS DIURNAS 13]:[TIEMPO 13]]),Tbl_horario[[#This Row],[HORAS 13]]-SUM(Tbl_horario[[#This Row],[EXTRAS DIURNAS 13]:[TIEMPO 13]]),0),0)</calculatedColumnFormula>
    </tableColumn>
    <tableColumn id="231" name="TIEMPO PENDIENTE 13" dataDxfId="514" dataCellStyle="Normal 2 2 2">
      <calculatedColumnFormula>IFERROR(IF(Tbl_horario[[#This Row],[HORAS 13]]=0,Tbl_horario[[#This Row],[TIEMPO 13]],IF(Tbl_horario[[#This Row],[HORAS 13]]&lt;SUM(Tbl_horario[[#This Row],[EXTRAS VESPERTINAS 5-6 13]:[TIEMPO 13]]),IF(WEEKDAY($EW$2,1)=7,(IF((Tbl_horario[[#This Row],[HORAS 13]]+VLOOKUP(Tbl_horario[[#This Row],[JORNADA]],Tabla_Jornada[],11,0))&lt;(SUM(Tbl_horario[[#This Row],[EXTRAS VESPERTINAS 5-6 13]:[TIEMPO 13]])),(SUM(Tbl_horario[[#This Row],[EXTRAS VESPERTINAS 5-6 13]:[TIEMPO 13]]))-(Tbl_horario[[#This Row],[HORAS 13]]+VLOOKUP(Tbl_horario[[#This Row],[JORNADA]],Tabla_Jornada[],11,0)),0)),SUM(Tbl_horario[[#This Row],[EXTRAS VESPERTINAS 5-6 13]:[TIEMPO 13]])-Tbl_horario[[#This Row],[HORAS 13]]),0)),0)</calculatedColumnFormula>
    </tableColumn>
    <tableColumn id="163" name="EXTRAS DIURNAS 13" dataDxfId="513" dataCellStyle="Normal 2 2 2">
      <calculatedColumnFormula>SUMIFS(Tbl_tiempo[EXTRAS DIURNAS],Tbl_tiempo[ID PERSONAL],Tbl_horario[[#This Row],[CODIGO]],Tbl_tiempo[FECHA],$EW$2)</calculatedColumnFormula>
    </tableColumn>
    <tableColumn id="162" name="EXTRAS VESPERTINAS 5-6 13" dataDxfId="512" dataCellStyle="Normal 2 2 2">
      <calculatedColumnFormula>SUMIFS(Tbl_tiempo[EXTRAS VESPERTINO - 6],Tbl_tiempo[ID PERSONAL],Tbl_horario[[#This Row],[CODIGO]],Tbl_tiempo[FECHA],$EW$2)</calculatedColumnFormula>
    </tableColumn>
    <tableColumn id="161" name="EXTRAS NOCTURNAS 6-8 13" dataDxfId="511" dataCellStyle="Normal 2 2 2">
      <calculatedColumnFormula>SUMIFS(Tbl_tiempo[EXTRAS NOCTURNO 6 -8],Tbl_tiempo[ID PERSONAL],Tbl_horario[[#This Row],[CODIGO]],Tbl_tiempo[FECHA],$EW$2)</calculatedColumnFormula>
    </tableColumn>
    <tableColumn id="160" name="EXTRAS NOCTURNAS 8+ 13" dataDxfId="510" dataCellStyle="Normal 2 2 2">
      <calculatedColumnFormula>SUMIFS(Tbl_tiempo[EXTRAS NOCTURNO 8 +],Tbl_tiempo[ID PERSONAL],Tbl_horario[[#This Row],[CODIGO]],Tbl_tiempo[FECHA],$EW$2)</calculatedColumnFormula>
    </tableColumn>
    <tableColumn id="221" name="TIEMPO 13" dataDxfId="509" dataCellStyle="Normal 2 2 2">
      <calculatedColumnFormula>IFERROR(IF(OR(Tbl_horario[[#This Row],[FERIADO 13]]="DIA FERIADO",Tbl_horario[[#This Row],[DIA 13]]="SEPTIMO DIA"),0,VLOOKUP(Tbl_horario[[#This Row],[JORNADA]],Tabla_Jornada[],(IF(WEEKDAY($EW$2,1)=7,6,2)),0)),0)</calculatedColumnFormula>
    </tableColumn>
    <tableColumn id="104" name="DIA 13" dataDxfId="508" dataCellStyle="Normal 2 2 2">
      <calculatedColumnFormula>IF(WEEKDAY($EW$2)=1,"SEPTIMO DIA",IF(Tbl_horario[[#This Row],[HORAS 13]]&gt;0,"LABORADO","NO LABORADO"))</calculatedColumnFormula>
    </tableColumn>
    <tableColumn id="39" name="FERIADO 13" dataDxfId="507" dataCellStyle="Normal 2 2 2">
      <calculatedColumnFormula>IF(DATE(YEAR(TODAY()),MONTH(TODAY()),DAY(TODAY()))&gt;=$EW$2,IF(AND(Tbl_horario[[#This Row],[FECHA DE INGRESO]]&lt;=$EW$2,Tbl_horario[[#This Row],[FECHA DE BAJA]]&gt;=$EW$2),IF((COUNTIF(Tabla_Feriados[FECHA],$EW$2))=1,"DIA FERIADO","-"),"-"),"-")</calculatedColumnFormula>
    </tableColumn>
    <tableColumn id="71" name="ENTRADA 14" dataDxfId="506">
      <calculatedColumnFormula>SUMIFS(Tbl_tiempo[ANALISIS MARCAJE INICIAL],Tbl_tiempo[ID PERSONAL],Tbl_horario[[#This Row],[CODIGO]],Tbl_tiempo[FECHA],$FI$2)</calculatedColumnFormula>
    </tableColumn>
    <tableColumn id="72" name="SALIDA 14" dataDxfId="505">
      <calculatedColumnFormula>SUMIFS(Tbl_tiempo[ANALISIS MARCAJE FINAL],Tbl_tiempo[ID PERSONAL],Tbl_horario[[#This Row],[CODIGO]],Tbl_tiempo[FECHA],$FI$2)</calculatedColumnFormula>
    </tableColumn>
    <tableColumn id="75" name="HORAS 14" dataDxfId="504" dataCellStyle="Normal 2 2 2">
      <calculatedColumnFormula>IFERROR(IF(Tbl_horario[[#This Row],[SALIDA 14]]-Tbl_horario[[#This Row],[ENTRADA 14]]&lt;0,"REVISAR HORAS",(SUMIFS(Tbl_tiempo[REPORTE X DIA],Tbl_tiempo[FECHA],CONSOLIDADO!$FI$2,Tbl_tiempo[ID PERSONAL],Tbl_horario[[#This Row],[CODIGO]]))/(COUNTIFS(Tbl_tiempo[FECHA],CONSOLIDADO!$FI$2,Tbl_tiempo[ID PERSONAL],Tbl_horario[[#This Row],[CODIGO]]))),0)</calculatedColumnFormula>
    </tableColumn>
    <tableColumn id="204" name="TIEMPO A FAVOR 14" dataDxfId="503" dataCellStyle="Normal 2 2 2">
      <calculatedColumnFormula>IFERROR(IF(Tbl_horario[[#This Row],[HORAS 14]]&gt;SUM(Tbl_horario[[#This Row],[EXTRAS DIURNAS 14]:[TIEMPO 14]]),Tbl_horario[[#This Row],[HORAS 14]]-SUM(Tbl_horario[[#This Row],[EXTRAS DIURNAS 14]:[TIEMPO 14]]),0),0)</calculatedColumnFormula>
    </tableColumn>
    <tableColumn id="232" name="TIEMPO PENDIENTE 14" dataDxfId="502" dataCellStyle="Normal 2 2 2">
      <calculatedColumnFormula>IFERROR(IF(Tbl_horario[[#This Row],[HORAS 14]]=0,Tbl_horario[[#This Row],[TIEMPO 14]],IF(Tbl_horario[[#This Row],[HORAS 14]]&lt;SUM(Tbl_horario[[#This Row],[EXTRAS VESPERTINAS 5-6 14]:[TIEMPO 14]]),IF(WEEKDAY($FI$2,1)=7,(IF((Tbl_horario[[#This Row],[HORAS 14]]+VLOOKUP(Tbl_horario[[#This Row],[JORNADA]],Tabla_Jornada[],11,0))&lt;(SUM(Tbl_horario[[#This Row],[EXTRAS VESPERTINAS 5-6 14]:[TIEMPO 14]])),(SUM(Tbl_horario[[#This Row],[EXTRAS VESPERTINAS 5-6 14]:[TIEMPO 14]]))-(Tbl_horario[[#This Row],[HORAS 14]]+VLOOKUP(Tbl_horario[[#This Row],[JORNADA]],Tabla_Jornada[],11,0)),0)),SUM(Tbl_horario[[#This Row],[EXTRAS VESPERTINAS 5-6 14]:[TIEMPO 14]])-Tbl_horario[[#This Row],[HORAS 14]]),0)),0)</calculatedColumnFormula>
    </tableColumn>
    <tableColumn id="168" name="EXTRAS DIURNAS 14" dataDxfId="501" dataCellStyle="Normal 2 2 2">
      <calculatedColumnFormula>SUMIFS(Tbl_tiempo[EXTRAS DIURNAS],Tbl_tiempo[ID PERSONAL],Tbl_horario[[#This Row],[CODIGO]],Tbl_tiempo[FECHA],$FI$2)</calculatedColumnFormula>
    </tableColumn>
    <tableColumn id="167" name="EXTRAS VESPERTINAS 5-6 14" dataDxfId="500" dataCellStyle="Normal 2 2 2">
      <calculatedColumnFormula>SUMIFS(Tbl_tiempo[EXTRAS VESPERTINO - 6],Tbl_tiempo[ID PERSONAL],Tbl_horario[[#This Row],[CODIGO]],Tbl_tiempo[FECHA],$FI$2)</calculatedColumnFormula>
    </tableColumn>
    <tableColumn id="166" name="EXTRAS NOCTURNAS 6-8 14" dataDxfId="499" dataCellStyle="Normal 2 2 2">
      <calculatedColumnFormula>SUMIFS(Tbl_tiempo[EXTRAS NOCTURNO 6 -8],Tbl_tiempo[ID PERSONAL],Tbl_horario[[#This Row],[CODIGO]],Tbl_tiempo[FECHA],$FI$2)</calculatedColumnFormula>
    </tableColumn>
    <tableColumn id="165" name="EXTRAS NOCTURNAS 8+ 14" dataDxfId="498" dataCellStyle="Normal 2 2 2">
      <calculatedColumnFormula>SUMIFS(Tbl_tiempo[EXTRAS NOCTURNO 8 +],Tbl_tiempo[ID PERSONAL],Tbl_horario[[#This Row],[CODIGO]],Tbl_tiempo[FECHA],$FI$2)</calculatedColumnFormula>
    </tableColumn>
    <tableColumn id="222" name="TIEMPO 14" dataDxfId="497" dataCellStyle="Normal 2 2 2">
      <calculatedColumnFormula>IFERROR(IF(OR(Tbl_horario[[#This Row],[FERIADO 14]]="DIA FERIADO",Tbl_horario[[#This Row],[DIA 14]]="SEPTIMO DIA"),0,VLOOKUP(Tbl_horario[[#This Row],[JORNADA]],Tabla_Jornada[],(IF(WEEKDAY($FI$2,1)=7,6,2)),0)),0)</calculatedColumnFormula>
    </tableColumn>
    <tableColumn id="105" name="DIA 14" dataDxfId="496" dataCellStyle="Normal 2 2 2">
      <calculatedColumnFormula>IFERROR(IF(WEEKDAY($FI$2)=1,"SEPTIMO DIA",IF(Tbl_horario[[#This Row],[HORAS 14]]&gt;0,"LABORADO","NO LABORADO")),"FIN")</calculatedColumnFormula>
    </tableColumn>
    <tableColumn id="43" name="FERIADO 14" dataDxfId="495" dataCellStyle="Normal 2 2 2">
      <calculatedColumnFormula>IF(DATE(YEAR(TODAY()),MONTH(TODAY()),DAY(TODAY()))&gt;=$FI$2,IF(AND(Tbl_horario[[#This Row],[FECHA DE INGRESO]]&lt;=$FI$2,Tbl_horario[[#This Row],[FECHA DE BAJA]]&gt;=$FI$2),IF((COUNTIF(Tabla_Feriados[FECHA],$FI$2))=1,"DIA FERIADO","-"),"-"),"-")</calculatedColumnFormula>
    </tableColumn>
    <tableColumn id="2" name="ENTRADA 15" dataDxfId="494" dataCellStyle="Normal 2 2 2">
      <calculatedColumnFormula>SUMIFS(Tbl_tiempo[ANALISIS MARCAJE INICIAL],Tbl_tiempo[ID PERSONAL],Tbl_horario[[#This Row],[CODIGO]],Tbl_tiempo[FECHA],$FU$2)</calculatedColumnFormula>
    </tableColumn>
    <tableColumn id="76" name="SALIDA 15" dataDxfId="493" dataCellStyle="Normal 2 2 2">
      <calculatedColumnFormula>SUMIFS(Tbl_tiempo[ANALISIS MARCAJE FINAL],Tbl_tiempo[ID PERSONAL],Tbl_horario[[#This Row],[CODIGO]],Tbl_tiempo[FECHA],$FU$2)</calculatedColumnFormula>
    </tableColumn>
    <tableColumn id="79" name="HORAS 15" dataDxfId="492" dataCellStyle="Normal 2 2 2">
      <calculatedColumnFormula>IFERROR(IF(Tbl_horario[[#This Row],[SALIDA 15]]-Tbl_horario[[#This Row],[ENTRADA 15]]&lt;0,"REVISAR HORAS",(SUMIFS(Tbl_tiempo[REPORTE X DIA],Tbl_tiempo[FECHA],CONSOLIDADO!$FU$2,Tbl_tiempo[ID PERSONAL],Tbl_horario[[#This Row],[CODIGO]]))/(COUNTIFS(Tbl_tiempo[FECHA],CONSOLIDADO!$FU$2,Tbl_tiempo[ID PERSONAL],Tbl_horario[[#This Row],[CODIGO]]))),0)</calculatedColumnFormula>
    </tableColumn>
    <tableColumn id="205" name="TIEMPO A FAVOR 15" dataDxfId="491" dataCellStyle="Normal 2 2 2">
      <calculatedColumnFormula>IFERROR(IF(Tbl_horario[[#This Row],[HORAS 15]]&gt;SUM(Tbl_horario[[#This Row],[EXTRAS DIURNAS 15]:[TIEMPO 15]]),Tbl_horario[[#This Row],[HORAS 15]]-SUM(Tbl_horario[[#This Row],[EXTRAS DIURNAS 15]:[TIEMPO 15]]),0),0)</calculatedColumnFormula>
    </tableColumn>
    <tableColumn id="233" name="TIEMPO PENDIENTE 15" dataDxfId="490" dataCellStyle="Normal 2 2 2">
      <calculatedColumnFormula>IFERROR(IF(Tbl_horario[[#This Row],[HORAS 15]]=0,Tbl_horario[[#This Row],[TIEMPO 15]],IF(Tbl_horario[[#This Row],[HORAS 15]]&lt;SUM(Tbl_horario[[#This Row],[EXTRAS VESPERTINAS 5-6 15]:[TIEMPO 15]]),IF(WEEKDAY($FU$2,1)=7,(IF((Tbl_horario[[#This Row],[HORAS 15]]+VLOOKUP(Tbl_horario[[#This Row],[JORNADA]],Tabla_Jornada[],11,0))&lt;(SUM(Tbl_horario[[#This Row],[EXTRAS VESPERTINAS 5-6 15]:[TIEMPO 15]])),(SUM(Tbl_horario[[#This Row],[EXTRAS VESPERTINAS 5-6 15]:[TIEMPO 15]]))-(Tbl_horario[[#This Row],[HORAS 15]]+VLOOKUP(Tbl_horario[[#This Row],[JORNADA]],Tabla_Jornada[],11,0)),0)),SUM(Tbl_horario[[#This Row],[EXTRAS VESPERTINAS 5-6 15]:[TIEMPO 15]])-Tbl_horario[[#This Row],[HORAS 15]]),0)),0)</calculatedColumnFormula>
    </tableColumn>
    <tableColumn id="173" name="EXTRAS DIURNAS 15" dataDxfId="489" dataCellStyle="Normal 2 2 2">
      <calculatedColumnFormula>SUMIFS(Tbl_tiempo[EXTRAS DIURNAS],Tbl_tiempo[ID PERSONAL],Tbl_horario[[#This Row],[CODIGO]],Tbl_tiempo[FECHA],$FU$2)</calculatedColumnFormula>
    </tableColumn>
    <tableColumn id="172" name="EXTRAS VESPERTINAS 5-6 15" dataDxfId="488" dataCellStyle="Normal 2 2 2">
      <calculatedColumnFormula>SUMIFS(Tbl_tiempo[EXTRAS VESPERTINO - 6],Tbl_tiempo[ID PERSONAL],Tbl_horario[[#This Row],[CODIGO]],Tbl_tiempo[FECHA],$FU$2)</calculatedColumnFormula>
    </tableColumn>
    <tableColumn id="171" name="EXTRAS NOCTURNAS 6-8 15" dataDxfId="487" dataCellStyle="Normal 2 2 2">
      <calculatedColumnFormula>SUMIFS(Tbl_tiempo[EXTRAS NOCTURNO 6 -8],Tbl_tiempo[ID PERSONAL],Tbl_horario[[#This Row],[CODIGO]],Tbl_tiempo[FECHA],$FU$2)</calculatedColumnFormula>
    </tableColumn>
    <tableColumn id="170" name="EXTRAS NOCTURNAS 8+ 15" dataDxfId="486" dataCellStyle="Normal 2 2 2">
      <calculatedColumnFormula>SUMIFS(Tbl_tiempo[EXTRAS NOCTURNO 8 +],Tbl_tiempo[ID PERSONAL],Tbl_horario[[#This Row],[CODIGO]],Tbl_tiempo[FECHA],$FU$2)</calculatedColumnFormula>
    </tableColumn>
    <tableColumn id="223" name="TIEMPO 15" dataDxfId="485" dataCellStyle="Normal 2 2 2">
      <calculatedColumnFormula>IFERROR(IF(OR(Tbl_horario[[#This Row],[FERIADO 15]]="DIA FERIADO",Tbl_horario[[#This Row],[DIA 15]]="SEPTIMO DIA"),0,VLOOKUP(Tbl_horario[[#This Row],[JORNADA]],Tabla_Jornada[],(IF(WEEKDAY($FU$2,1)=7,6,2)),0)),0)</calculatedColumnFormula>
    </tableColumn>
    <tableColumn id="106" name="DIA 15" dataDxfId="484" dataCellStyle="Normal 2 2 2">
      <calculatedColumnFormula>IFERROR(IF(WEEKDAY($FU$2)=1,"SEPTIMO DIA",IF(Tbl_horario[[#This Row],[HORAS 15]]&gt;0,"LABORADO","NO LABORADO")),"FIN")</calculatedColumnFormula>
    </tableColumn>
    <tableColumn id="44" name="FERIADO 15" dataDxfId="483" dataCellStyle="Normal 2 2 2">
      <calculatedColumnFormula>IF(DATE(YEAR(TODAY()),MONTH(TODAY()),DAY(TODAY()))&gt;=$FU$2,IF(AND(Tbl_horario[[#This Row],[FECHA DE INGRESO]]&lt;=$FU$2,Tbl_horario[[#This Row],[FECHA DE BAJA]]&gt;=$FU$2),IF((COUNTIF(Tabla_Feriados[FECHA],$FU$2))=1,"DIA FERIADO","-"),"-"),"-")</calculatedColumnFormula>
    </tableColumn>
    <tableColumn id="93" name="ENTRADA 16" dataDxfId="482">
      <calculatedColumnFormula>SUMIFS(Tbl_tiempo[ANALISIS MARCAJE INICIAL],Tbl_tiempo[ID PERSONAL],Tbl_horario[[#This Row],[CODIGO]],Tbl_tiempo[FECHA],$GG$2)</calculatedColumnFormula>
    </tableColumn>
    <tableColumn id="92" name="SALIDA 16" dataDxfId="481">
      <calculatedColumnFormula>SUMIFS(Tbl_tiempo[ANALISIS MARCAJE FINAL],Tbl_tiempo[ID PERSONAL],Tbl_horario[[#This Row],[CODIGO]],Tbl_tiempo[FECHA],$GG$2)</calculatedColumnFormula>
    </tableColumn>
    <tableColumn id="89" name="HORAS 16" dataDxfId="480" dataCellStyle="Normal 2 2 2">
      <calculatedColumnFormula>IFERROR(IF(Tbl_horario[[#This Row],[SALIDA 16]]-Tbl_horario[[#This Row],[ENTRADA 16]]&lt;0,"REVISAR HORAS",(SUMIFS(Tbl_tiempo[REPORTE X DIA],Tbl_tiempo[FECHA],CONSOLIDADO!$GG$2,Tbl_tiempo[ID PERSONAL],Tbl_horario[[#This Row],[CODIGO]]))/(COUNTIFS(Tbl_tiempo[FECHA],CONSOLIDADO!$GG$2,Tbl_tiempo[ID PERSONAL],Tbl_horario[[#This Row],[CODIGO]]))),0)</calculatedColumnFormula>
    </tableColumn>
    <tableColumn id="206" name="TIEMPO A FAVOR 16" dataDxfId="479" dataCellStyle="Normal 2 2 2">
      <calculatedColumnFormula>IFERROR(IF(Tbl_horario[[#This Row],[HORAS 16]]&gt;SUM(Tbl_horario[[#This Row],[EXTRAS DIURNAS 16]:[TIEMPO 16]]),Tbl_horario[[#This Row],[HORAS 16]]-SUM(Tbl_horario[[#This Row],[EXTRAS DIURNAS 16]:[TIEMPO 16]]),0),0)</calculatedColumnFormula>
    </tableColumn>
    <tableColumn id="234" name="TIEMPO PENDIENTE 16" dataDxfId="478" dataCellStyle="Normal 2 2 2">
      <calculatedColumnFormula>IFERROR(IF(Tbl_horario[[#This Row],[HORAS 16]]=0,Tbl_horario[[#This Row],[TIEMPO 16]],IF(Tbl_horario[[#This Row],[HORAS 16]]&lt;SUM(Tbl_horario[[#This Row],[EXTRAS VESPERTINAS 5-6 16]:[TIEMPO 16]]),IF(WEEKDAY($GG$2,1)=7,(IF((Tbl_horario[[#This Row],[HORAS 16]]+VLOOKUP(Tbl_horario[[#This Row],[JORNADA]],Tabla_Jornada[],11,0))&lt;(SUM(Tbl_horario[[#This Row],[EXTRAS VESPERTINAS 5-6 16]:[TIEMPO 16]])),(SUM(Tbl_horario[[#This Row],[EXTRAS VESPERTINAS 5-6 16]:[TIEMPO 16]]))-(Tbl_horario[[#This Row],[HORAS 16]]+VLOOKUP(Tbl_horario[[#This Row],[JORNADA]],Tabla_Jornada[],11,0)),0)),SUM(Tbl_horario[[#This Row],[EXTRAS VESPERTINAS 5-6 16]:[TIEMPO 16]])-Tbl_horario[[#This Row],[HORAS 16]]),0)),0)</calculatedColumnFormula>
    </tableColumn>
    <tableColumn id="178" name="EXTRAS DIURNAS 16" dataDxfId="477" dataCellStyle="Normal 2 2 2">
      <calculatedColumnFormula>SUMIFS(Tbl_tiempo[EXTRAS DIURNAS],Tbl_tiempo[ID PERSONAL],Tbl_horario[[#This Row],[CODIGO]],Tbl_tiempo[FECHA],$GG$2)</calculatedColumnFormula>
    </tableColumn>
    <tableColumn id="177" name="EXTRAS VESPERTINAS 5-6 16" dataDxfId="476" dataCellStyle="Normal 2 2 2">
      <calculatedColumnFormula>SUMIFS(Tbl_tiempo[EXTRAS VESPERTINO - 6],Tbl_tiempo[ID PERSONAL],Tbl_horario[[#This Row],[CODIGO]],Tbl_tiempo[FECHA],$GG$2)</calculatedColumnFormula>
    </tableColumn>
    <tableColumn id="176" name="EXTRAS NOCTURNAS 6-8 16" dataDxfId="475" dataCellStyle="Normal 2 2 2">
      <calculatedColumnFormula>SUMIFS(Tbl_tiempo[EXTRAS NOCTURNO 6 -8],Tbl_tiempo[ID PERSONAL],Tbl_horario[[#This Row],[CODIGO]],Tbl_tiempo[FECHA],$GG$2)</calculatedColumnFormula>
    </tableColumn>
    <tableColumn id="175" name="EXTRAS NOCTURNAS 8+ 16" dataDxfId="474" dataCellStyle="Normal 2 2 2">
      <calculatedColumnFormula>SUMIFS(Tbl_tiempo[EXTRAS NOCTURNO 8 +],Tbl_tiempo[ID PERSONAL],Tbl_horario[[#This Row],[CODIGO]],Tbl_tiempo[FECHA],$GG$2)</calculatedColumnFormula>
    </tableColumn>
    <tableColumn id="224" name="TIEMPO 16" dataDxfId="473" dataCellStyle="Normal 2 2 2">
      <calculatedColumnFormula>IFERROR(IF(OR(Tbl_horario[[#This Row],[FERIADO 06]]="DIA FERIADO",Tbl_horario[[#This Row],[DIA 16]]="SEPTIMO DIA"),0,VLOOKUP(Tbl_horario[[#This Row],[JORNADA]],Tabla_Jornada[],(IF(WEEKDAY($GG$2,1)=7,6,2)),0)),0)</calculatedColumnFormula>
    </tableColumn>
    <tableColumn id="107" name="DIA 16" dataDxfId="472" dataCellStyle="Normal 2 2 2">
      <calculatedColumnFormula>IFERROR(IF(WEEKDAY($GG$2)=1,"SEPTIMO DIA",IF(Tbl_horario[[#This Row],[HORAS 16]]&gt;0,"LABORADO","NO LABORADO")),"FIN")</calculatedColumnFormula>
    </tableColumn>
    <tableColumn id="48" name="FERIADO 16" dataDxfId="471" dataCellStyle="Normal 2 2 2">
      <calculatedColumnFormula>IF(DATE(YEAR(TODAY()),MONTH(TODAY()),DAY(TODAY()))&gt;=$GG$2,IF(AND(Tbl_horario[[#This Row],[FECHA DE INGRESO]]&lt;=$GG$2,Tbl_horario[[#This Row],[FECHA DE BAJA]]&gt;=$GG$2),IF((COUNTIF(Tabla_Feriados[FECHA],$GG$2))=1,"DIA FERIADO","-"),"-"),"-")</calculatedColumnFormula>
    </tableColumn>
    <tableColumn id="110" name="HORAS" dataDxfId="470" dataCellStyle="Normal 2 2 2">
      <calculatedColumnFormula>SUM(Tbl_horario[[#This Row],[TIEMPO 01]],Tbl_horario[[#This Row],[TIEMPO 02]],Tbl_horario[[#This Row],[TIEMPO 03]],Tbl_horario[[#This Row],[TIEMPO 04]],Tbl_horario[[#This Row],[TIEMPO 05]],Tbl_horario[[#This Row],[TIEMPO 06]],Tbl_horario[[#This Row],[TIEMPO 07]],Tbl_horario[[#This Row],[TIEMPO 08]],Tbl_horario[[#This Row],[TIEMPO 09]],Tbl_horario[[#This Row],[TIEMPO 10]],Tbl_horario[[#This Row],[TIEMPO 11]],Tbl_horario[[#This Row],[TIEMPO 12]],Tbl_horario[[#This Row],[TIEMPO 13]],Tbl_horario[[#This Row],[TIEMPO 14]],Tbl_horario[[#This Row],[TIEMPO 15]],Tbl_horario[[#This Row],[TIEMPO 16]])</calculatedColumnFormula>
    </tableColumn>
    <tableColumn id="81" name="TOTAL DE HORAS LABORADAS" dataDxfId="469">
      <calculatedColumnFormula>SUM(Tbl_horario[[#This Row],[HORAS 01]],Tbl_horario[[#This Row],[HORAS 02]],Tbl_horario[[#This Row],[HORAS 03]],Tbl_horario[[#This Row],[HORAS 04]],Tbl_horario[[#This Row],[HORAS 05]],Tbl_horario[[#This Row],[HORAS 06]],Tbl_horario[[#This Row],[HORAS 07]],Tbl_horario[[#This Row],[HORAS 08]],Tbl_horario[[#This Row],[HORAS 09]],Tbl_horario[[#This Row],[HORAS 10]],Tbl_horario[[#This Row],[HORAS 11]],Tbl_horario[[#This Row],[HORAS 12]],Tbl_horario[[#This Row],[HORAS 13]],Tbl_horario[[#This Row],[HORAS 14]],Tbl_horario[[#This Row],[HORAS 15]],Tbl_horario[[#This Row],[HORAS 16]])</calculatedColumnFormula>
    </tableColumn>
    <tableColumn id="180" name="HORAS ORDINARIAS LABORADAS" dataDxfId="468" dataCellStyle="Normal 2 2 2">
      <calculatedColumnFormula>Tbl_horario[[#This Row],[TOTAL DE HORAS LABORADAS]]-Tbl_horario[[#This Row],[HORAS EXTRAS LABORADAS]]</calculatedColumnFormula>
    </tableColumn>
    <tableColumn id="85" name="HORAS EXTRAS LABORADAS" totalsRowFunction="sum" dataDxfId="467" totalsRowDxfId="466" dataCellStyle="Normal 2 2 2">
      <calculatedColumnFormula>SUM(Tbl_horario[[#This Row],[EXTRAS DIURNAS ]]+Tbl_horario[[#This Row],[EXTRAS VESPERTINAS ]])+Tbl_horario[[#This Row],[EXTRAS NOCTURNAS 6-8 ]]+Tbl_horario[[#This Row],[EXTRAS NOCTURNAS 8+ ]]</calculatedColumnFormula>
    </tableColumn>
    <tableColumn id="83" name="HORAS RESTANTES" totalsRowFunction="sum" dataDxfId="465" totalsRowDxfId="464" dataCellStyle="Normal 2 2 2">
      <calculatedColumnFormula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calculatedColumnFormula>
    </tableColumn>
    <tableColumn id="8" name="EXTRAS DIURNAS " totalsRowFunction="sum" dataDxfId="463" totalsRowDxfId="462" dataCellStyle="Normal 2 2 2">
      <calculatedColumnFormula>SUM(Tbl_horario[[#This Row],[EXTRAS DIURNAS 01]],Tbl_horario[[#This Row],[EXTRAS DIURNAS 02]],Tbl_horario[[#This Row],[EXTRAS DIURNAS 03]],Tbl_horario[[#This Row],[EXTRAS DIURNAS 04]],Tbl_horario[[#This Row],[EXTRAS DIURNAS 05]],Tbl_horario[[#This Row],[EXTRAS DIURNAS 06]],Tbl_horario[[#This Row],[EXTRAS DIURNAS 07]],Tbl_horario[[#This Row],[EXTRAS DIURNAS 08]],Tbl_horario[[#This Row],[EXTRAS DIURNAS 09]],Tbl_horario[[#This Row],[EXTRAS DIURNAS 10]],Tbl_horario[[#This Row],[EXTRAS DIURNAS 11]],Tbl_horario[[#This Row],[EXTRAS DIURNAS 12]],Tbl_horario[[#This Row],[EXTRAS DIURNAS 13]],Tbl_horario[[#This Row],[EXTRAS DIURNAS 14]],Tbl_horario[[#This Row],[EXTRAS DIURNAS 15]],Tbl_horario[[#This Row],[EXTRAS DIURNAS 16]])</calculatedColumnFormula>
    </tableColumn>
    <tableColumn id="183" name="EXTRAS VESPERTINAS " totalsRowFunction="sum" dataDxfId="461" totalsRowDxfId="460" dataCellStyle="Normal 2 2 2">
      <calculatedColumnFormula>SUM(Tbl_horario[[#This Row],[EXTRAS VESPERTINAS 5-6 01]],Tbl_horario[[#This Row],[EXTRAS VESPERTINAS 5-6 02]],Tbl_horario[[#This Row],[EXTRAS VESPERTINAS 5-6 03]],Tbl_horario[[#This Row],[EXTRAS VESPERTINAS 5-6 04]],Tbl_horario[[#This Row],[EXTRAS VESPERTINAS 5-6 05]],Tbl_horario[[#This Row],[EXTRAS VESPERTINAS 5-6 06]],Tbl_horario[[#This Row],[EXTRAS VESPERTINAS 5-6 07]],Tbl_horario[[#This Row],[EXTRAS VESPERTINAS 5-6 08]],Tbl_horario[[#This Row],[EXTRAS VESPERTINAS 5-6 09]],Tbl_horario[[#This Row],[EXTRAS VESPERTINAS 5-6 10]],Tbl_horario[[#This Row],[EXTRAS VESPERTINAS 5-6 11]],Tbl_horario[[#This Row],[EXTRAS VESPERTINAS 5-6 12]],Tbl_horario[[#This Row],[EXTRAS VESPERTINAS 5-6 13]],Tbl_horario[[#This Row],[EXTRAS VESPERTINAS 5-6 14]],Tbl_horario[[#This Row],[EXTRAS VESPERTINAS 5-6 15]],Tbl_horario[[#This Row],[EXTRAS VESPERTINAS 5-6 16]])</calculatedColumnFormula>
    </tableColumn>
    <tableColumn id="182" name="EXTRAS NOCTURNAS 6-8 " totalsRowFunction="sum" dataDxfId="459" totalsRowDxfId="458" dataCellStyle="Normal 2 2 2">
      <calculatedColumnFormula>SUM(Tbl_horario[[#This Row],[EXTRAS NOCTURNAS 6-8 01]],Tbl_horario[[#This Row],[EXTRAS NOCTURNAS 6-8 02]],Tbl_horario[[#This Row],[EXTRAS NOCTURNAS 6-8 03]],Tbl_horario[[#This Row],[EXTRAS NOCTURNAS 6-8 04]],Tbl_horario[[#This Row],[EXTRAS NOCTURNAS 6-8 05]],Tbl_horario[[#This Row],[EXTRAS NOCTURNAS 6-8 06]],Tbl_horario[[#This Row],[EXTRAS NOCTURNAS 6-8 07]],Tbl_horario[[#This Row],[EXTRAS NOCTURNAS 6-8 08]],Tbl_horario[[#This Row],[EXTRAS NOCTURNAS 6-8 09]],Tbl_horario[[#This Row],[EXTRAS NOCTURNAS 6-8 10]],Tbl_horario[[#This Row],[EXTRAS NOCTURNAS 6-8 11]],Tbl_horario[[#This Row],[EXTRAS NOCTURNAS 6-8 12]],Tbl_horario[[#This Row],[EXTRAS NOCTURNAS 6-8 13]],Tbl_horario[[#This Row],[EXTRAS NOCTURNAS 6-8 14]],Tbl_horario[[#This Row],[EXTRAS NOCTURNAS 6-8 15]],Tbl_horario[[#This Row],[EXTRAS NOCTURNAS 6-8 16]])</calculatedColumnFormula>
    </tableColumn>
    <tableColumn id="181" name="EXTRAS NOCTURNAS 8+ " totalsRowFunction="sum" dataDxfId="457" totalsRowDxfId="456" dataCellStyle="Normal 2 2 2">
      <calculatedColumnFormula>SUM(Tbl_horario[[#This Row],[EXTRAS NOCTURNAS 8+ 01]],Tbl_horario[[#This Row],[EXTRAS NOCTURNAS 8+ 02]],Tbl_horario[[#This Row],[EXTRAS NOCTURNAS 8+ 03]],Tbl_horario[[#This Row],[EXTRAS NOCTURNAS 8+ 04]],Tbl_horario[[#This Row],[EXTRAS NOCTURNAS 8+ 05]],Tbl_horario[[#This Row],[EXTRAS NOCTURNAS 8+ 06]],Tbl_horario[[#This Row],[EXTRAS NOCTURNAS 8+ 07]],Tbl_horario[[#This Row],[EXTRAS NOCTURNAS 8+ 08]],Tbl_horario[[#This Row],[EXTRAS NOCTURNAS 8+ 09]],Tbl_horario[[#This Row],[EXTRAS NOCTURNAS 8+ 10]],Tbl_horario[[#This Row],[EXTRAS NOCTURNAS 8+ 11]],Tbl_horario[[#This Row],[EXTRAS NOCTURNAS 8+ 12]],Tbl_horario[[#This Row],[EXTRAS NOCTURNAS 8+ 13]],Tbl_horario[[#This Row],[EXTRAS NOCTURNAS 8+ 14]],Tbl_horario[[#This Row],[EXTRAS NOCTURNAS 8+ 15]],Tbl_horario[[#This Row],[EXTRAS NOCTURNAS 8+ 16]])</calculatedColumnFormula>
    </tableColumn>
    <tableColumn id="207" name="TIEMPO A FAVOR" totalsRowFunction="sum" dataDxfId="455" totalsRowDxfId="454" dataCellStyle="Normal 2 2 2">
      <calculatedColumnFormula>SUM(Tbl_horario[[#This Row],[TIEMPO A FAVOR 01]],Tbl_horario[[#This Row],[TIEMPO A FAVOR 02]],Tbl_horario[[#This Row],[TIEMPO A FAVOR 03]],Tbl_horario[[#This Row],[TIEMPO A FAVOR 04]],Tbl_horario[[#This Row],[TIEMPO A FAVOR 05]],Tbl_horario[[#This Row],[TIEMPO A FAVOR 06]],Tbl_horario[[#This Row],[TIEMPO A FAVOR 07]],Tbl_horario[[#This Row],[TIEMPO A FAVOR 08]],Tbl_horario[[#This Row],[TIEMPO A FAVOR 09]],Tbl_horario[[#This Row],[TIEMPO A FAVOR 10]],Tbl_horario[[#This Row],[TIEMPO A FAVOR 11]],Tbl_horario[[#This Row],[TIEMPO A FAVOR 12]],Tbl_horario[[#This Row],[TIEMPO A FAVOR 13]],Tbl_horario[[#This Row],[TIEMPO A FAVOR 14]],Tbl_horario[[#This Row],[TIEMPO A FAVOR 15]],Tbl_horario[[#This Row],[TIEMPO A FAVOR 16]])</calculatedColumnFormula>
    </tableColumn>
    <tableColumn id="236" name="TIEMPO PENDIENTE" totalsRowFunction="sum" dataDxfId="453" totalsRowDxfId="452" dataCellStyle="Normal 2 2 2">
      <calculatedColumnFormula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calculatedColumnFormula>
    </tableColumn>
    <tableColumn id="237" name="SALDO DE TIEMPO A FAVOR" totalsRowFunction="sum" dataDxfId="451" totalsRowDxfId="450" dataCellStyle="Normal 2 2 2">
      <calculatedColumnFormula>IF(Tbl_horario[[#This Row],[TIEMPO A FAVOR]]&gt;Tbl_horario[[#This Row],[TIEMPO PENDIENTE]],Tbl_horario[[#This Row],[TIEMPO A FAVOR]]-Tbl_horario[[#This Row],[TIEMPO PENDIENTE]],0)</calculatedColumnFormula>
    </tableColumn>
    <tableColumn id="238" name="SALDO DE TIEMPO PENDIENTE TOTAL" dataDxfId="449" totalsRowDxfId="448" dataCellStyle="Normal 2 2 2">
      <calculatedColumnFormula>IF(Tbl_horario[[#This Row],[TIEMPO A FAVOR]]&lt;Tbl_horario[[#This Row],[TIEMPO PENDIENTE]],Tbl_horario[[#This Row],[TIEMPO PENDIENTE]]-Tbl_horario[[#This Row],[TIEMPO A FAVOR]],0)</calculatedColumnFormula>
    </tableColumn>
    <tableColumn id="86" name="DIAS LABORADOS" dataDxfId="447">
      <calculatedColumnFormula>COUNTIF(Tbl_horario[[#This Row],[ENTRADA 01]:[DIA 16]],"LABORADO")</calculatedColumnFormula>
    </tableColumn>
    <tableColumn id="49" name="FERIADOS" dataDxfId="446" dataCellStyle="Normal 2 2 2">
      <calculatedColumnFormula>COUNTIF(Tbl_horario[[#This Row],[ENTRADA 01]:[FERIADO 16]],"DIA FERIADO")</calculatedColumnFormula>
    </tableColumn>
    <tableColumn id="108" name="RESTANTES" dataDxfId="445">
      <calculatedColumnFormula>IF(((COUNTIF(Tbl_horario[[#This Row],[ENTRADA 01]:[DIA 16]],"NO LABORADO"))-Tbl_horario[[#This Row],[FERIADOS]])&lt;0,0,(COUNTIF(Tbl_horario[[#This Row],[ENTRADA 01]:[DIA 16]],"NO LABORADO"))-Tbl_horario[[#This Row],[FERIADOS]])</calculatedColumnFormula>
    </tableColumn>
    <tableColumn id="109" name="DIAS A LABORAR" dataDxfId="444">
      <calculatedColumnFormula>Tbl_horario[[#This Row],[RESTANTES]]+Tbl_horario[[#This Row],[FERIADOS]]+Tbl_horario[[#This Row],[DIAS LABORADOS]]</calculatedColumnFormula>
    </tableColumn>
    <tableColumn id="112" name="SEPTIMO DIA" dataDxfId="443" dataCellStyle="Normal 2 2 2">
      <calculatedColumnFormula>COUNTIF(Tbl_horario[[#This Row],[ENTRADA 01]:[DIA 16]],"SEPTIMO DIA")</calculatedColumnFormula>
    </tableColumn>
    <tableColumn id="111" name="COMPLETO" dataDxfId="442" dataCellStyle="Normal 2 2 2">
      <calculatedColumnFormula>IF(Tbl_horario[[#This Row],[CONTROL]]="NO","SIN CONTROL DE HORAS",IF((Tbl_horario[[#This Row],[DIAS LABORADOS]])+Tbl_horario[[#This Row],[FERIADOS]]&gt;=Tbl_horario[[#This Row],[DIAS A LABORAR]],"COMPLETO LOS DIAS",Tbl_horario[[#This Row],[DIAS LABORADOS]]+Tbl_horario[[#This Row],[FERIADOS]]))</calculatedColumnFormula>
    </tableColumn>
    <tableColumn id="256" name="EXONERACIÓN DE HORAS PENDIENTES" dataDxfId="441" dataCellStyle="Normal 2 2 2">
      <calculatedColumnFormula>IF(COUNTIFS(Tbl_Exonerar[ID PERSONAL],Tbl_horario[[#This Row],[CODIGO]],Tbl_Exonerar[QUINCENA DE EXONERACIÓN],"&gt;="&amp;INICIO_QUINCENA,Tbl_Exonerar[QUINCENA DE EXONERACIÓN],"&lt;="&amp;FINAL_QUINCENA)&gt;=1,"EXONERADO","")</calculatedColumnFormula>
    </tableColumn>
    <tableColumn id="257" name="ANULACIÓN DE HORAS EXTRAS" dataDxfId="440" dataCellStyle="Normal 2 2 2">
      <calculatedColumnFormula>IF(COUNTIFS(Tbl_Anular[ID PERSONAL],Tbl_horario[[#This Row],[CODIGO]],Tbl_Anular[QUINCENA DE ANULACIÓN],"&gt;="&amp;INICIO_QUINCENA,Tbl_Anular[QUINCENA DE ANULACIÓN],"&lt;="&amp;FINAL_QUINCENA)&gt;=1,"ANULADO","")</calculatedColumnFormula>
    </tableColumn>
    <tableColumn id="63" name="CONTROL HORARIO" dataDxfId="439" dataCellStyle="Normal 2 2 2">
      <calculatedColumnFormula>IFERROR(VLOOKUP(A5,Tbl_personal[],9,0),"-")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bl_planilla" displayName="Tbl_planilla" ref="A4:CF6" totalsRowCount="1" headerRowDxfId="438" dataDxfId="437" totalsRowDxfId="436">
  <autoFilter ref="A4:CF5"/>
  <sortState ref="A5:CF15">
    <sortCondition ref="A4"/>
  </sortState>
  <tableColumns count="84">
    <tableColumn id="1" name="ID PERSONAL" dataDxfId="435" totalsRowDxfId="434"/>
    <tableColumn id="2" name="NOMBRE DEL COLABORADOR" totalsRowFunction="count" dataDxfId="433" totalsRowDxfId="432">
      <calculatedColumnFormula>IFERROR(VLOOKUP(Tbl_planilla[ID PERSONAL],Tbl_personal[],2,0),"")</calculatedColumnFormula>
    </tableColumn>
    <tableColumn id="3" name="NÚMERO DE IDENTIFICACIÓN" dataDxfId="431" totalsRowDxfId="430">
      <calculatedColumnFormula>IFERROR(VLOOKUP(Tbl_planilla[ID PERSONAL],Tbl_personal[],3,0),"")</calculatedColumnFormula>
    </tableColumn>
    <tableColumn id="4" name="CARGO" dataDxfId="429" totalsRowDxfId="428">
      <calculatedColumnFormula>IFERROR(VLOOKUP(Tbl_planilla[ID PERSONAL],Tbl_personal[],6,0),"")</calculatedColumnFormula>
    </tableColumn>
    <tableColumn id="5" name="FECHA DE INGRESO" dataDxfId="427" totalsRowDxfId="426">
      <calculatedColumnFormula>IFERROR(VLOOKUP(Tbl_planilla[ID PERSONAL],Tbl_personal[],12,0),"")</calculatedColumnFormula>
    </tableColumn>
    <tableColumn id="9" name="FECHA DE SALIDA" dataDxfId="425" totalsRowDxfId="424">
      <calculatedColumnFormula>IFERROR(VLOOKUP(Tbl_planilla[ID PERSONAL],Tbl_personal[],13,0),"")</calculatedColumnFormula>
    </tableColumn>
    <tableColumn id="45" name="CONTRATO" dataDxfId="423" totalsRowDxfId="422">
      <calculatedColumnFormula>IFERROR(VLOOKUP(Tbl_planilla[ID PERSONAL],Tbl_personal[],11,0),"")</calculatedColumnFormula>
    </tableColumn>
    <tableColumn id="77" name="JORNADA" dataDxfId="421" totalsRowDxfId="420">
      <calculatedColumnFormula>IFERROR(VLOOKUP(Tbl_planilla[ID PERSONAL],Tbl_personal[],8,0),"")</calculatedColumnFormula>
    </tableColumn>
    <tableColumn id="76" name="CUENTA" dataDxfId="419" totalsRowDxfId="418">
      <calculatedColumnFormula>IFERROR(VLOOKUP(Tbl_planilla[ID PERSONAL],Tbl_personal[],14,0),"")</calculatedColumnFormula>
    </tableColumn>
    <tableColumn id="35" name="CONTROL HORARIO" dataDxfId="417" totalsRowDxfId="416">
      <calculatedColumnFormula>IFERROR(VLOOKUP(Tbl_planilla[ID PERSONAL],Tbl_personal[],9,0),"")</calculatedColumnFormula>
    </tableColumn>
    <tableColumn id="6" name="SALARIO BASICO MENSUAL" dataDxfId="415" totalsRowDxfId="414">
      <calculatedColumnFormula>IFERROR(VLOOKUP(Tbl_planilla[ID PERSONAL],Tbl_personal[],10,0),"")</calculatedColumnFormula>
    </tableColumn>
    <tableColumn id="7" name="SALARIO BASICO QUINCENAL" dataDxfId="413" totalsRowDxfId="412">
      <calculatedColumnFormula>IFERROR(Tbl_planilla[SALARIO BASICO MENSUAL]/2,0)</calculatedColumnFormula>
    </tableColumn>
    <tableColumn id="8" name="SALARIO BASICO POR HORA" dataDxfId="411" totalsRowDxfId="410">
      <calculatedColumnFormula>IFERROR(Tbl_planilla[[#This Row],[SALARIO BASICO MENSUAL]]/((VLOOKUP(Tbl_planilla[[#This Row],[JORNADA]],Tabla_Jornada[],10,0)*24)*#REF!),0)</calculatedColumnFormula>
    </tableColumn>
    <tableColumn id="55" name="VALOR EXTRAS DIURNAS" dataDxfId="409" totalsRowDxfId="408">
      <calculatedColumnFormula>Tbl_planilla[[#This Row],[SALARIO BASICO POR HORA]]*PARAMETROS!$AH$4</calculatedColumnFormula>
    </tableColumn>
    <tableColumn id="54" name="VALOR EXTRAS VESPERTINAS 5 - 6" dataDxfId="407" totalsRowDxfId="406">
      <calculatedColumnFormula>Tbl_planilla[[#This Row],[SALARIO BASICO POR HORA]]*PARAMETROS!$AH$4</calculatedColumnFormula>
    </tableColumn>
    <tableColumn id="53" name="VALOR EXTRAS VESPERTINAS 6 - 8" dataDxfId="405" totalsRowDxfId="404">
      <calculatedColumnFormula>Tbl_planilla[[#This Row],[SALARIO BASICO POR HORA]]*PARAMETROS!$AH$5</calculatedColumnFormula>
    </tableColumn>
    <tableColumn id="52" name="VALOR EXTRAS NOCTUNAS 8 +" dataDxfId="403" totalsRowDxfId="402">
      <calculatedColumnFormula>Tbl_planilla[[#This Row],[SALARIO BASICO POR HORA]]*PARAMETROS!$AH$6</calculatedColumnFormula>
    </tableColumn>
    <tableColumn id="10" name="TOTAL HORAS LABORADAS" dataDxfId="401" totalsRowDxfId="400">
      <calculatedColumnFormula>IFERROR(VLOOKUP(Tbl_planilla[ID PERSONAL],Tbl_horario[],202,0),0)</calculatedColumnFormula>
    </tableColumn>
    <tableColumn id="21" name="TOTAL DE HORAS EXTRAS" dataDxfId="399" totalsRowDxfId="398">
      <calculatedColumnFormula>IFERROR(IF(Tbl_horario[[#This Row],[ANULACIÓN DE HORAS EXTRAS]]="ANULADO",0,VLOOKUP(Tbl_planilla[ID PERSONAL],Tbl_horario[],204,0)),0)</calculatedColumnFormula>
    </tableColumn>
    <tableColumn id="30" name="TOTAL DE HORAS A FAVOR" dataDxfId="397" totalsRowDxfId="396">
      <calculatedColumnFormula>IFERROR(VLOOKUP(Tbl_planilla[ID PERSONAL],Tbl_horario[],210,0),0)</calculatedColumnFormula>
    </tableColumn>
    <tableColumn id="22" name="TOTAL HORAS ORDINARIAS" dataDxfId="395" totalsRowDxfId="394">
      <calculatedColumnFormula>IFERROR(VLOOKUP(Tbl_planilla[ID PERSONAL],Tbl_horario[],203,0),0)</calculatedColumnFormula>
    </tableColumn>
    <tableColumn id="13" name="TOTAL HORAS RESTANTES" dataDxfId="393" totalsRowDxfId="392">
      <calculatedColumnFormula>IFERROR(IF(Tbl_planilla[[#This Row],[CONTROL HORARIO]]="NO",0,IF(Tbl_planilla[[#This Row],[EXONERACIÓN DE HORAS RESTANTES]]="EXONERADO",0,VLOOKUP(Tbl_planilla[ID PERSONAL],Tbl_horario[],213,0))),0)</calculatedColumnFormula>
    </tableColumn>
    <tableColumn id="11" name="H.E. DIURNAS" dataDxfId="391" totalsRowDxfId="390">
      <calculatedColumnFormula>IFERROR(IF(Tbl_planilla[[#This Row],[ANULACIÓN DE HORAS EXTRAS]]="ANULADO",0,VLOOKUP(Tbl_planilla[ID PERSONAL],Tbl_horario[],206,0)),0)</calculatedColumnFormula>
    </tableColumn>
    <tableColumn id="14" name="H.E. VESPERTINO 5-6" dataDxfId="389" totalsRowDxfId="388">
      <calculatedColumnFormula>IFERROR(IF(Tbl_planilla[[#This Row],[ANULACIÓN DE HORAS EXTRAS]]="ANULADO",0,VLOOKUP(Tbl_planilla[ID PERSONAL],Tbl_horario[],207,0)),0)</calculatedColumnFormula>
    </tableColumn>
    <tableColumn id="16" name="H.E. NOCTURNO 6-8" dataDxfId="387" totalsRowDxfId="386">
      <calculatedColumnFormula>IFERROR(IF(Tbl_planilla[[#This Row],[ANULACIÓN DE HORAS EXTRAS]]="ANULADO",0,VLOOKUP(Tbl_planilla[ID PERSONAL],Tbl_horario[],208,0)),0)</calculatedColumnFormula>
    </tableColumn>
    <tableColumn id="17" name="H.E. NOCTURNO 8+" dataDxfId="385" totalsRowDxfId="384">
      <calculatedColumnFormula>IFERROR(IF(Tbl_planilla[[#This Row],[ANULACIÓN DE HORAS EXTRAS]]="ANULADO",0,VLOOKUP(Tbl_planilla[ID PERSONAL],Tbl_horario[],209,0)),0)</calculatedColumnFormula>
    </tableColumn>
    <tableColumn id="20" name="SALARIO BASE QUINCENAL " totalsRowFunction="sum" dataDxfId="383" totalsRowDxfId="382">
      <calculatedColumnFormula>Tbl_planilla[[#This Row],[SALARIO BASICO QUINCENAL]]</calculatedColumnFormula>
    </tableColumn>
    <tableColumn id="56" name="EGRESO HORAS RESTANTES" dataDxfId="381" totalsRowDxfId="380">
      <calculatedColumnFormula>IFERROR(Tbl_planilla[[#This Row],[TOTAL HORAS RESTANTES]]*Tbl_planilla[[#This Row],[SALARIO BASICO POR HORA]]*24,0)</calculatedColumnFormula>
    </tableColumn>
    <tableColumn id="57" name="INGRESOS ORDINARIOS" totalsRowFunction="sum" dataDxfId="379" totalsRowDxfId="378">
      <calculatedColumnFormula>IF(Tbl_planilla[[#This Row],[CONTROL HORARIO]]="NO",Tbl_planilla[[#This Row],[SALARIO BASE QUINCENAL ]],IF(Tbl_planilla[[#This Row],[CONTROL HORARIO]]="SI",IF(Tbl_planilla[[#This Row],[EXONERACIÓN DE HORAS RESTANTES]]="EXONERADO",Tbl_planilla[[#This Row],[SALARIO BASE QUINCENAL ]],IF(Tbl_planilla[[#This Row],[TOTAL HORAS LABORADAS]]=0,0,Tbl_planilla[[#This Row],[SALARIO BASE QUINCENAL ]]-Tbl_planilla[[#This Row],[EGRESO HORAS RESTANTES]]))))</calculatedColumnFormula>
    </tableColumn>
    <tableColumn id="25" name="INGRESO H.E DIURNAS" dataDxfId="377" totalsRowDxfId="376">
      <calculatedColumnFormula>Tbl_planilla[[#This Row],[H.E. DIURNAS]]*Tbl_planilla[[#This Row],[VALOR EXTRAS DIURNAS]]*24</calculatedColumnFormula>
    </tableColumn>
    <tableColumn id="27" name="INGRESO H.E. VESPERTINO 5-6" dataDxfId="375" totalsRowDxfId="374">
      <calculatedColumnFormula>Tbl_planilla[[#This Row],[H.E. VESPERTINO 5-6]]*Tbl_planilla[[#This Row],[VALOR EXTRAS VESPERTINAS 5 - 6]]*24</calculatedColumnFormula>
    </tableColumn>
    <tableColumn id="28" name="INGRESO H.E. NOCTURNO 6-8" dataDxfId="373" totalsRowDxfId="372">
      <calculatedColumnFormula>Tbl_planilla[[#This Row],[H.E. NOCTURNO 6-8]]*Tbl_planilla[[#This Row],[VALOR EXTRAS VESPERTINAS 6 - 8]]*24</calculatedColumnFormula>
    </tableColumn>
    <tableColumn id="33" name="INGRESO H.E. NOCTURNO 8+" dataDxfId="371" totalsRowDxfId="370">
      <calculatedColumnFormula>Tbl_planilla[[#This Row],[H.E. NOCTURNO 8+]]*Tbl_planilla[[#This Row],[VALOR EXTRAS NOCTUNAS 8 +]]*24</calculatedColumnFormula>
    </tableColumn>
    <tableColumn id="12" name="COMISIONES" dataDxfId="369" totalsRowDxfId="368">
      <calculatedColumnFormula>SUMIFS(Tbl_Comision[COMISION],Tbl_Comision[ID PERSONAL],Tbl_planilla[[#This Row],[ID PERSONAL]],Tbl_Comision[QUINCENA DE CARGO],"&gt;="&amp;INICIO_QUINCENA,Tbl_Comision[QUINCENA DE CARGO],"&lt;="&amp;FINAL_QUINCENA)</calculatedColumnFormula>
    </tableColumn>
    <tableColumn id="64" name="AJUSTE SALARIAL" dataDxfId="367" totalsRowDxfId="366">
      <calculatedColumnFormula>SUMIFS(Tbl_Ajuste[AJUSTE],Tbl_Ajuste[ID PERSONAL],Tbl_planilla[[#This Row],[ID PERSONAL]],Tbl_Ajuste[QUINCENA DE CARGO],"&gt;="&amp;INICIO_QUINCENA,Tbl_Ajuste[QUINCENA DE CARGO],"&lt;="&amp;FINAL_QUINCENA)</calculatedColumnFormula>
    </tableColumn>
    <tableColumn id="34" name="INGRESOS BRUTOS" totalsRowFunction="sum" dataDxfId="365" totalsRowDxfId="364">
      <calculatedColumnFormula>SUM(Tbl_planilla[[#This Row],[INGRESOS ORDINARIOS]:[AJUSTE SALARIAL]])</calculatedColumnFormula>
    </tableColumn>
    <tableColumn id="36" name="PRESTAMOS PERSONALES" dataDxfId="363" totalsRowDxfId="362">
      <calculatedColumnFormula>SUMIFS(#REF!,#REF!,Tbl_planilla[[#This Row],[ID PERSONAL]],#REF!,PARAMETROS!$AN$11,#REF!,"&gt;="&amp;INICIO_QUINCENA,#REF!,"&lt;="&amp;FINAL_QUINCENA)</calculatedColumnFormula>
    </tableColumn>
    <tableColumn id="37" name="PRESTAMOS BANCARIOS" dataDxfId="361" totalsRowDxfId="360">
      <calculatedColumnFormula>SUMIFS(#REF!,#REF!,Tbl_planilla[[#This Row],[ID PERSONAL]],#REF!,PARAMETROS!$AN$12,#REF!,"&gt;="&amp;INICIO_QUINCENA,#REF!,"&lt;="&amp;FINAL_QUINCENA)</calculatedColumnFormula>
    </tableColumn>
    <tableColumn id="38" name="VALES" dataDxfId="359" totalsRowDxfId="358">
      <calculatedColumnFormula>SUMIFS(#REF!,#REF!,Tbl_planilla[[#This Row],[ID PERSONAL]],#REF!,PARAMETROS!$AN$13,#REF!,"&gt;="&amp;INICIO_QUINCENA,#REF!,"&lt;="&amp;FINAL_QUINCENA)</calculatedColumnFormula>
    </tableColumn>
    <tableColumn id="39" name="VENTAS FLORENCIA" dataDxfId="357" totalsRowDxfId="356">
      <calculatedColumnFormula>SUMIFS(#REF!,#REF!,Tbl_planilla[[#This Row],[ID PERSONAL]],#REF!,PARAMETROS!$AN$14,#REF!,"&gt;="&amp;INICIO_QUINCENA,#REF!,"&lt;="&amp;FINAL_QUINCENA)</calculatedColumnFormula>
    </tableColumn>
    <tableColumn id="40" name="OTRAS DEDUCCIONES" dataDxfId="355" totalsRowDxfId="354">
      <calculatedColumnFormula>SUMIFS(#REF!,#REF!,Tbl_planilla[[#This Row],[ID PERSONAL]],#REF!,PARAMETROS!$AN$15,#REF!,"&gt;="&amp;INICIO_QUINCENA,#REF!,"&lt;="&amp;FINAL_QUINCENA)</calculatedColumnFormula>
    </tableColumn>
    <tableColumn id="59" name="VIATICO PERSONAL" dataDxfId="353" totalsRowDxfId="352">
      <calculatedColumnFormula>SUMIFS(Tbl_Viatico[VIATICO],Tbl_Viatico[ID PERSONAL],Tbl_planilla[[#This Row],[ID PERSONAL]],Tbl_Viatico[FECHA DE CARGO],"&gt;="&amp;INICIO_QUINCENA,Tbl_Viatico[FECHA DE CARGO],"&lt;="&amp;FINAL_QUINCENA)*-1</calculatedColumnFormula>
    </tableColumn>
    <tableColumn id="41" name="SEGURO SOCIAL" dataDxfId="351" totalsRowDxfId="350">
      <calculatedColumnFormula>IFERROR((Tbl_planilla[[#This Row],[INGRESOS BRUTOS]])*EMPLEADO_SS,0)</calculatedColumnFormula>
    </tableColumn>
    <tableColumn id="42" name="SEGURO EDUCATIVO" dataDxfId="349" totalsRowDxfId="348">
      <calculatedColumnFormula>IFERROR((Tbl_planilla[[#This Row],[INGRESOS BRUTOS]])*EMPLEADO_SE,0)</calculatedColumnFormula>
    </tableColumn>
    <tableColumn id="44" name="TOTAL DE DEDUCCIÓNES" dataDxfId="347" totalsRowDxfId="346">
      <calculatedColumnFormula>SUM(Tbl_planilla[[#This Row],[PRESTAMOS PERSONALES]:[SEGURO EDUCATIVO]])</calculatedColumnFormula>
    </tableColumn>
    <tableColumn id="47" name="INGRESOS NETOS" totalsRowFunction="sum" dataDxfId="345" totalsRowDxfId="344">
      <calculatedColumnFormula>ROUND(IF(Tbl_planilla[[#This Row],[INGRESOS BRUTOS]]-Tbl_planilla[[#This Row],[TOTAL DE DEDUCCIÓNES]]&lt;0,0,Tbl_planilla[[#This Row],[INGRESOS BRUTOS]]-Tbl_planilla[[#This Row],[TOTAL DE DEDUCCIÓNES]]),2)</calculatedColumnFormula>
    </tableColumn>
    <tableColumn id="15" name="SALDO PRESTAMO PERSONAL " totalsRowFunction="sum" dataDxfId="343" totalsRowDxfId="342">
      <calculatedColumnFormula>SUMIFS(#REF!,#REF!,Tbl_planilla[[#This Row],[ID PERSONAL]],#REF!,C_PRESTAMOP,#REF!,ACTIVO)</calculatedColumnFormula>
    </tableColumn>
    <tableColumn id="18" name=" CUOTAS PRESTAMO PERSONAL " totalsRowFunction="sum" dataDxfId="341" totalsRowDxfId="340">
      <calculatedColumnFormula>CONCATENATE(SUMIFS(#REF!,#REF!,Tbl_planilla[[#This Row],[ID PERSONAL]],#REF!,C_PRESTAMOP,#REF!,ACTIVO),"/",SUMIFS(#REF!,#REF!,Tbl_planilla[[#This Row],[ID PERSONAL]],#REF!,C_PRESTAMOP,#REF!,ACTIVO))</calculatedColumnFormula>
    </tableColumn>
    <tableColumn id="19" name=" SALDO PRESTAMO BANCARIO " totalsRowFunction="sum" dataDxfId="339" totalsRowDxfId="338">
      <calculatedColumnFormula>SUMIFS(#REF!,#REF!,Tbl_planilla[[#This Row],[ID PERSONAL]],#REF!,C_PRESTAMOB,#REF!,ACTIVO)</calculatedColumnFormula>
    </tableColumn>
    <tableColumn id="24" name=" CUOTA PRESTAMO BANCARIO " totalsRowFunction="sum" dataDxfId="337" totalsRowDxfId="336">
      <calculatedColumnFormula>CONCATENATE(SUMIFS(#REF!,#REF!,Tbl_planilla[[#This Row],[ID PERSONAL]],#REF!,C_PRESTAMOB,#REF!,ACTIVO),"/",SUMIFS(#REF!,#REF!,Tbl_planilla[[#This Row],[ID PERSONAL]],#REF!,C_PRESTAMOB,#REF!,ACTIVO))</calculatedColumnFormula>
    </tableColumn>
    <tableColumn id="26" name=" SALDO VALE " totalsRowFunction="sum" dataDxfId="335" totalsRowDxfId="334">
      <calculatedColumnFormula>SUMIFS(#REF!,#REF!,Tbl_planilla[[#This Row],[ID PERSONAL]],#REF!,C_VALE,#REF!,ACTIVO)</calculatedColumnFormula>
    </tableColumn>
    <tableColumn id="31" name=" CUOTA VALE " totalsRowFunction="sum" dataDxfId="333" totalsRowDxfId="332">
      <calculatedColumnFormula>CONCATENATE(SUMIFS(#REF!,#REF!,Tbl_planilla[[#This Row],[ID PERSONAL]],#REF!,C_VALE,#REF!,ACTIVO),"/",SUMIFS(#REF!,#REF!,Tbl_planilla[[#This Row],[ID PERSONAL]],#REF!,C_VALE,#REF!,ACTIVO))</calculatedColumnFormula>
    </tableColumn>
    <tableColumn id="32" name=" SALDO VENTA FLORENCIA " totalsRowFunction="sum" dataDxfId="331" totalsRowDxfId="330">
      <calculatedColumnFormula>SUMIFS(#REF!,#REF!,Tbl_planilla[[#This Row],[ID PERSONAL]],#REF!,C_VENTAF,#REF!,ACTIVO)</calculatedColumnFormula>
    </tableColumn>
    <tableColumn id="46" name=" CUOTA VENTA FLORENCIA " totalsRowFunction="sum" dataDxfId="329" totalsRowDxfId="328">
      <calculatedColumnFormula>CONCATENATE(SUMIFS(#REF!,#REF!,Tbl_planilla[[#This Row],[ID PERSONAL]],#REF!,C_VENTAF,#REF!,ACTIVO),"/",SUMIFS(#REF!,#REF!,Tbl_planilla[[#This Row],[ID PERSONAL]],#REF!,C_VENTAF,#REF!,ACTIVO))</calculatedColumnFormula>
    </tableColumn>
    <tableColumn id="48" name=" SALDO OTRAS DEDUCCIONES " totalsRowFunction="sum" dataDxfId="327" totalsRowDxfId="326">
      <calculatedColumnFormula>SUMIFS(#REF!,#REF!,Tbl_planilla[[#This Row],[ID PERSONAL]],#REF!,C_OTROSD,#REF!,ACTIVO)</calculatedColumnFormula>
    </tableColumn>
    <tableColumn id="49" name=" CUOTA OTRAS DEDUCCIONES " totalsRowFunction="sum" dataDxfId="325" totalsRowDxfId="324">
      <calculatedColumnFormula>CONCATENATE(SUMIFS(#REF!,#REF!,Tbl_planilla[[#This Row],[ID PERSONAL]],#REF!,C_OTROSD,#REF!,ACTIVO),"/",SUMIFS(#REF!,#REF!,Tbl_planilla[[#This Row],[ID PERSONAL]],#REF!,C_OTROSD,#REF!,ACTIVO))</calculatedColumnFormula>
    </tableColumn>
    <tableColumn id="50" name="EXONERACIÓN DE HORAS RESTANTES" dataDxfId="323" totalsRowDxfId="322">
      <calculatedColumnFormula>IF(COUNTIFS(Tbl_Exonerar[ID PERSONAL],Tbl_planilla[[#This Row],[ID PERSONAL]],Tbl_Exonerar[QUINCENA DE EXONERACIÓN],"&gt;="&amp;INICIO_QUINCENA,Tbl_Exonerar[QUINCENA DE EXONERACIÓN],"&lt;="&amp;FINAL_QUINCENA)&gt;=1,"EXONERADO","")</calculatedColumnFormula>
    </tableColumn>
    <tableColumn id="51" name="ANULACIÓN DE HORAS EXTRAS" dataDxfId="321" totalsRowDxfId="320">
      <calculatedColumnFormula>IF(COUNTIFS(Tbl_Anular[ID PERSONAL],Tbl_planilla[[#This Row],[ID PERSONAL]],Tbl_Anular[QUINCENA DE ANULACIÓN],"&gt;="&amp;INICIO_QUINCENA,Tbl_Anular[QUINCENA DE ANULACIÓN],"&lt;="&amp;FINAL_QUINCENA)&gt;=1,"ANULADO","")</calculatedColumnFormula>
    </tableColumn>
    <tableColumn id="58" name="TIPO DE PLANILLA" dataDxfId="319" totalsRowDxfId="318">
      <calculatedColumnFormula>IFERROR(VLOOKUP(Tbl_planilla[ID PERSONAL],Tbl_personal[],14,0),"")</calculatedColumnFormula>
    </tableColumn>
    <tableColumn id="75" name="N° DE CUENTA" dataDxfId="317" totalsRowDxfId="316">
      <calculatedColumnFormula>IFERROR(VLOOKUP(Tbl_planilla[ID PERSONAL],Tbl_personal[],15,0),"")</calculatedColumnFormula>
    </tableColumn>
    <tableColumn id="60" name="SALARIO" totalsRowFunction="sum" dataDxfId="315" totalsRowDxfId="314">
      <calculatedColumnFormula>Tbl_planilla[[#This Row],[SALARIO BASE QUINCENAL ]]</calculatedColumnFormula>
    </tableColumn>
    <tableColumn id="61" name="AUSENCIA/ TARDANZA" totalsRowFunction="sum" dataDxfId="313" totalsRowDxfId="312">
      <calculatedColumnFormula>Tbl_planilla[[#This Row],[EGRESO HORAS RESTANTES]]</calculatedColumnFormula>
    </tableColumn>
    <tableColumn id="62" name="SOBRE TIEMPO" totalsRowFunction="sum" dataDxfId="311" totalsRowDxfId="310">
      <calculatedColumnFormula>SUM(Tbl_planilla[[#This Row],[INGRESO H.E DIURNAS]:[INGRESO H.E. NOCTURNO 8+]])</calculatedColumnFormula>
    </tableColumn>
    <tableColumn id="87" name="COMISION" totalsRowFunction="sum" dataDxfId="309" totalsRowDxfId="308">
      <calculatedColumnFormula>Tbl_planilla[[#This Row],[COMISIONES]]</calculatedColumnFormula>
    </tableColumn>
    <tableColumn id="63" name="AJUSTE" totalsRowFunction="sum" dataDxfId="307" totalsRowDxfId="306">
      <calculatedColumnFormula>Tbl_planilla[[#This Row],[AJUSTE SALARIAL]]</calculatedColumnFormula>
    </tableColumn>
    <tableColumn id="65" name="SALARIO BRUTO" totalsRowFunction="sum" dataDxfId="305" totalsRowDxfId="304">
      <calculatedColumnFormula>Tbl_planilla[[#This Row],[INGRESOS BRUTOS]]</calculatedColumnFormula>
    </tableColumn>
    <tableColumn id="70" name="S.S" totalsRowFunction="sum" dataDxfId="303" totalsRowDxfId="302">
      <calculatedColumnFormula>Tbl_planilla[[#This Row],[SEGURO SOCIAL]]</calculatedColumnFormula>
    </tableColumn>
    <tableColumn id="71" name="S.E" totalsRowFunction="sum" dataDxfId="301" totalsRowDxfId="300">
      <calculatedColumnFormula>Tbl_planilla[[#This Row],[SEGURO EDUCATIVO]]</calculatedColumnFormula>
    </tableColumn>
    <tableColumn id="73" name="PRESTAMO" totalsRowFunction="sum" dataDxfId="299" totalsRowDxfId="298">
      <calculatedColumnFormula>Tbl_planilla[[#This Row],[PRESTAMOS BANCARIOS]]</calculatedColumnFormula>
    </tableColumn>
    <tableColumn id="66" name="VALES/ OTROS" totalsRowFunction="sum" dataDxfId="297" totalsRowDxfId="296">
      <calculatedColumnFormula>SUM(Tbl_planilla[[#This Row],[VALES]],Tbl_planilla[[#This Row],[OTRAS DEDUCCIONES]])</calculatedColumnFormula>
    </tableColumn>
    <tableColumn id="67" name="CUENTAS F.I.S.A" totalsRowFunction="sum" dataDxfId="295" totalsRowDxfId="294">
      <calculatedColumnFormula>SUM(Tbl_planilla[[#This Row],[VENTAS FLORENCIA]],Tbl_planilla[[#This Row],[PRESTAMOS PERSONALES]])</calculatedColumnFormula>
    </tableColumn>
    <tableColumn id="74" name="VIATICO" totalsRowFunction="sum" dataDxfId="293" totalsRowDxfId="292">
      <calculatedColumnFormula>Tbl_planilla[[#This Row],[VIATICO PERSONAL]]</calculatedColumnFormula>
    </tableColumn>
    <tableColumn id="68" name="TOTAL DEDUCCION" totalsRowFunction="sum" dataDxfId="291" totalsRowDxfId="290">
      <calculatedColumnFormula>Tbl_planilla[[#This Row],[TOTAL DE DEDUCCIÓNES]]</calculatedColumnFormula>
    </tableColumn>
    <tableColumn id="69" name="SALARIO NETO" totalsRowFunction="sum" dataDxfId="289" totalsRowDxfId="288">
      <calculatedColumnFormula>ROUND(Tbl_planilla[[#This Row],[INGRESOS NETOS]],2)</calculatedColumnFormula>
    </tableColumn>
    <tableColumn id="29" name="DECIMO QUINCENAL" dataDxfId="287" totalsRowDxfId="286">
      <calculatedColumnFormula>Tbl_planilla[[#This Row],[INGRESOS BRUTOS]]/12</calculatedColumnFormula>
    </tableColumn>
    <tableColumn id="78" name="SEGURO SOCIAL DECIMO" dataDxfId="285" totalsRowDxfId="284">
      <calculatedColumnFormula>Tbl_planilla[[#This Row],[DECIMO QUINCENAL]]*EMPLEADO_DTM</calculatedColumnFormula>
    </tableColumn>
    <tableColumn id="80" name="NETO DECIMO" dataDxfId="283" totalsRowDxfId="282">
      <calculatedColumnFormula>Tbl_planilla[[#This Row],[DECIMO QUINCENAL]]-Tbl_planilla[[#This Row],[SEGURO SOCIAL DECIMO]]</calculatedColumnFormula>
    </tableColumn>
    <tableColumn id="81" name="VACACION QUINCENAL" dataDxfId="281" totalsRowDxfId="280">
      <calculatedColumnFormula>Tbl_planilla[[#This Row],[SALARIO BRUTO]]/11</calculatedColumnFormula>
    </tableColumn>
    <tableColumn id="82" name="S.S. VACACION" totalsRowFunction="sum" dataDxfId="279" totalsRowDxfId="278">
      <calculatedColumnFormula>Tbl_planilla[[#This Row],[SEGURO SOCIAL]]/11</calculatedColumnFormula>
    </tableColumn>
    <tableColumn id="85" name="S.E VACACION" dataDxfId="277" totalsRowDxfId="276">
      <calculatedColumnFormula>Tbl_planilla[[#This Row],[S.E]]/11</calculatedColumnFormula>
    </tableColumn>
    <tableColumn id="84" name="NETO VACACIONES" dataDxfId="275" totalsRowDxfId="274">
      <calculatedColumnFormula>Tbl_planilla[[#This Row],[VACACION QUINCENAL]]-Tbl_planilla[[#This Row],[S.S. VACACION]]</calculatedColumnFormula>
    </tableColumn>
    <tableColumn id="79" name="DECIMO VACACION" dataDxfId="273" totalsRowDxfId="272">
      <calculatedColumnFormula>Tbl_planilla[[#This Row],[VACACION QUINCENAL]]/12</calculatedColumnFormula>
    </tableColumn>
    <tableColumn id="83" name="SEGURO SOCIAL DECIMO VACACION" dataDxfId="271" totalsRowDxfId="270">
      <calculatedColumnFormula>Tbl_planilla[[#This Row],[DECIMO VACACION]]*EMPLEADO_DTM</calculatedColumnFormula>
    </tableColumn>
    <tableColumn id="86" name="NETO DECIMO VACACION" dataDxfId="269" totalsRowDxfId="268">
      <calculatedColumnFormula>Tbl_planilla[[#This Row],[DECIMO VACACION]]-Tbl_planilla[[#This Row],[SEGURO SOCIAL DECIMO VACACION]]</calculatedColumnFormula>
    </tableColumn>
  </tableColumns>
  <tableStyleInfo name="TableStyleMedium21" showFirstColumn="0" showLastColumn="0" showRowStripes="0" showColumnStripes="0"/>
</table>
</file>

<file path=xl/tables/table6.xml><?xml version="1.0" encoding="utf-8"?>
<table xmlns="http://schemas.openxmlformats.org/spreadsheetml/2006/main" id="18" name="Tabla18" displayName="Tabla18" ref="A1:H3" totalsRowCount="1" headerRowDxfId="267" dataDxfId="266">
  <autoFilter ref="A1:H2"/>
  <tableColumns count="8">
    <tableColumn id="1" name="FECHA DE REGISTRO" totalsRowLabel="Total" dataDxfId="265" totalsRowDxfId="264"/>
    <tableColumn id="2" name="ID PERSONAL" dataDxfId="263" totalsRowDxfId="262"/>
    <tableColumn id="3" name="COLABORADOR" dataDxfId="261" totalsRowDxfId="260"/>
    <tableColumn id="4" name="FECHA INICIAL" dataDxfId="259" totalsRowDxfId="258"/>
    <tableColumn id="5" name="FECHA FINAL" dataDxfId="257" totalsRowDxfId="256"/>
    <tableColumn id="6" name="TIEMPO DE INCAPACIDAD" totalsRowFunction="sum" dataDxfId="255" totalsRowDxfId="254"/>
    <tableColumn id="8" name="OBSERVACIONES" dataDxfId="253" totalsRowDxfId="252"/>
    <tableColumn id="7" name="USUARIO" totalsRowFunction="count" dataDxfId="251" totalsRowDxfId="250"/>
  </tableColumns>
  <tableStyleInfo name="TableStyleMedium20 2" showFirstColumn="0" showLastColumn="0" showRowStripes="1" showColumnStripes="0"/>
</table>
</file>

<file path=xl/tables/table7.xml><?xml version="1.0" encoding="utf-8"?>
<table xmlns="http://schemas.openxmlformats.org/spreadsheetml/2006/main" id="21" name="Tbl_Comision" displayName="Tbl_Comision" ref="A1:H2" totalsRowShown="0" headerRowDxfId="249" dataDxfId="248">
  <autoFilter ref="A1:H2"/>
  <tableColumns count="8">
    <tableColumn id="1" name="REGISTRADO" dataDxfId="247"/>
    <tableColumn id="2" name="ID PERSONAL" dataDxfId="246"/>
    <tableColumn id="3" name="NOMBRE" dataDxfId="245"/>
    <tableColumn id="4" name="QUINCENA DE CARGO" dataDxfId="244"/>
    <tableColumn id="7" name="MES DE CARGO" dataDxfId="243"/>
    <tableColumn id="5" name="COMISION" dataDxfId="242"/>
    <tableColumn id="6" name="DETALLE" dataDxfId="241"/>
    <tableColumn id="9" name="USUARIO" dataDxfId="240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24" name="Tbl_Ajuste" displayName="Tbl_Ajuste" ref="A1:H2" totalsRowShown="0" headerRowDxfId="239" dataDxfId="238">
  <autoFilter ref="A1:H2"/>
  <sortState ref="A2:H210">
    <sortCondition ref="B1:B320"/>
  </sortState>
  <tableColumns count="8">
    <tableColumn id="1" name="REGISTRADO" dataDxfId="237"/>
    <tableColumn id="2" name="ID PERSONAL" dataDxfId="236"/>
    <tableColumn id="3" name="NOMBRE" dataDxfId="235"/>
    <tableColumn id="4" name="QUINCENA DE CARGO" dataDxfId="234"/>
    <tableColumn id="10" name="MES DE CARGO" dataDxfId="233"/>
    <tableColumn id="5" name="AJUSTE" dataDxfId="232"/>
    <tableColumn id="6" name="DETALLE" dataDxfId="231"/>
    <tableColumn id="9" name="USUARIO" dataDxfId="230"/>
  </tableColumns>
  <tableStyleInfo name="TableStyleMedium18" showFirstColumn="0" showLastColumn="0" showRowStripes="1" showColumnStripes="0"/>
</table>
</file>

<file path=xl/tables/table9.xml><?xml version="1.0" encoding="utf-8"?>
<table xmlns="http://schemas.openxmlformats.org/spreadsheetml/2006/main" id="26" name="Tbl_Viatico" displayName="Tbl_Viatico" ref="A1:I2" totalsRowShown="0" headerRowDxfId="229" dataDxfId="228">
  <autoFilter ref="A1:I2"/>
  <tableColumns count="9">
    <tableColumn id="1" name="FECHA DE REGISTRO" dataDxfId="227"/>
    <tableColumn id="2" name="ID PERSONAL" dataDxfId="226"/>
    <tableColumn id="3" name="NOMBRE" dataDxfId="225"/>
    <tableColumn id="4" name="FECHA DE CARGO" dataDxfId="224"/>
    <tableColumn id="5" name="VIATICO" dataDxfId="223"/>
    <tableColumn id="6" name="DETALLE" dataDxfId="222"/>
    <tableColumn id="7" name="REFERENCIA" dataDxfId="221"/>
    <tableColumn id="8" name="COMPROBANTE" dataDxfId="220"/>
    <tableColumn id="9" name="USUARIO" dataDxfId="219"/>
  </tableColumns>
  <tableStyleInfo name="TableStyleMedium20" showFirstColumn="0" showLastColumn="0" showRowStripes="1" showColumnStripes="0"/>
</table>
</file>

<file path=xl/tables/table10.xml><?xml version="1.0" encoding="utf-8"?>
<table xmlns="http://schemas.openxmlformats.org/spreadsheetml/2006/main" id="23" name="Tbl_Exonerar" displayName="Tbl_Exonerar" ref="A1:G2" headerRowDxfId="218">
  <autoFilter ref="A1:G2"/>
  <tableColumns count="7">
    <tableColumn id="7" name="N°" dataDxfId="217"/>
    <tableColumn id="1" name="FECHA DE REGISTRO" totalsRowLabel="Total" dataDxfId="216"/>
    <tableColumn id="2" name="ID PERSONAL" dataDxfId="215"/>
    <tableColumn id="3" name="NOMBRE"/>
    <tableColumn id="4" name="QUINCENA DE EXONERACIÓN" dataDxfId="214"/>
    <tableColumn id="5" name="MOTIVO"/>
    <tableColumn id="6" name="USUARIO" totalsRowFunction="count" dataDxfId="213"/>
  </tableColumns>
  <tableStyleInfo name="TableStyleMedium1" showFirstColumn="0" showLastColumn="0" showRowStripes="0" showColumnStripes="0"/>
</table>
</file>

<file path=xl/tables/table11.xml><?xml version="1.0" encoding="utf-8"?>
<table xmlns="http://schemas.openxmlformats.org/spreadsheetml/2006/main" id="25" name="Tbl_Anular" displayName="Tbl_Anular" ref="A1:G2" totalsRowShown="0" headerRowDxfId="212" dataDxfId="211">
  <autoFilter ref="A1:G2"/>
  <tableColumns count="7">
    <tableColumn id="1" name="N°" dataDxfId="210"/>
    <tableColumn id="2" name="FECHA DE REGISTRO" dataDxfId="209"/>
    <tableColumn id="3" name="ID PERSONAL" dataDxfId="208"/>
    <tableColumn id="4" name="NOMBRE" dataDxfId="207"/>
    <tableColumn id="5" name="QUINCENA DE ANULACIÓN" dataDxfId="206"/>
    <tableColumn id="6" name="MOTIVO" dataDxfId="205"/>
    <tableColumn id="7" name="USUARIO" dataDxfId="204"/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id="11" name="Tbl_usuario" displayName="Tbl_usuario" ref="A1:BB2" totalsRowShown="0" headerRowDxfId="203" dataDxfId="202">
  <autoFilter ref="A1:BB2"/>
  <tableColumns count="54">
    <tableColumn id="1" name="USUARIO" dataDxfId="201"/>
    <tableColumn id="2" name="CONTRASEÑA" dataDxfId="200"/>
    <tableColumn id="3" name="PERMISOS" dataDxfId="199"/>
    <tableColumn id="4" name="HOJA 1 ID_PERSONAL " dataDxfId="198"/>
    <tableColumn id="5" name="HOJA 2 HORAS" dataDxfId="197"/>
    <tableColumn id="6" name="HOJA 3 CONSOLIDADO" dataDxfId="196"/>
    <tableColumn id="7" name="HOJA 4 PLANILLA" dataDxfId="195"/>
    <tableColumn id="11" name="HOJA 5 COLILLA" dataDxfId="194"/>
    <tableColumn id="8" name="HOJA 58 CALENDARIO" dataDxfId="193"/>
    <tableColumn id="12" name="HOJA 6 PUENTE" dataDxfId="192"/>
    <tableColumn id="9" name="HOJA 7 VACACIONES" dataDxfId="191"/>
    <tableColumn id="14" name="HOJA 8 CUENTAS" dataDxfId="190"/>
    <tableColumn id="13" name="HOJA 81 PARAMETROS" dataDxfId="189"/>
    <tableColumn id="15" name="HOJA 82 USUARIOS" dataDxfId="188"/>
    <tableColumn id="16" name="HOJA 83 LOGIN" dataDxfId="187"/>
    <tableColumn id="10" name="HOJA 9 CONSTANCIAS" dataDxfId="186"/>
    <tableColumn id="17" name="HOJA 10 ACCIONES" dataDxfId="185"/>
    <tableColumn id="18" name="HOJA11 COMPROBANTES" dataDxfId="184"/>
    <tableColumn id="19" name="HOJA12 DEPOSITO" dataDxfId="183"/>
    <tableColumn id="20" name="HOJA13 COMISIONES" dataDxfId="182"/>
    <tableColumn id="21" name="HOJA14 EXONERACIÓN" dataDxfId="181"/>
    <tableColumn id="22" name="HOJA15 ANULACIÓN" dataDxfId="180"/>
    <tableColumn id="42" name="HOJA 16 REPORTE" dataDxfId="179"/>
    <tableColumn id="43" name="HOJA 17 AJUSTES" dataDxfId="178"/>
    <tableColumn id="44" name="HOJA 18 VIATICOS" dataDxfId="177"/>
    <tableColumn id="46" name="HOJA19 CHEQUE" dataDxfId="176"/>
    <tableColumn id="47" name="HOJA 20 HISTORICO" dataDxfId="175"/>
    <tableColumn id="48" name="HOJA 21 DECIMO" dataDxfId="174"/>
    <tableColumn id="49" name="HOJA 22 CAJA" dataDxfId="173"/>
    <tableColumn id="50" name="HOJA 23 DECIMO" dataDxfId="172"/>
    <tableColumn id="51" name="HOJA 24 PRESTACION" dataDxfId="171"/>
    <tableColumn id="52" name="HOJA 25 RECIBO" dataDxfId="170"/>
    <tableColumn id="54" name="HOJA 26 DEDUCCIONES" dataDxfId="169"/>
    <tableColumn id="53" name="HOJA 27" dataDxfId="168"/>
    <tableColumn id="23" name="BOTON 1" dataDxfId="167"/>
    <tableColumn id="24" name="BOTON 2" dataDxfId="166"/>
    <tableColumn id="25" name="BOTON 3" dataDxfId="165"/>
    <tableColumn id="26" name="BOTON 4" dataDxfId="164"/>
    <tableColumn id="27" name="BOTON 5" dataDxfId="163"/>
    <tableColumn id="28" name="BOTON 6" dataDxfId="162"/>
    <tableColumn id="29" name="BOTON 7" dataDxfId="161"/>
    <tableColumn id="30" name="BOTON 8" dataDxfId="160"/>
    <tableColumn id="31" name="BOTON 9" dataDxfId="159"/>
    <tableColumn id="32" name="BOTON 10" dataDxfId="158"/>
    <tableColumn id="33" name="BOTON 11" dataDxfId="157"/>
    <tableColumn id="34" name="BOTON 12" dataDxfId="156"/>
    <tableColumn id="35" name="BOTON 13" dataDxfId="155"/>
    <tableColumn id="36" name="BOTON 14" dataDxfId="154"/>
    <tableColumn id="37" name="BOTON 15" dataDxfId="153"/>
    <tableColumn id="38" name="BOTON 16" dataDxfId="152"/>
    <tableColumn id="39" name="BOTON 17" dataDxfId="151"/>
    <tableColumn id="40" name="BOTON 18" dataDxfId="150"/>
    <tableColumn id="41" name="BOTON 19" dataDxfId="149"/>
    <tableColumn id="45" name="BOTON 20" dataDxfId="148"/>
  </tableColumns>
  <tableStyleInfo name="TableStyleMedium15" showFirstColumn="0" showLastColumn="0" showRowStripes="0" showColumnStripes="0"/>
</table>
</file>

<file path=xl/tables/table13.xml><?xml version="1.0" encoding="utf-8"?>
<table xmlns="http://schemas.openxmlformats.org/spreadsheetml/2006/main" id="5" name="Tabla_Feriados" displayName="Tabla_Feriados" ref="G3:H4" headerRowDxfId="147" dataDxfId="146" totalsRowDxfId="145">
  <autoFilter ref="G3:H4"/>
  <tableColumns count="2">
    <tableColumn id="4" name="FECHA" dataDxfId="144"/>
    <tableColumn id="2" name="DIAS DE DESCANSO OBLIGATORIO" dataDxfId="143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id="8" name="Tabla_Meses" displayName="Tabla_Meses" ref="X3:Y16" totalsRowShown="0" headerRowDxfId="142" dataDxfId="141">
  <autoFilter ref="X3:Y16"/>
  <tableColumns count="2">
    <tableColumn id="1" name="ID" dataDxfId="140"/>
    <tableColumn id="2" name="MES" dataDxfId="139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4" name="Tabla_Pago" displayName="Tabla_Pago" ref="N3:N5" totalsRowShown="0" headerRowDxfId="138" dataDxfId="137">
  <autoFilter ref="N3:N5"/>
  <tableColumns count="1">
    <tableColumn id="1" name="TIPO DE PAGO" dataDxfId="136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id="32" name="Tabla_Contratos" displayName="Tabla_Contratos" ref="J3:J6" totalsRowShown="0" headerRowDxfId="135" headerRowBorderDxfId="134">
  <autoFilter ref="J3:J6"/>
  <tableColumns count="1">
    <tableColumn id="1" name="CLASIFICACIÓN DE CONTRATO"/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2" name="Tabla12" displayName="Tabla12" ref="A3:E14" totalsRowShown="0">
  <autoFilter ref="A3:E14">
    <filterColumn colId="0" hiddenButton="1"/>
    <filterColumn colId="1" hiddenButton="1"/>
    <filterColumn colId="2" hiddenButton="1"/>
    <filterColumn colId="3" hiddenButton="1"/>
  </autoFilter>
  <tableColumns count="5">
    <tableColumn id="1" name="N°" dataDxfId="133"/>
    <tableColumn id="2" name="Contenido" dataDxfId="132"/>
    <tableColumn id="3" name="Nombre de Tabla" dataDxfId="131"/>
    <tableColumn id="4" name="Actualizacion" dataDxfId="130"/>
    <tableColumn id="5" name="Descripción" dataDxfId="12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19" name="Tabla_Id_Mes" displayName="Tabla_Id_Mes" ref="T3:T15" totalsRowShown="0" headerRowDxfId="128" dataDxfId="127">
  <autoFilter ref="T3:T15"/>
  <tableColumns count="1">
    <tableColumn id="1" name="ID MES" dataDxfId="126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20" name="Tabla_Años" displayName="Tabla_Años" ref="V3:V16" totalsRowShown="0" headerRowDxfId="125" dataDxfId="124">
  <autoFilter ref="V3:V16"/>
  <tableColumns count="1">
    <tableColumn id="1" name="AÑOS" dataDxfId="123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" name="Tabla_Reporte" displayName="Tabla_Reporte" ref="L3:L5" totalsRowShown="0" headerRowDxfId="122" dataDxfId="121" tableBorderDxfId="120">
  <autoFilter ref="L3:L5"/>
  <tableColumns count="1">
    <tableColumn id="1" name="CATEGORIA DE REPORTE" dataDxfId="119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id="29" name="Tabla_Regimen" displayName="Tabla_Regimen" ref="AA3:AC6" totalsRowShown="0" headerRowDxfId="118" dataDxfId="117">
  <autoFilter ref="AA3:AC6"/>
  <tableColumns count="3">
    <tableColumn id="1" name="REGIMEN" dataDxfId="116"/>
    <tableColumn id="16" name="EXTRAS" dataDxfId="115"/>
    <tableColumn id="3" name="COMPENSATORIO" dataDxfId="114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id="30" name="Tabla_Extra" displayName="Tabla_Extra" ref="AE3:AH6" totalsRowShown="0" headerRowDxfId="113" dataDxfId="112">
  <autoFilter ref="AE3:AH6"/>
  <tableColumns count="4">
    <tableColumn id="1" name="HORA EXTRA" dataDxfId="111"/>
    <tableColumn id="3" name="INICIO" dataDxfId="110"/>
    <tableColumn id="4" name="FIN" dataDxfId="109"/>
    <tableColumn id="2" name="RECARGO " dataDxfId="108"/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id="27" name="Tabla_Jornada" displayName="Tabla_Jornada" ref="AJ3:AU8" headerRowDxfId="107" dataDxfId="106" totalsRowDxfId="105">
  <autoFilter ref="AJ3:AU8"/>
  <tableColumns count="12">
    <tableColumn id="1" name="CATEGORIA" totalsRowLabel="Total" dataDxfId="104" totalsRowDxfId="103"/>
    <tableColumn id="2" name="HORAS DIA DE SEMANA" dataDxfId="102" totalsRowDxfId="101"/>
    <tableColumn id="10" name="ENTRADA" dataDxfId="100" totalsRowDxfId="99"/>
    <tableColumn id="11" name="DESCANSO" dataDxfId="98" totalsRowDxfId="97"/>
    <tableColumn id="12" name="SALIDA" dataDxfId="96" totalsRowDxfId="95">
      <calculatedColumnFormula>SUM(Tabla_Jornada[[#This Row],[HORAS DIA DE SEMANA]:[DESCANSO]])</calculatedColumnFormula>
    </tableColumn>
    <tableColumn id="27" name="HORAS SABADO" dataDxfId="94" totalsRowDxfId="93"/>
    <tableColumn id="26" name="ENTRADA SABADO" dataDxfId="92" totalsRowDxfId="91"/>
    <tableColumn id="17" name="DESCANSO SABADO" dataDxfId="90" totalsRowDxfId="89"/>
    <tableColumn id="16" name="SALIDA SABADO" dataDxfId="88" totalsRowDxfId="87">
      <calculatedColumnFormula>SUM(Tabla_Jornada[[#This Row],[HORAS SABADO]:[DESCANSO SABADO]])</calculatedColumnFormula>
    </tableColumn>
    <tableColumn id="8" name="JORNADA" totalsRowFunction="count" dataDxfId="86">
      <calculatedColumnFormula>SUM(Tabla_Jornada[[#This Row],[HORAS DIA DE SEMANA]]*5,Tabla_Jornada[[#This Row],[HORAS SABADO]])</calculatedColumnFormula>
    </tableColumn>
    <tableColumn id="3" name="SABADO EXONERADO" dataDxfId="85"/>
    <tableColumn id="32" name="COMENTARIOS" dataDxfId="84" totalsRowDxfId="83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">
    <tabColor theme="3" tint="-0.249977111117893"/>
  </sheetPr>
  <dimension ref="A1"/>
  <sheetViews>
    <sheetView showGridLines="0" showRowColHeaders="0" zoomScale="115" zoomScaleNormal="115" workbookViewId="0"/>
  </sheetViews>
  <sheetFormatPr baseColWidth="10" defaultRowHeight="14.4" x14ac:dyDescent="0.3"/>
  <sheetData/>
  <sheetProtection algorithmName="SHA-512" hashValue="eT1JxUzrmEmoUaO6cSngWyCHtmCJsI9g0C4ka1Uxv12nvh3t5nvbe1X+TS5T3Ji1HmFDc4qAaHyciJGBpzx+lQ==" saltValue="MUj+53R1+iv1iygp56WqBA==" spinCount="100000" sheet="1" objects="1" scenarios="1"/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lbl_usuario">
          <controlPr defaultSize="0" autoLine="0" r:id="rId5">
            <anchor moveWithCells="1">
              <from>
                <xdr:col>1</xdr:col>
                <xdr:colOff>480060</xdr:colOff>
                <xdr:row>11</xdr:row>
                <xdr:rowOff>22860</xdr:rowOff>
              </from>
              <to>
                <xdr:col>4</xdr:col>
                <xdr:colOff>274320</xdr:colOff>
                <xdr:row>13</xdr:row>
                <xdr:rowOff>38100</xdr:rowOff>
              </to>
            </anchor>
          </controlPr>
        </control>
      </mc:Choice>
      <mc:Fallback>
        <control shapeId="1026" r:id="rId4" name="lbl_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8" tint="-0.249977111117893"/>
  </sheetPr>
  <dimension ref="A1:U57"/>
  <sheetViews>
    <sheetView showGridLines="0" zoomScale="85" zoomScaleNormal="85" workbookViewId="0">
      <pane xSplit="2" topLeftCell="C1" activePane="topRight" state="frozen"/>
      <selection pane="topRight" activeCell="G4" sqref="G4"/>
    </sheetView>
  </sheetViews>
  <sheetFormatPr baseColWidth="10" defaultColWidth="11.44140625" defaultRowHeight="15.75" customHeight="1" x14ac:dyDescent="0.3"/>
  <cols>
    <col min="1" max="1" width="15.77734375" style="99" customWidth="1"/>
    <col min="2" max="2" width="38.5546875" style="100" customWidth="1"/>
    <col min="3" max="3" width="26" style="99" customWidth="1"/>
    <col min="4" max="4" width="19.77734375" style="99" customWidth="1"/>
    <col min="5" max="5" width="23.5546875" style="98" customWidth="1"/>
    <col min="6" max="6" width="24.21875" style="99" customWidth="1"/>
    <col min="7" max="7" width="32.77734375" style="99" customWidth="1"/>
    <col min="8" max="9" width="23.77734375" style="99" customWidth="1"/>
    <col min="10" max="10" width="15.77734375" style="98" customWidth="1"/>
    <col min="11" max="11" width="23.77734375" style="99" customWidth="1"/>
    <col min="12" max="12" width="27.21875" style="98" customWidth="1"/>
    <col min="13" max="13" width="26.21875" style="98" customWidth="1"/>
    <col min="14" max="14" width="24.21875" style="98" bestFit="1" customWidth="1"/>
    <col min="15" max="15" width="21.21875" style="99" customWidth="1"/>
    <col min="16" max="16" width="24.77734375" style="101" customWidth="1"/>
    <col min="17" max="17" width="27.21875" style="98" customWidth="1"/>
    <col min="18" max="18" width="20" style="99" customWidth="1"/>
    <col min="19" max="19" width="23.44140625" style="98" customWidth="1"/>
    <col min="20" max="21" width="11.44140625" style="98"/>
    <col min="22" max="22" width="26.44140625" style="99" customWidth="1"/>
    <col min="23" max="23" width="38.44140625" style="99" customWidth="1"/>
    <col min="24" max="16384" width="11.44140625" style="99"/>
  </cols>
  <sheetData>
    <row r="1" spans="1:21" s="103" customFormat="1" ht="30" customHeight="1" x14ac:dyDescent="0.3">
      <c r="A1" s="102" t="s">
        <v>5</v>
      </c>
      <c r="B1" s="103" t="s">
        <v>0</v>
      </c>
      <c r="C1" s="103" t="s">
        <v>221</v>
      </c>
      <c r="D1" s="103" t="s">
        <v>1</v>
      </c>
      <c r="E1" s="103" t="s">
        <v>443</v>
      </c>
      <c r="F1" s="103" t="s">
        <v>2</v>
      </c>
      <c r="G1" s="103" t="s">
        <v>240</v>
      </c>
      <c r="H1" s="103" t="s">
        <v>429</v>
      </c>
      <c r="I1" s="103" t="s">
        <v>370</v>
      </c>
      <c r="J1" s="104" t="s">
        <v>442</v>
      </c>
      <c r="K1" s="103" t="s">
        <v>329</v>
      </c>
      <c r="L1" s="105" t="s">
        <v>440</v>
      </c>
      <c r="M1" s="103" t="s">
        <v>441</v>
      </c>
      <c r="N1" s="103" t="s">
        <v>444</v>
      </c>
      <c r="O1" s="103" t="s">
        <v>426</v>
      </c>
      <c r="P1" s="103" t="s">
        <v>241</v>
      </c>
      <c r="Q1" s="105" t="s">
        <v>264</v>
      </c>
      <c r="R1" s="103" t="s">
        <v>462</v>
      </c>
    </row>
    <row r="2" spans="1:21" ht="15.75" customHeight="1" x14ac:dyDescent="0.3">
      <c r="A2" s="232">
        <v>0</v>
      </c>
      <c r="B2" s="257" t="s">
        <v>551</v>
      </c>
      <c r="C2" s="235" t="s">
        <v>521</v>
      </c>
      <c r="D2" s="235" t="s">
        <v>521</v>
      </c>
      <c r="E2" s="232" t="s">
        <v>220</v>
      </c>
      <c r="F2" s="232" t="s">
        <v>220</v>
      </c>
      <c r="G2" s="235" t="s">
        <v>435</v>
      </c>
      <c r="H2" s="232" t="s">
        <v>453</v>
      </c>
      <c r="I2" s="232" t="s">
        <v>238</v>
      </c>
      <c r="J2" s="280">
        <v>500</v>
      </c>
      <c r="K2" s="232" t="s">
        <v>457</v>
      </c>
      <c r="L2" s="233">
        <v>43800</v>
      </c>
      <c r="M2" s="233">
        <v>43830</v>
      </c>
      <c r="N2" s="235" t="s">
        <v>593</v>
      </c>
      <c r="O2" s="232" t="s">
        <v>355</v>
      </c>
      <c r="P2" s="232" t="s">
        <v>8</v>
      </c>
      <c r="Q2" s="233">
        <v>43935</v>
      </c>
      <c r="R2" s="234" t="str">
        <f ca="1">IF(Tbl_personal[[#This Row],[FIN CONTRATO]]="","",IF(Tbl_personal[[#This Row],[FIN CONTRATO]]&gt;TODAY(),CONCATENATE(Tbl_personal[[#This Row],[FIN CONTRATO]]-TODAY()," DIAS"),"FINALIZADO"))</f>
        <v>FINALIZADO</v>
      </c>
      <c r="S2" s="99"/>
      <c r="T2" s="99"/>
      <c r="U2" s="99"/>
    </row>
    <row r="3" spans="1:21" ht="15.75" customHeight="1" x14ac:dyDescent="0.3">
      <c r="A3" s="235">
        <v>1</v>
      </c>
      <c r="B3" s="257" t="s">
        <v>524</v>
      </c>
      <c r="C3" s="235" t="s">
        <v>525</v>
      </c>
      <c r="D3" s="235" t="s">
        <v>526</v>
      </c>
      <c r="E3" s="235" t="s">
        <v>220</v>
      </c>
      <c r="F3" s="235" t="s">
        <v>220</v>
      </c>
      <c r="G3" s="235" t="s">
        <v>434</v>
      </c>
      <c r="H3" s="235" t="s">
        <v>453</v>
      </c>
      <c r="I3" s="235" t="s">
        <v>238</v>
      </c>
      <c r="J3" s="282">
        <v>500</v>
      </c>
      <c r="K3" s="235" t="s">
        <v>457</v>
      </c>
      <c r="L3" s="283">
        <v>43800</v>
      </c>
      <c r="M3" s="284">
        <v>43830</v>
      </c>
      <c r="N3" s="235" t="s">
        <v>593</v>
      </c>
      <c r="O3" s="235" t="s">
        <v>355</v>
      </c>
      <c r="P3" s="284" t="s">
        <v>8</v>
      </c>
      <c r="Q3" s="283">
        <v>43935</v>
      </c>
      <c r="R3" s="285" t="str">
        <f ca="1">IF(Tbl_personal[[#This Row],[FIN CONTRATO]]="","",IF(Tbl_personal[[#This Row],[FIN CONTRATO]]&gt;TODAY(),CONCATENATE(Tbl_personal[[#This Row],[FIN CONTRATO]]-TODAY()," DIAS"),"FINALIZADO"))</f>
        <v>FINALIZADO</v>
      </c>
      <c r="S3" s="99"/>
      <c r="T3" s="99"/>
      <c r="U3" s="99"/>
    </row>
    <row r="4" spans="1:21" ht="15.75" customHeight="1" x14ac:dyDescent="0.3">
      <c r="A4" s="235">
        <v>2</v>
      </c>
      <c r="B4" s="257" t="s">
        <v>527</v>
      </c>
      <c r="C4" s="235" t="s">
        <v>528</v>
      </c>
      <c r="D4" s="235" t="s">
        <v>529</v>
      </c>
      <c r="E4" s="235" t="s">
        <v>530</v>
      </c>
      <c r="F4" s="235" t="s">
        <v>531</v>
      </c>
      <c r="G4" s="235" t="s">
        <v>434</v>
      </c>
      <c r="H4" s="235" t="s">
        <v>549</v>
      </c>
      <c r="I4" s="235" t="s">
        <v>174</v>
      </c>
      <c r="J4" s="282">
        <v>600</v>
      </c>
      <c r="K4" s="235" t="s">
        <v>532</v>
      </c>
      <c r="L4" s="283">
        <v>43966</v>
      </c>
      <c r="M4" s="235"/>
      <c r="N4" s="235" t="s">
        <v>593</v>
      </c>
      <c r="O4" s="235">
        <v>12345678</v>
      </c>
      <c r="P4" s="235" t="s">
        <v>8</v>
      </c>
      <c r="Q4" s="283">
        <v>44372</v>
      </c>
      <c r="R4" s="285" t="str">
        <f ca="1">IF(Tbl_personal[[#This Row],[FIN CONTRATO]]="","",IF(Tbl_personal[[#This Row],[FIN CONTRATO]]&gt;TODAY(),CONCATENATE(Tbl_personal[[#This Row],[FIN CONTRATO]]-TODAY()," DIAS"),"FINALIZADO"))</f>
        <v/>
      </c>
      <c r="S4" s="99"/>
      <c r="T4" s="99"/>
      <c r="U4" s="99"/>
    </row>
    <row r="5" spans="1:21" ht="15.75" customHeight="1" x14ac:dyDescent="0.3">
      <c r="A5" s="235">
        <v>3</v>
      </c>
      <c r="B5" s="257" t="s">
        <v>533</v>
      </c>
      <c r="C5" s="235" t="s">
        <v>534</v>
      </c>
      <c r="D5" s="235" t="s">
        <v>535</v>
      </c>
      <c r="E5" s="235" t="s">
        <v>536</v>
      </c>
      <c r="F5" s="235" t="s">
        <v>536</v>
      </c>
      <c r="G5" s="235" t="s">
        <v>434</v>
      </c>
      <c r="H5" s="235" t="s">
        <v>704</v>
      </c>
      <c r="I5" s="235" t="s">
        <v>174</v>
      </c>
      <c r="J5" s="282">
        <v>500</v>
      </c>
      <c r="K5" s="235" t="s">
        <v>457</v>
      </c>
      <c r="L5" s="283">
        <v>43291</v>
      </c>
      <c r="M5" s="284">
        <v>44377</v>
      </c>
      <c r="N5" s="235" t="s">
        <v>593</v>
      </c>
      <c r="O5" s="235">
        <v>87654321</v>
      </c>
      <c r="P5" s="235" t="s">
        <v>8</v>
      </c>
      <c r="Q5" s="283">
        <v>44411</v>
      </c>
      <c r="R5" s="285" t="str">
        <f ca="1">IF(Tbl_personal[[#This Row],[FIN CONTRATO]]="","",IF(Tbl_personal[[#This Row],[FIN CONTRATO]]&gt;TODAY(),CONCATENATE(Tbl_personal[[#This Row],[FIN CONTRATO]]-TODAY()," DIAS"),"FINALIZADO"))</f>
        <v>FINALIZADO</v>
      </c>
      <c r="S5" s="99"/>
      <c r="T5" s="99"/>
      <c r="U5" s="99"/>
    </row>
    <row r="6" spans="1:21" ht="15.75" customHeight="1" x14ac:dyDescent="0.3">
      <c r="A6" s="235">
        <v>4</v>
      </c>
      <c r="B6" s="257" t="s">
        <v>537</v>
      </c>
      <c r="C6" s="235" t="s">
        <v>538</v>
      </c>
      <c r="D6" s="235" t="s">
        <v>539</v>
      </c>
      <c r="E6" s="235" t="s">
        <v>540</v>
      </c>
      <c r="F6" s="235" t="s">
        <v>541</v>
      </c>
      <c r="G6" s="235" t="s">
        <v>689</v>
      </c>
      <c r="H6" s="235" t="s">
        <v>542</v>
      </c>
      <c r="I6" s="235" t="s">
        <v>174</v>
      </c>
      <c r="J6" s="282">
        <v>450</v>
      </c>
      <c r="K6" s="235" t="s">
        <v>543</v>
      </c>
      <c r="L6" s="283">
        <v>44625</v>
      </c>
      <c r="M6" s="284">
        <v>44819</v>
      </c>
      <c r="N6" s="235" t="s">
        <v>594</v>
      </c>
      <c r="O6" s="235">
        <v>98765432</v>
      </c>
      <c r="P6" s="235" t="s">
        <v>8</v>
      </c>
      <c r="Q6" s="283">
        <v>44846</v>
      </c>
      <c r="R6" s="285" t="str">
        <f ca="1">IF(Tbl_personal[[#This Row],[FIN CONTRATO]]="","",IF(Tbl_personal[[#This Row],[FIN CONTRATO]]&gt;TODAY(),CONCATENATE(Tbl_personal[[#This Row],[FIN CONTRATO]]-TODAY()," DIAS"),"FINALIZADO"))</f>
        <v>FINALIZADO</v>
      </c>
      <c r="S6" s="99"/>
      <c r="T6" s="99"/>
      <c r="U6" s="99"/>
    </row>
    <row r="7" spans="1:21" ht="15.75" customHeight="1" x14ac:dyDescent="0.3">
      <c r="A7" s="235">
        <v>5</v>
      </c>
      <c r="B7" s="257" t="s">
        <v>544</v>
      </c>
      <c r="C7" s="235" t="s">
        <v>545</v>
      </c>
      <c r="D7" s="235" t="s">
        <v>546</v>
      </c>
      <c r="E7" s="235" t="s">
        <v>548</v>
      </c>
      <c r="F7" s="235" t="s">
        <v>547</v>
      </c>
      <c r="G7" s="235" t="s">
        <v>435</v>
      </c>
      <c r="H7" s="235" t="s">
        <v>550</v>
      </c>
      <c r="I7" s="235" t="s">
        <v>238</v>
      </c>
      <c r="J7" s="282">
        <v>520</v>
      </c>
      <c r="K7" s="235" t="s">
        <v>457</v>
      </c>
      <c r="L7" s="283">
        <v>44081</v>
      </c>
      <c r="M7" s="284">
        <v>44439</v>
      </c>
      <c r="N7" s="235" t="s">
        <v>594</v>
      </c>
      <c r="O7" s="235">
        <v>23456789</v>
      </c>
      <c r="P7" s="235" t="s">
        <v>285</v>
      </c>
      <c r="Q7" s="283">
        <v>44519</v>
      </c>
      <c r="R7" s="285" t="str">
        <f ca="1">IF(Tbl_personal[[#This Row],[FIN CONTRATO]]="","",IF(Tbl_personal[[#This Row],[FIN CONTRATO]]&gt;TODAY(),CONCATENATE(Tbl_personal[[#This Row],[FIN CONTRATO]]-TODAY()," DIAS"),"FINALIZADO"))</f>
        <v>FINALIZADO</v>
      </c>
      <c r="S7" s="99"/>
      <c r="T7" s="99"/>
      <c r="U7" s="99"/>
    </row>
    <row r="8" spans="1:21" ht="15.75" customHeight="1" x14ac:dyDescent="0.3">
      <c r="A8" s="103"/>
      <c r="B8" s="268"/>
      <c r="C8" s="103"/>
      <c r="D8" s="103"/>
      <c r="E8" s="103"/>
      <c r="F8" s="103"/>
      <c r="G8" s="103"/>
      <c r="H8" s="103"/>
      <c r="I8" s="103"/>
      <c r="J8" s="301">
        <f>SUBTOTAL(109,Tbl_personal[SALARIO BASE])</f>
        <v>3070</v>
      </c>
      <c r="K8" s="103"/>
      <c r="L8" s="103"/>
      <c r="M8" s="103"/>
      <c r="N8" s="103"/>
      <c r="O8" s="103"/>
      <c r="P8" s="103"/>
      <c r="Q8" s="103">
        <f>SUBTOTAL(103,Tbl_personal[ULTIMA ACTUALIZACIÓN])</f>
        <v>6</v>
      </c>
      <c r="R8" s="103"/>
      <c r="S8" s="99"/>
      <c r="T8" s="99"/>
      <c r="U8" s="99"/>
    </row>
    <row r="9" spans="1:21" ht="15.75" customHeight="1" x14ac:dyDescent="0.3">
      <c r="S9" s="99"/>
      <c r="T9" s="99"/>
      <c r="U9" s="99"/>
    </row>
    <row r="10" spans="1:21" ht="15.75" customHeight="1" x14ac:dyDescent="0.3">
      <c r="S10" s="99"/>
      <c r="T10" s="99"/>
      <c r="U10" s="99"/>
    </row>
    <row r="11" spans="1:21" ht="15.75" customHeight="1" x14ac:dyDescent="0.3">
      <c r="S11" s="99"/>
      <c r="T11" s="99"/>
      <c r="U11" s="99"/>
    </row>
    <row r="12" spans="1:21" ht="15.75" customHeight="1" x14ac:dyDescent="0.3">
      <c r="S12" s="99"/>
      <c r="T12" s="99"/>
      <c r="U12" s="99"/>
    </row>
    <row r="13" spans="1:21" ht="15.75" customHeight="1" x14ac:dyDescent="0.3">
      <c r="S13" s="99"/>
      <c r="T13" s="99"/>
      <c r="U13" s="99"/>
    </row>
    <row r="14" spans="1:21" ht="15.75" customHeight="1" x14ac:dyDescent="0.3">
      <c r="S14" s="99"/>
      <c r="T14" s="99"/>
      <c r="U14" s="99"/>
    </row>
    <row r="15" spans="1:21" ht="15.75" customHeight="1" x14ac:dyDescent="0.3">
      <c r="J15" s="281"/>
      <c r="K15" s="98"/>
      <c r="L15" s="101"/>
      <c r="M15" s="101"/>
      <c r="Q15" s="101"/>
      <c r="S15" s="99"/>
      <c r="T15" s="99"/>
      <c r="U15" s="99"/>
    </row>
    <row r="16" spans="1:21" ht="15.75" customHeight="1" x14ac:dyDescent="0.3">
      <c r="J16" s="281"/>
      <c r="K16" s="98"/>
      <c r="L16" s="279"/>
      <c r="O16" s="98"/>
      <c r="P16" s="99"/>
      <c r="Q16" s="101"/>
      <c r="S16" s="99"/>
      <c r="T16" s="99"/>
      <c r="U16" s="99"/>
    </row>
    <row r="17" spans="10:21" ht="15.75" customHeight="1" x14ac:dyDescent="0.3">
      <c r="J17" s="281"/>
      <c r="K17" s="98"/>
      <c r="L17" s="279"/>
      <c r="M17" s="101"/>
      <c r="O17" s="98"/>
      <c r="P17" s="99"/>
      <c r="Q17" s="101"/>
      <c r="S17" s="99"/>
      <c r="T17" s="99"/>
      <c r="U17" s="99"/>
    </row>
    <row r="18" spans="10:21" ht="15.75" customHeight="1" x14ac:dyDescent="0.3">
      <c r="J18" s="281"/>
      <c r="K18" s="98"/>
      <c r="L18" s="279"/>
      <c r="M18" s="101"/>
      <c r="O18" s="98"/>
      <c r="P18" s="99"/>
      <c r="Q18" s="101"/>
      <c r="S18" s="99"/>
      <c r="T18" s="99"/>
      <c r="U18" s="99"/>
    </row>
    <row r="19" spans="10:21" ht="15.75" customHeight="1" x14ac:dyDescent="0.3">
      <c r="J19" s="281"/>
      <c r="K19" s="98"/>
      <c r="L19" s="279"/>
      <c r="M19" s="101"/>
      <c r="O19" s="98"/>
      <c r="P19" s="99"/>
      <c r="Q19" s="101"/>
      <c r="S19" s="99"/>
      <c r="T19" s="99"/>
      <c r="U19" s="99"/>
    </row>
    <row r="20" spans="10:21" ht="15.75" customHeight="1" x14ac:dyDescent="0.3">
      <c r="J20" s="281"/>
      <c r="S20" s="99"/>
      <c r="T20" s="99"/>
      <c r="U20" s="99"/>
    </row>
    <row r="21" spans="10:21" ht="15.75" customHeight="1" x14ac:dyDescent="0.3">
      <c r="S21" s="99"/>
      <c r="T21" s="99"/>
      <c r="U21" s="99"/>
    </row>
    <row r="22" spans="10:21" ht="15.75" customHeight="1" x14ac:dyDescent="0.3">
      <c r="S22" s="99"/>
      <c r="T22" s="99"/>
      <c r="U22" s="99"/>
    </row>
    <row r="23" spans="10:21" ht="15.75" customHeight="1" x14ac:dyDescent="0.3">
      <c r="S23" s="99"/>
      <c r="T23" s="99"/>
      <c r="U23" s="99"/>
    </row>
    <row r="24" spans="10:21" ht="15.75" customHeight="1" x14ac:dyDescent="0.3">
      <c r="S24" s="99"/>
      <c r="T24" s="99"/>
      <c r="U24" s="99"/>
    </row>
    <row r="25" spans="10:21" ht="15.75" customHeight="1" x14ac:dyDescent="0.3">
      <c r="S25" s="99"/>
      <c r="T25" s="99"/>
      <c r="U25" s="99"/>
    </row>
    <row r="26" spans="10:21" ht="15.75" customHeight="1" x14ac:dyDescent="0.3">
      <c r="S26" s="99"/>
      <c r="T26" s="99"/>
      <c r="U26" s="99"/>
    </row>
    <row r="27" spans="10:21" ht="15.75" customHeight="1" x14ac:dyDescent="0.3">
      <c r="S27" s="99"/>
      <c r="T27" s="99"/>
      <c r="U27" s="99"/>
    </row>
    <row r="28" spans="10:21" ht="15.75" customHeight="1" x14ac:dyDescent="0.3">
      <c r="S28" s="99"/>
      <c r="T28" s="99"/>
      <c r="U28" s="99"/>
    </row>
    <row r="29" spans="10:21" ht="15.75" customHeight="1" x14ac:dyDescent="0.3">
      <c r="S29" s="99"/>
      <c r="T29" s="99"/>
      <c r="U29" s="99"/>
    </row>
    <row r="30" spans="10:21" ht="15.75" customHeight="1" x14ac:dyDescent="0.3">
      <c r="S30" s="99"/>
      <c r="T30" s="99"/>
      <c r="U30" s="99"/>
    </row>
    <row r="31" spans="10:21" ht="15.75" customHeight="1" x14ac:dyDescent="0.3">
      <c r="S31" s="99"/>
      <c r="T31" s="99"/>
      <c r="U31" s="99"/>
    </row>
    <row r="32" spans="10:21" ht="15.75" customHeight="1" x14ac:dyDescent="0.3">
      <c r="S32" s="99"/>
      <c r="T32" s="99"/>
      <c r="U32" s="99"/>
    </row>
    <row r="33" spans="19:21" ht="15.75" customHeight="1" x14ac:dyDescent="0.3">
      <c r="S33" s="99"/>
      <c r="T33" s="99"/>
      <c r="U33" s="99"/>
    </row>
    <row r="34" spans="19:21" ht="15.75" customHeight="1" x14ac:dyDescent="0.3">
      <c r="S34" s="99"/>
      <c r="T34" s="99"/>
      <c r="U34" s="99"/>
    </row>
    <row r="35" spans="19:21" ht="15.75" customHeight="1" x14ac:dyDescent="0.3">
      <c r="S35" s="99"/>
      <c r="T35" s="99"/>
      <c r="U35" s="99"/>
    </row>
    <row r="36" spans="19:21" ht="15.75" customHeight="1" x14ac:dyDescent="0.3">
      <c r="S36" s="99"/>
      <c r="T36" s="99"/>
      <c r="U36" s="99"/>
    </row>
    <row r="37" spans="19:21" ht="15.75" customHeight="1" x14ac:dyDescent="0.3">
      <c r="S37" s="99"/>
      <c r="T37" s="99"/>
      <c r="U37" s="99"/>
    </row>
    <row r="38" spans="19:21" ht="15.75" customHeight="1" x14ac:dyDescent="0.3">
      <c r="S38" s="99"/>
      <c r="T38" s="99"/>
      <c r="U38" s="99"/>
    </row>
    <row r="39" spans="19:21" ht="15.75" customHeight="1" x14ac:dyDescent="0.3">
      <c r="S39" s="99"/>
      <c r="T39" s="99"/>
      <c r="U39" s="99"/>
    </row>
    <row r="40" spans="19:21" ht="15.75" customHeight="1" x14ac:dyDescent="0.3">
      <c r="S40" s="99"/>
      <c r="T40" s="99"/>
      <c r="U40" s="99"/>
    </row>
    <row r="41" spans="19:21" ht="15.75" customHeight="1" x14ac:dyDescent="0.3">
      <c r="S41" s="99"/>
      <c r="T41" s="99"/>
      <c r="U41" s="99"/>
    </row>
    <row r="42" spans="19:21" ht="15.75" customHeight="1" x14ac:dyDescent="0.3">
      <c r="S42" s="99"/>
      <c r="T42" s="99"/>
      <c r="U42" s="99"/>
    </row>
    <row r="43" spans="19:21" ht="15.75" customHeight="1" x14ac:dyDescent="0.3">
      <c r="S43" s="99"/>
      <c r="T43" s="99"/>
      <c r="U43" s="99"/>
    </row>
    <row r="44" spans="19:21" ht="15.75" customHeight="1" x14ac:dyDescent="0.3">
      <c r="S44" s="99"/>
      <c r="T44" s="99"/>
      <c r="U44" s="99"/>
    </row>
    <row r="45" spans="19:21" ht="15.75" customHeight="1" x14ac:dyDescent="0.3">
      <c r="S45" s="99"/>
      <c r="T45" s="99"/>
      <c r="U45" s="99"/>
    </row>
    <row r="46" spans="19:21" ht="15.75" customHeight="1" x14ac:dyDescent="0.3">
      <c r="S46" s="99"/>
      <c r="T46" s="99"/>
      <c r="U46" s="99"/>
    </row>
    <row r="47" spans="19:21" ht="15.75" customHeight="1" x14ac:dyDescent="0.3">
      <c r="S47" s="99"/>
      <c r="T47" s="99"/>
      <c r="U47" s="99"/>
    </row>
    <row r="48" spans="19:21" ht="15.75" customHeight="1" x14ac:dyDescent="0.3">
      <c r="S48" s="99"/>
      <c r="T48" s="99"/>
      <c r="U48" s="99"/>
    </row>
    <row r="49" spans="1:21" ht="15.75" customHeight="1" x14ac:dyDescent="0.3">
      <c r="S49" s="99"/>
      <c r="T49" s="99"/>
      <c r="U49" s="99"/>
    </row>
    <row r="50" spans="1:21" ht="15.75" customHeight="1" x14ac:dyDescent="0.3">
      <c r="S50" s="99"/>
      <c r="T50" s="99"/>
      <c r="U50" s="99"/>
    </row>
    <row r="51" spans="1:21" ht="15.75" customHeight="1" x14ac:dyDescent="0.3">
      <c r="S51" s="99"/>
      <c r="T51" s="99"/>
      <c r="U51" s="99"/>
    </row>
    <row r="52" spans="1:21" ht="15.75" customHeight="1" x14ac:dyDescent="0.3">
      <c r="S52" s="99"/>
      <c r="T52" s="99"/>
      <c r="U52" s="99"/>
    </row>
    <row r="53" spans="1:21" ht="15.75" customHeight="1" x14ac:dyDescent="0.3">
      <c r="S53" s="99"/>
      <c r="T53" s="99"/>
      <c r="U53" s="99"/>
    </row>
    <row r="54" spans="1:21" ht="15.75" customHeight="1" x14ac:dyDescent="0.3">
      <c r="S54" s="99"/>
      <c r="T54" s="99"/>
      <c r="U54" s="99"/>
    </row>
    <row r="55" spans="1:21" ht="15.75" customHeight="1" x14ac:dyDescent="0.3">
      <c r="S55" s="99"/>
      <c r="T55" s="99"/>
      <c r="U55" s="99"/>
    </row>
    <row r="56" spans="1:21" ht="15.75" customHeight="1" x14ac:dyDescent="0.3">
      <c r="S56" s="99"/>
      <c r="T56" s="99"/>
      <c r="U56" s="99"/>
    </row>
    <row r="57" spans="1:21" s="103" customFormat="1" ht="15.75" customHeight="1" x14ac:dyDescent="0.3">
      <c r="A57" s="99"/>
      <c r="B57" s="100"/>
      <c r="C57" s="99"/>
      <c r="D57" s="99"/>
      <c r="E57" s="98"/>
      <c r="F57" s="99"/>
      <c r="G57" s="99"/>
      <c r="H57" s="99"/>
      <c r="I57" s="99"/>
      <c r="J57" s="98"/>
      <c r="K57" s="99"/>
      <c r="L57" s="98"/>
      <c r="M57" s="98"/>
      <c r="N57" s="98"/>
      <c r="O57" s="99"/>
      <c r="P57" s="101"/>
      <c r="Q57" s="98"/>
      <c r="R57" s="99"/>
    </row>
  </sheetData>
  <sortState ref="A2:R7">
    <sortCondition ref="B1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-0.249977111117893"/>
    <pageSetUpPr fitToPage="1"/>
  </sheetPr>
  <dimension ref="A1:AD36"/>
  <sheetViews>
    <sheetView showGridLines="0" tabSelected="1" topLeftCell="D1" zoomScaleNormal="100" workbookViewId="0">
      <selection activeCell="O2" sqref="O2"/>
    </sheetView>
  </sheetViews>
  <sheetFormatPr baseColWidth="10" defaultRowHeight="14.4" x14ac:dyDescent="0.3"/>
  <cols>
    <col min="1" max="1" width="19.21875" style="87" customWidth="1"/>
    <col min="2" max="2" width="17.77734375" style="2" customWidth="1"/>
    <col min="3" max="3" width="39.21875" style="2" customWidth="1"/>
    <col min="4" max="4" width="16" style="2" bestFit="1" customWidth="1"/>
    <col min="5" max="6" width="16" style="2" customWidth="1"/>
    <col min="7" max="7" width="21.77734375" style="20" customWidth="1"/>
    <col min="8" max="8" width="20.21875" style="20" customWidth="1"/>
    <col min="9" max="9" width="17.21875" style="20" customWidth="1"/>
    <col min="10" max="10" width="20.21875" style="20" customWidth="1"/>
    <col min="11" max="11" width="11.44140625" customWidth="1"/>
    <col min="12" max="12" width="16" customWidth="1"/>
    <col min="13" max="13" width="16.21875" customWidth="1"/>
    <col min="14" max="14" width="13.5546875" style="22" bestFit="1" customWidth="1"/>
    <col min="15" max="15" width="20.5546875" customWidth="1"/>
    <col min="16" max="16" width="27.21875" customWidth="1"/>
    <col min="17" max="17" width="23.5546875" bestFit="1" customWidth="1"/>
    <col min="18" max="18" width="18.21875" customWidth="1"/>
    <col min="19" max="19" width="26" customWidth="1"/>
    <col min="20" max="22" width="23.5546875" bestFit="1" customWidth="1"/>
    <col min="23" max="23" width="18.5546875" customWidth="1"/>
    <col min="24" max="24" width="15.77734375" style="22" customWidth="1"/>
    <col min="25" max="25" width="17.77734375" customWidth="1"/>
    <col min="26" max="26" width="25" style="22" bestFit="1" customWidth="1"/>
    <col min="27" max="27" width="28" style="23" bestFit="1" customWidth="1"/>
    <col min="28" max="29" width="18.44140625" style="23" customWidth="1"/>
    <col min="30" max="30" width="18.5546875" style="23" customWidth="1"/>
    <col min="31" max="31" width="21.21875" bestFit="1" customWidth="1"/>
    <col min="32" max="32" width="22" customWidth="1"/>
  </cols>
  <sheetData>
    <row r="1" spans="1:30" ht="48" customHeight="1" x14ac:dyDescent="0.3">
      <c r="A1" s="86" t="s">
        <v>4</v>
      </c>
      <c r="B1" s="56" t="s">
        <v>5</v>
      </c>
      <c r="C1" s="56" t="s">
        <v>6</v>
      </c>
      <c r="D1" s="56" t="s">
        <v>66</v>
      </c>
      <c r="E1" s="56" t="s">
        <v>289</v>
      </c>
      <c r="F1" s="56" t="s">
        <v>290</v>
      </c>
      <c r="G1" s="57" t="s">
        <v>287</v>
      </c>
      <c r="H1" s="57" t="s">
        <v>288</v>
      </c>
      <c r="I1" s="57" t="s">
        <v>240</v>
      </c>
      <c r="J1" s="57" t="s">
        <v>429</v>
      </c>
      <c r="K1" s="58" t="s">
        <v>11</v>
      </c>
      <c r="L1" s="58" t="s">
        <v>69</v>
      </c>
      <c r="M1" s="58" t="s">
        <v>67</v>
      </c>
      <c r="N1" s="58" t="s">
        <v>68</v>
      </c>
      <c r="O1" s="58" t="s">
        <v>404</v>
      </c>
      <c r="P1" s="58" t="s">
        <v>324</v>
      </c>
      <c r="Q1" s="56" t="s">
        <v>244</v>
      </c>
      <c r="R1" s="56" t="s">
        <v>243</v>
      </c>
      <c r="S1" s="56" t="s">
        <v>328</v>
      </c>
      <c r="T1" s="56" t="s">
        <v>237</v>
      </c>
      <c r="U1" s="56" t="s">
        <v>70</v>
      </c>
      <c r="V1" s="56" t="s">
        <v>450</v>
      </c>
      <c r="W1" s="56" t="s">
        <v>71</v>
      </c>
      <c r="X1" s="56" t="s">
        <v>72</v>
      </c>
      <c r="Y1" s="56" t="s">
        <v>217</v>
      </c>
      <c r="Z1" s="56" t="s">
        <v>218</v>
      </c>
      <c r="AA1"/>
      <c r="AB1"/>
      <c r="AC1"/>
      <c r="AD1"/>
    </row>
    <row r="2" spans="1:30" ht="17.25" customHeight="1" x14ac:dyDescent="0.3">
      <c r="A2" s="85">
        <v>43916</v>
      </c>
      <c r="B2" s="266">
        <v>1</v>
      </c>
      <c r="C2" s="176" t="str">
        <f>IFERROR(VLOOKUP(Tbl_tiempo[[#This Row],[ID PERSONAL]],Tbl_personal[],2,0),"")</f>
        <v>Smith John</v>
      </c>
      <c r="D2" s="176" t="str">
        <f>CONCATENATE(Tbl_tiempo[[#This Row],[ID PERSONAL]],Tbl_tiempo[[#This Row],[FECHA]])</f>
        <v>143916</v>
      </c>
      <c r="E2" s="267">
        <v>0.33333333333333331</v>
      </c>
      <c r="F2" s="267">
        <v>0.53263888888888888</v>
      </c>
      <c r="G2" s="26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0.33333333333333331</v>
      </c>
      <c r="H2" s="267">
        <f>IFERROR(Tbl_tiempo[[#This Row],[MARCA FINAL]],"")</f>
        <v>0.53263888888888888</v>
      </c>
      <c r="I2" s="267" t="str">
        <f>IFERROR(VLOOKUP(Tbl_tiempo[[#This Row],[ID PERSONAL]],Tbl_personal[],7,0),"")</f>
        <v>EXTRAS</v>
      </c>
      <c r="J2" s="267" t="str">
        <f>IFERROR(VLOOKUP(Tbl_tiempo[[#This Row],[ID PERSONAL]],Tbl_personal[],8,0),"")</f>
        <v>ADMINISTRACION_J1</v>
      </c>
      <c r="K2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0.19930555555555557</v>
      </c>
      <c r="L2" s="21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>0.35694444444444456</v>
      </c>
      <c r="M2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2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2" s="2" t="s">
        <v>406</v>
      </c>
      <c r="P2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/>
      </c>
      <c r="Q2" s="21"/>
      <c r="R2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2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2" s="53"/>
      <c r="U2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2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2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2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2" s="176" t="str">
        <f>IF(COUNTIF(Tbl_tiempo[REFERENCIA UNICA],Tbl_tiempo[[#This Row],[REFERENCIA UNICA]])&gt;1,"REPETIDO","UNICO")</f>
        <v>UNICO</v>
      </c>
      <c r="Z2" s="265" t="str">
        <f>CONCATENATE(Tbl_tiempo[[#This Row],[ID PERSONAL]],Tbl_tiempo[[#This Row],[FECHA]],Tbl_tiempo[[#This Row],[MARCA INICIAL]],Tbl_tiempo[[#This Row],[MARCA FINAL]])</f>
        <v>1439160.3333333333333330.532638888888889</v>
      </c>
    </row>
    <row r="3" spans="1:30" x14ac:dyDescent="0.3">
      <c r="A3" s="85">
        <v>43916</v>
      </c>
      <c r="B3" s="275">
        <v>1</v>
      </c>
      <c r="C3" s="176" t="str">
        <f>IFERROR(VLOOKUP(Tbl_tiempo[[#This Row],[ID PERSONAL]],Tbl_personal[],2,0),"")</f>
        <v>Smith John</v>
      </c>
      <c r="D3" s="176" t="str">
        <f>CONCATENATE(Tbl_tiempo[[#This Row],[ID PERSONAL]],Tbl_tiempo[[#This Row],[FECHA]])</f>
        <v>143916</v>
      </c>
      <c r="E3" s="287">
        <v>0.54166666666666663</v>
      </c>
      <c r="F3" s="287">
        <v>0.69930555555555562</v>
      </c>
      <c r="G3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0.54166666666666663</v>
      </c>
      <c r="H3" s="287">
        <f>IFERROR(Tbl_tiempo[[#This Row],[MARCA FINAL]],"")</f>
        <v>0.69930555555555562</v>
      </c>
      <c r="I3" s="287" t="str">
        <f>IFERROR(VLOOKUP(Tbl_tiempo[[#This Row],[ID PERSONAL]],Tbl_personal[],7,0),"")</f>
        <v>EXTRAS</v>
      </c>
      <c r="J3" s="287" t="str">
        <f>IFERROR(VLOOKUP(Tbl_tiempo[[#This Row],[ID PERSONAL]],Tbl_personal[],8,0),"")</f>
        <v>ADMINISTRACION_J1</v>
      </c>
      <c r="K3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0.15763888888888899</v>
      </c>
      <c r="L3" s="21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>0.35694444444444456</v>
      </c>
      <c r="M3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3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3" s="2"/>
      <c r="P3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/>
      </c>
      <c r="Q3" s="21"/>
      <c r="R3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3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3" s="53"/>
      <c r="U3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3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3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3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3" s="176" t="str">
        <f>IF(COUNTIF(Tbl_tiempo[REFERENCIA UNICA],Tbl_tiempo[[#This Row],[REFERENCIA UNICA]])&gt;1,"REPETIDO","UNICO")</f>
        <v>UNICO</v>
      </c>
      <c r="Z3" s="265" t="str">
        <f>CONCATENATE(Tbl_tiempo[[#This Row],[ID PERSONAL]],Tbl_tiempo[[#This Row],[FECHA]],Tbl_tiempo[[#This Row],[MARCA INICIAL]],Tbl_tiempo[[#This Row],[MARCA FINAL]])</f>
        <v>1439160.5416666666666670.699305555555556</v>
      </c>
    </row>
    <row r="4" spans="1:30" x14ac:dyDescent="0.3">
      <c r="A4" s="85">
        <v>43917</v>
      </c>
      <c r="B4" s="275">
        <v>1</v>
      </c>
      <c r="C4" s="176" t="str">
        <f>IFERROR(VLOOKUP(Tbl_tiempo[[#This Row],[ID PERSONAL]],Tbl_personal[],2,0),"")</f>
        <v>Smith John</v>
      </c>
      <c r="D4" s="176" t="str">
        <f>CONCATENATE(Tbl_tiempo[[#This Row],[ID PERSONAL]],Tbl_tiempo[[#This Row],[FECHA]])</f>
        <v>143917</v>
      </c>
      <c r="E4" s="287">
        <v>0.33680555555555558</v>
      </c>
      <c r="F4" s="287">
        <v>0.57638888888888895</v>
      </c>
      <c r="G4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0.33333333333333331</v>
      </c>
      <c r="H4" s="287">
        <f>IFERROR(Tbl_tiempo[[#This Row],[MARCA FINAL]],"")</f>
        <v>0.57638888888888895</v>
      </c>
      <c r="I4" s="287" t="str">
        <f>IFERROR(VLOOKUP(Tbl_tiempo[[#This Row],[ID PERSONAL]],Tbl_personal[],7,0),"")</f>
        <v>EXTRAS</v>
      </c>
      <c r="J4" s="287" t="str">
        <f>IFERROR(VLOOKUP(Tbl_tiempo[[#This Row],[ID PERSONAL]],Tbl_personal[],8,0),"")</f>
        <v>ADMINISTRACION_J1</v>
      </c>
      <c r="K4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0.24305555555555564</v>
      </c>
      <c r="L4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4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4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4" s="2"/>
      <c r="P4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4" s="21"/>
      <c r="R4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4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4" s="53"/>
      <c r="U4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4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4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4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4" s="176" t="str">
        <f>IF(COUNTIF(Tbl_tiempo[REFERENCIA UNICA],Tbl_tiempo[[#This Row],[REFERENCIA UNICA]])&gt;1,"REPETIDO","UNICO")</f>
        <v>UNICO</v>
      </c>
      <c r="Z4" s="265" t="str">
        <f>CONCATENATE(Tbl_tiempo[[#This Row],[ID PERSONAL]],Tbl_tiempo[[#This Row],[FECHA]],Tbl_tiempo[[#This Row],[MARCA INICIAL]],Tbl_tiempo[[#This Row],[MARCA FINAL]])</f>
        <v>1439170.3368055555555560.576388888888889</v>
      </c>
    </row>
    <row r="5" spans="1:30" x14ac:dyDescent="0.3">
      <c r="A5" s="85">
        <v>43918</v>
      </c>
      <c r="B5" s="275">
        <v>1</v>
      </c>
      <c r="C5" s="176" t="str">
        <f>IFERROR(VLOOKUP(Tbl_tiempo[[#This Row],[ID PERSONAL]],Tbl_personal[],2,0),"")</f>
        <v>Smith John</v>
      </c>
      <c r="D5" s="176" t="str">
        <f>CONCATENATE(Tbl_tiempo[[#This Row],[ID PERSONAL]],Tbl_tiempo[[#This Row],[FECHA]])</f>
        <v>143918</v>
      </c>
      <c r="E5" s="287">
        <v>0.34027777777777773</v>
      </c>
      <c r="F5" s="287">
        <v>0.57986111111111105</v>
      </c>
      <c r="G5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0.34027777777777773</v>
      </c>
      <c r="H5" s="287">
        <f>IFERROR(Tbl_tiempo[[#This Row],[MARCA FINAL]],"")</f>
        <v>0.57986111111111105</v>
      </c>
      <c r="I5" s="287" t="str">
        <f>IFERROR(VLOOKUP(Tbl_tiempo[[#This Row],[ID PERSONAL]],Tbl_personal[],7,0),"")</f>
        <v>EXTRAS</v>
      </c>
      <c r="J5" s="287" t="str">
        <f>IFERROR(VLOOKUP(Tbl_tiempo[[#This Row],[ID PERSONAL]],Tbl_personal[],8,0),"")</f>
        <v>ADMINISTRACION_J1</v>
      </c>
      <c r="K5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5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5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5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5" s="2"/>
      <c r="P5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/>
      </c>
      <c r="Q5" s="21"/>
      <c r="R5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5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5" s="53"/>
      <c r="U5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5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5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5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5" s="176" t="str">
        <f>IF(COUNTIF(Tbl_tiempo[REFERENCIA UNICA],Tbl_tiempo[[#This Row],[REFERENCIA UNICA]])&gt;1,"REPETIDO","UNICO")</f>
        <v>UNICO</v>
      </c>
      <c r="Z5" s="265" t="str">
        <f>CONCATENATE(Tbl_tiempo[[#This Row],[ID PERSONAL]],Tbl_tiempo[[#This Row],[FECHA]],Tbl_tiempo[[#This Row],[MARCA INICIAL]],Tbl_tiempo[[#This Row],[MARCA FINAL]])</f>
        <v>1439180.3402777777777780.579861111111111</v>
      </c>
    </row>
    <row r="6" spans="1:30" x14ac:dyDescent="0.3">
      <c r="A6" s="85">
        <v>43919</v>
      </c>
      <c r="B6" s="275">
        <v>1</v>
      </c>
      <c r="C6" s="176" t="str">
        <f>IFERROR(VLOOKUP(Tbl_tiempo[[#This Row],[ID PERSONAL]],Tbl_personal[],2,0),"")</f>
        <v>Smith John</v>
      </c>
      <c r="D6" s="176" t="str">
        <f>CONCATENATE(Tbl_tiempo[[#This Row],[ID PERSONAL]],Tbl_tiempo[[#This Row],[FECHA]])</f>
        <v>143919</v>
      </c>
      <c r="E6" s="287">
        <v>0.34375</v>
      </c>
      <c r="F6" s="287">
        <v>0.58333333333333337</v>
      </c>
      <c r="G6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0.34375</v>
      </c>
      <c r="H6" s="287">
        <f>IFERROR(Tbl_tiempo[[#This Row],[MARCA FINAL]],"")</f>
        <v>0.58333333333333337</v>
      </c>
      <c r="I6" s="287" t="str">
        <f>IFERROR(VLOOKUP(Tbl_tiempo[[#This Row],[ID PERSONAL]],Tbl_personal[],7,0),"")</f>
        <v>EXTRAS</v>
      </c>
      <c r="J6" s="287" t="str">
        <f>IFERROR(VLOOKUP(Tbl_tiempo[[#This Row],[ID PERSONAL]],Tbl_personal[],8,0),"")</f>
        <v>ADMINISTRACION_J1</v>
      </c>
      <c r="K6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0.23958333333333337</v>
      </c>
      <c r="L6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6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6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6" s="2"/>
      <c r="P6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6" s="21"/>
      <c r="R6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6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6" s="53"/>
      <c r="U6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6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6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6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6" s="176" t="str">
        <f>IF(COUNTIF(Tbl_tiempo[REFERENCIA UNICA],Tbl_tiempo[[#This Row],[REFERENCIA UNICA]])&gt;1,"REPETIDO","UNICO")</f>
        <v>UNICO</v>
      </c>
      <c r="Z6" s="265" t="str">
        <f>CONCATENATE(Tbl_tiempo[[#This Row],[ID PERSONAL]],Tbl_tiempo[[#This Row],[FECHA]],Tbl_tiempo[[#This Row],[MARCA INICIAL]],Tbl_tiempo[[#This Row],[MARCA FINAL]])</f>
        <v>1439190.343750.583333333333333</v>
      </c>
    </row>
    <row r="7" spans="1:30" x14ac:dyDescent="0.3">
      <c r="A7" s="85">
        <v>43920</v>
      </c>
      <c r="B7" s="275">
        <v>1</v>
      </c>
      <c r="C7" s="176" t="str">
        <f>IFERROR(VLOOKUP(Tbl_tiempo[[#This Row],[ID PERSONAL]],Tbl_personal[],2,0),"")</f>
        <v>Smith John</v>
      </c>
      <c r="D7" s="176" t="str">
        <f>CONCATENATE(Tbl_tiempo[[#This Row],[ID PERSONAL]],Tbl_tiempo[[#This Row],[FECHA]])</f>
        <v>143920</v>
      </c>
      <c r="E7" s="287">
        <v>0.34722222222222227</v>
      </c>
      <c r="F7" s="287">
        <v>0.58680555555555558</v>
      </c>
      <c r="G7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0.34722222222222227</v>
      </c>
      <c r="H7" s="287">
        <f>IFERROR(Tbl_tiempo[[#This Row],[MARCA FINAL]],"")</f>
        <v>0.58680555555555558</v>
      </c>
      <c r="I7" s="287" t="str">
        <f>IFERROR(VLOOKUP(Tbl_tiempo[[#This Row],[ID PERSONAL]],Tbl_personal[],7,0),"")</f>
        <v>EXTRAS</v>
      </c>
      <c r="J7" s="287" t="str">
        <f>IFERROR(VLOOKUP(Tbl_tiempo[[#This Row],[ID PERSONAL]],Tbl_personal[],8,0),"")</f>
        <v>ADMINISTRACION_J1</v>
      </c>
      <c r="K7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7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7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7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7" s="2"/>
      <c r="P7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7" s="21"/>
      <c r="R7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7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7" s="53"/>
      <c r="U7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7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7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7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7" s="176" t="str">
        <f>IF(COUNTIF(Tbl_tiempo[REFERENCIA UNICA],Tbl_tiempo[[#This Row],[REFERENCIA UNICA]])&gt;1,"REPETIDO","UNICO")</f>
        <v>UNICO</v>
      </c>
      <c r="Z7" s="265" t="str">
        <f>CONCATENATE(Tbl_tiempo[[#This Row],[ID PERSONAL]],Tbl_tiempo[[#This Row],[FECHA]],Tbl_tiempo[[#This Row],[MARCA INICIAL]],Tbl_tiempo[[#This Row],[MARCA FINAL]])</f>
        <v>1439200.3472222222222220.586805555555556</v>
      </c>
    </row>
    <row r="8" spans="1:30" x14ac:dyDescent="0.3">
      <c r="A8" s="85">
        <v>43921</v>
      </c>
      <c r="B8" s="275">
        <v>1</v>
      </c>
      <c r="C8" s="176" t="str">
        <f>IFERROR(VLOOKUP(Tbl_tiempo[[#This Row],[ID PERSONAL]],Tbl_personal[],2,0),"")</f>
        <v>Smith John</v>
      </c>
      <c r="D8" s="176" t="str">
        <f>CONCATENATE(Tbl_tiempo[[#This Row],[ID PERSONAL]],Tbl_tiempo[[#This Row],[FECHA]])</f>
        <v>143921</v>
      </c>
      <c r="E8" s="287">
        <v>0.35069444444444442</v>
      </c>
      <c r="F8" s="287">
        <v>0.59027777777777779</v>
      </c>
      <c r="G8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0.35069444444444442</v>
      </c>
      <c r="H8" s="287">
        <f>IFERROR(Tbl_tiempo[[#This Row],[MARCA FINAL]],"")</f>
        <v>0.59027777777777779</v>
      </c>
      <c r="I8" s="287" t="str">
        <f>IFERROR(VLOOKUP(Tbl_tiempo[[#This Row],[ID PERSONAL]],Tbl_personal[],7,0),"")</f>
        <v>EXTRAS</v>
      </c>
      <c r="J8" s="287" t="str">
        <f>IFERROR(VLOOKUP(Tbl_tiempo[[#This Row],[ID PERSONAL]],Tbl_personal[],8,0),"")</f>
        <v>ADMINISTRACION_J1</v>
      </c>
      <c r="K8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0.23958333333333337</v>
      </c>
      <c r="L8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8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8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8" s="2"/>
      <c r="P8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8" s="21"/>
      <c r="R8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8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8" s="53"/>
      <c r="U8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8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8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8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8" s="176" t="str">
        <f>IF(COUNTIF(Tbl_tiempo[REFERENCIA UNICA],Tbl_tiempo[[#This Row],[REFERENCIA UNICA]])&gt;1,"REPETIDO","UNICO")</f>
        <v>UNICO</v>
      </c>
      <c r="Z8" s="265" t="str">
        <f>CONCATENATE(Tbl_tiempo[[#This Row],[ID PERSONAL]],Tbl_tiempo[[#This Row],[FECHA]],Tbl_tiempo[[#This Row],[MARCA INICIAL]],Tbl_tiempo[[#This Row],[MARCA FINAL]])</f>
        <v>1439210.3506944444444440.590277777777778</v>
      </c>
    </row>
    <row r="9" spans="1:30" x14ac:dyDescent="0.3">
      <c r="A9" s="85">
        <v>43922</v>
      </c>
      <c r="B9" s="275">
        <v>1</v>
      </c>
      <c r="C9" s="176" t="str">
        <f>IFERROR(VLOOKUP(Tbl_tiempo[[#This Row],[ID PERSONAL]],Tbl_personal[],2,0),"")</f>
        <v>Smith John</v>
      </c>
      <c r="D9" s="176" t="str">
        <f>CONCATENATE(Tbl_tiempo[[#This Row],[ID PERSONAL]],Tbl_tiempo[[#This Row],[FECHA]])</f>
        <v>143922</v>
      </c>
      <c r="E9" s="287">
        <v>0.35416666666666669</v>
      </c>
      <c r="F9" s="287">
        <v>0.59375</v>
      </c>
      <c r="G9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0.35416666666666669</v>
      </c>
      <c r="H9" s="287">
        <f>IFERROR(Tbl_tiempo[[#This Row],[MARCA FINAL]],"")</f>
        <v>0.59375</v>
      </c>
      <c r="I9" s="287" t="str">
        <f>IFERROR(VLOOKUP(Tbl_tiempo[[#This Row],[ID PERSONAL]],Tbl_personal[],7,0),"")</f>
        <v>EXTRAS</v>
      </c>
      <c r="J9" s="287" t="str">
        <f>IFERROR(VLOOKUP(Tbl_tiempo[[#This Row],[ID PERSONAL]],Tbl_personal[],8,0),"")</f>
        <v>ADMINISTRACION_J1</v>
      </c>
      <c r="K9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9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9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9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9" s="2"/>
      <c r="P9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9" s="21"/>
      <c r="R9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9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9" s="53"/>
      <c r="U9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9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9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9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9" s="176" t="str">
        <f>IF(COUNTIF(Tbl_tiempo[REFERENCIA UNICA],Tbl_tiempo[[#This Row],[REFERENCIA UNICA]])&gt;1,"REPETIDO","UNICO")</f>
        <v>UNICO</v>
      </c>
      <c r="Z9" s="265" t="str">
        <f>CONCATENATE(Tbl_tiempo[[#This Row],[ID PERSONAL]],Tbl_tiempo[[#This Row],[FECHA]],Tbl_tiempo[[#This Row],[MARCA INICIAL]],Tbl_tiempo[[#This Row],[MARCA FINAL]])</f>
        <v>1439220.3541666666666670.59375</v>
      </c>
    </row>
    <row r="10" spans="1:30" x14ac:dyDescent="0.3">
      <c r="A10" s="85">
        <v>43923</v>
      </c>
      <c r="B10" s="275">
        <v>1</v>
      </c>
      <c r="C10" s="176" t="str">
        <f>IFERROR(VLOOKUP(Tbl_tiempo[[#This Row],[ID PERSONAL]],Tbl_personal[],2,0),"")</f>
        <v>Smith John</v>
      </c>
      <c r="D10" s="176" t="str">
        <f>CONCATENATE(Tbl_tiempo[[#This Row],[ID PERSONAL]],Tbl_tiempo[[#This Row],[FECHA]])</f>
        <v>143923</v>
      </c>
      <c r="E10" s="287">
        <v>0.3576388888888889</v>
      </c>
      <c r="F10" s="287">
        <v>0.59722222222222221</v>
      </c>
      <c r="G10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0.3576388888888889</v>
      </c>
      <c r="H10" s="287">
        <f>IFERROR(Tbl_tiempo[[#This Row],[MARCA FINAL]],"")</f>
        <v>0.59722222222222221</v>
      </c>
      <c r="I10" s="287" t="str">
        <f>IFERROR(VLOOKUP(Tbl_tiempo[[#This Row],[ID PERSONAL]],Tbl_personal[],7,0),"")</f>
        <v>EXTRAS</v>
      </c>
      <c r="J10" s="287" t="str">
        <f>IFERROR(VLOOKUP(Tbl_tiempo[[#This Row],[ID PERSONAL]],Tbl_personal[],8,0),"")</f>
        <v>ADMINISTRACION_J1</v>
      </c>
      <c r="K10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10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0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0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0" s="2"/>
      <c r="P10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0" s="21"/>
      <c r="R10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0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0" s="53"/>
      <c r="U10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0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0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0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0" s="176" t="str">
        <f>IF(COUNTIF(Tbl_tiempo[REFERENCIA UNICA],Tbl_tiempo[[#This Row],[REFERENCIA UNICA]])&gt;1,"REPETIDO","UNICO")</f>
        <v>UNICO</v>
      </c>
      <c r="Z10" s="265" t="str">
        <f>CONCATENATE(Tbl_tiempo[[#This Row],[ID PERSONAL]],Tbl_tiempo[[#This Row],[FECHA]],Tbl_tiempo[[#This Row],[MARCA INICIAL]],Tbl_tiempo[[#This Row],[MARCA FINAL]])</f>
        <v>1439230.3576388888888890.597222222222222</v>
      </c>
    </row>
    <row r="11" spans="1:30" x14ac:dyDescent="0.3">
      <c r="A11" s="85">
        <v>43924</v>
      </c>
      <c r="B11" s="275">
        <v>1</v>
      </c>
      <c r="C11" s="176" t="str">
        <f>IFERROR(VLOOKUP(Tbl_tiempo[[#This Row],[ID PERSONAL]],Tbl_personal[],2,0),"")</f>
        <v>Smith John</v>
      </c>
      <c r="D11" s="176" t="str">
        <f>CONCATENATE(Tbl_tiempo[[#This Row],[ID PERSONAL]],Tbl_tiempo[[#This Row],[FECHA]])</f>
        <v>143924</v>
      </c>
      <c r="E11" s="287">
        <v>0.3611111111111111</v>
      </c>
      <c r="F11" s="287">
        <v>0.60069444444444442</v>
      </c>
      <c r="G11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0.3611111111111111</v>
      </c>
      <c r="H11" s="287">
        <f>IFERROR(Tbl_tiempo[[#This Row],[MARCA FINAL]],"")</f>
        <v>0.60069444444444442</v>
      </c>
      <c r="I11" s="287" t="str">
        <f>IFERROR(VLOOKUP(Tbl_tiempo[[#This Row],[ID PERSONAL]],Tbl_personal[],7,0),"")</f>
        <v>EXTRAS</v>
      </c>
      <c r="J11" s="287" t="str">
        <f>IFERROR(VLOOKUP(Tbl_tiempo[[#This Row],[ID PERSONAL]],Tbl_personal[],8,0),"")</f>
        <v>ADMINISTRACION_J1</v>
      </c>
      <c r="K11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11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1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1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1" s="2"/>
      <c r="P11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1" s="21"/>
      <c r="R11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1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1" s="53"/>
      <c r="U11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1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1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1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1" s="176" t="str">
        <f>IF(COUNTIF(Tbl_tiempo[REFERENCIA UNICA],Tbl_tiempo[[#This Row],[REFERENCIA UNICA]])&gt;1,"REPETIDO","UNICO")</f>
        <v>UNICO</v>
      </c>
      <c r="Z11" s="265" t="str">
        <f>CONCATENATE(Tbl_tiempo[[#This Row],[ID PERSONAL]],Tbl_tiempo[[#This Row],[FECHA]],Tbl_tiempo[[#This Row],[MARCA INICIAL]],Tbl_tiempo[[#This Row],[MARCA FINAL]])</f>
        <v>1439240.3611111111111110.600694444444444</v>
      </c>
    </row>
    <row r="12" spans="1:30" x14ac:dyDescent="0.3">
      <c r="A12" s="85">
        <v>43925</v>
      </c>
      <c r="B12" s="275">
        <v>1</v>
      </c>
      <c r="C12" s="176" t="str">
        <f>IFERROR(VLOOKUP(Tbl_tiempo[[#This Row],[ID PERSONAL]],Tbl_personal[],2,0),"")</f>
        <v>Smith John</v>
      </c>
      <c r="D12" s="176" t="str">
        <f>CONCATENATE(Tbl_tiempo[[#This Row],[ID PERSONAL]],Tbl_tiempo[[#This Row],[FECHA]])</f>
        <v>143925</v>
      </c>
      <c r="E12" s="287">
        <v>0.36458333333333331</v>
      </c>
      <c r="F12" s="287">
        <v>0.60416666666666663</v>
      </c>
      <c r="G12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0.36458333333333331</v>
      </c>
      <c r="H12" s="287">
        <f>IFERROR(Tbl_tiempo[[#This Row],[MARCA FINAL]],"")</f>
        <v>0.60416666666666663</v>
      </c>
      <c r="I12" s="287" t="str">
        <f>IFERROR(VLOOKUP(Tbl_tiempo[[#This Row],[ID PERSONAL]],Tbl_personal[],7,0),"")</f>
        <v>EXTRAS</v>
      </c>
      <c r="J12" s="287" t="str">
        <f>IFERROR(VLOOKUP(Tbl_tiempo[[#This Row],[ID PERSONAL]],Tbl_personal[],8,0),"")</f>
        <v>ADMINISTRACION_J1</v>
      </c>
      <c r="K12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12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2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2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2" s="2"/>
      <c r="P12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/>
      </c>
      <c r="Q12" s="21"/>
      <c r="R12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2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2" s="53"/>
      <c r="U12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2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2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2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2" s="176" t="str">
        <f>IF(COUNTIF(Tbl_tiempo[REFERENCIA UNICA],Tbl_tiempo[[#This Row],[REFERENCIA UNICA]])&gt;1,"REPETIDO","UNICO")</f>
        <v>UNICO</v>
      </c>
      <c r="Z12" s="265" t="str">
        <f>CONCATENATE(Tbl_tiempo[[#This Row],[ID PERSONAL]],Tbl_tiempo[[#This Row],[FECHA]],Tbl_tiempo[[#This Row],[MARCA INICIAL]],Tbl_tiempo[[#This Row],[MARCA FINAL]])</f>
        <v>1439250.3645833333333330.604166666666667</v>
      </c>
    </row>
    <row r="13" spans="1:30" x14ac:dyDescent="0.3">
      <c r="A13" s="85">
        <v>43926</v>
      </c>
      <c r="B13" s="275">
        <v>1</v>
      </c>
      <c r="C13" s="176" t="str">
        <f>IFERROR(VLOOKUP(Tbl_tiempo[[#This Row],[ID PERSONAL]],Tbl_personal[],2,0),"")</f>
        <v>Smith John</v>
      </c>
      <c r="D13" s="176" t="str">
        <f>CONCATENATE(Tbl_tiempo[[#This Row],[ID PERSONAL]],Tbl_tiempo[[#This Row],[FECHA]])</f>
        <v>143926</v>
      </c>
      <c r="E13" s="287">
        <v>0.36805555555555558</v>
      </c>
      <c r="F13" s="287">
        <v>0.60763888888888895</v>
      </c>
      <c r="G13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0.36805555555555558</v>
      </c>
      <c r="H13" s="287">
        <f>IFERROR(Tbl_tiempo[[#This Row],[MARCA FINAL]],"")</f>
        <v>0.60763888888888895</v>
      </c>
      <c r="I13" s="287" t="str">
        <f>IFERROR(VLOOKUP(Tbl_tiempo[[#This Row],[ID PERSONAL]],Tbl_personal[],7,0),"")</f>
        <v>EXTRAS</v>
      </c>
      <c r="J13" s="287" t="str">
        <f>IFERROR(VLOOKUP(Tbl_tiempo[[#This Row],[ID PERSONAL]],Tbl_personal[],8,0),"")</f>
        <v>ADMINISTRACION_J1</v>
      </c>
      <c r="K13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0.23958333333333337</v>
      </c>
      <c r="L13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3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3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3" s="2"/>
      <c r="P13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3" s="21"/>
      <c r="R13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3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3" s="53"/>
      <c r="U13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3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3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3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3" s="176" t="str">
        <f>IF(COUNTIF(Tbl_tiempo[REFERENCIA UNICA],Tbl_tiempo[[#This Row],[REFERENCIA UNICA]])&gt;1,"REPETIDO","UNICO")</f>
        <v>UNICO</v>
      </c>
      <c r="Z13" s="265" t="str">
        <f>CONCATENATE(Tbl_tiempo[[#This Row],[ID PERSONAL]],Tbl_tiempo[[#This Row],[FECHA]],Tbl_tiempo[[#This Row],[MARCA INICIAL]],Tbl_tiempo[[#This Row],[MARCA FINAL]])</f>
        <v>1439260.3680555555555560.607638888888889</v>
      </c>
    </row>
    <row r="14" spans="1:30" x14ac:dyDescent="0.3">
      <c r="A14" s="85">
        <v>43927</v>
      </c>
      <c r="B14" s="275">
        <v>1</v>
      </c>
      <c r="C14" s="176" t="str">
        <f>IFERROR(VLOOKUP(Tbl_tiempo[[#This Row],[ID PERSONAL]],Tbl_personal[],2,0),"")</f>
        <v>Smith John</v>
      </c>
      <c r="D14" s="176" t="str">
        <f>CONCATENATE(Tbl_tiempo[[#This Row],[ID PERSONAL]],Tbl_tiempo[[#This Row],[FECHA]])</f>
        <v>143927</v>
      </c>
      <c r="E14" s="287">
        <v>0.37152777777777773</v>
      </c>
      <c r="F14" s="287">
        <v>0.61111111111111105</v>
      </c>
      <c r="G14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0.37152777777777773</v>
      </c>
      <c r="H14" s="287">
        <f>IFERROR(Tbl_tiempo[[#This Row],[MARCA FINAL]],"")</f>
        <v>0.61111111111111105</v>
      </c>
      <c r="I14" s="287" t="str">
        <f>IFERROR(VLOOKUP(Tbl_tiempo[[#This Row],[ID PERSONAL]],Tbl_personal[],7,0),"")</f>
        <v>EXTRAS</v>
      </c>
      <c r="J14" s="287" t="str">
        <f>IFERROR(VLOOKUP(Tbl_tiempo[[#This Row],[ID PERSONAL]],Tbl_personal[],8,0),"")</f>
        <v>ADMINISTRACION_J1</v>
      </c>
      <c r="K14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14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4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4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4" s="2"/>
      <c r="P14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4" s="21"/>
      <c r="R14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4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4" s="53"/>
      <c r="U14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4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4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4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4" s="176" t="str">
        <f>IF(COUNTIF(Tbl_tiempo[REFERENCIA UNICA],Tbl_tiempo[[#This Row],[REFERENCIA UNICA]])&gt;1,"REPETIDO","UNICO")</f>
        <v>UNICO</v>
      </c>
      <c r="Z14" s="265" t="str">
        <f>CONCATENATE(Tbl_tiempo[[#This Row],[ID PERSONAL]],Tbl_tiempo[[#This Row],[FECHA]],Tbl_tiempo[[#This Row],[MARCA INICIAL]],Tbl_tiempo[[#This Row],[MARCA FINAL]])</f>
        <v>1439270.3715277777777780.611111111111111</v>
      </c>
    </row>
    <row r="15" spans="1:30" x14ac:dyDescent="0.3">
      <c r="A15" s="85">
        <v>43928</v>
      </c>
      <c r="B15" s="275">
        <v>1</v>
      </c>
      <c r="C15" s="176" t="str">
        <f>IFERROR(VLOOKUP(Tbl_tiempo[[#This Row],[ID PERSONAL]],Tbl_personal[],2,0),"")</f>
        <v>Smith John</v>
      </c>
      <c r="D15" s="176" t="str">
        <f>CONCATENATE(Tbl_tiempo[[#This Row],[ID PERSONAL]],Tbl_tiempo[[#This Row],[FECHA]])</f>
        <v>143928</v>
      </c>
      <c r="E15" s="287">
        <v>0.375</v>
      </c>
      <c r="F15" s="287">
        <v>0.61458333333333337</v>
      </c>
      <c r="G15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0.375</v>
      </c>
      <c r="H15" s="287">
        <f>IFERROR(Tbl_tiempo[[#This Row],[MARCA FINAL]],"")</f>
        <v>0.61458333333333337</v>
      </c>
      <c r="I15" s="287" t="str">
        <f>IFERROR(VLOOKUP(Tbl_tiempo[[#This Row],[ID PERSONAL]],Tbl_personal[],7,0),"")</f>
        <v>EXTRAS</v>
      </c>
      <c r="J15" s="287" t="str">
        <f>IFERROR(VLOOKUP(Tbl_tiempo[[#This Row],[ID PERSONAL]],Tbl_personal[],8,0),"")</f>
        <v>ADMINISTRACION_J1</v>
      </c>
      <c r="K15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0.23958333333333337</v>
      </c>
      <c r="L15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5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5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5" s="2"/>
      <c r="P15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5" s="21"/>
      <c r="R15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5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5" s="53"/>
      <c r="U15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5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5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5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5" s="176" t="str">
        <f>IF(COUNTIF(Tbl_tiempo[REFERENCIA UNICA],Tbl_tiempo[[#This Row],[REFERENCIA UNICA]])&gt;1,"REPETIDO","UNICO")</f>
        <v>UNICO</v>
      </c>
      <c r="Z15" s="265" t="str">
        <f>CONCATENATE(Tbl_tiempo[[#This Row],[ID PERSONAL]],Tbl_tiempo[[#This Row],[FECHA]],Tbl_tiempo[[#This Row],[MARCA INICIAL]],Tbl_tiempo[[#This Row],[MARCA FINAL]])</f>
        <v>1439280.3750.614583333333333</v>
      </c>
    </row>
    <row r="16" spans="1:30" x14ac:dyDescent="0.3">
      <c r="A16" s="85">
        <v>43929</v>
      </c>
      <c r="B16" s="275">
        <v>1</v>
      </c>
      <c r="C16" s="176" t="str">
        <f>IFERROR(VLOOKUP(Tbl_tiempo[[#This Row],[ID PERSONAL]],Tbl_personal[],2,0),"")</f>
        <v>Smith John</v>
      </c>
      <c r="D16" s="176" t="str">
        <f>CONCATENATE(Tbl_tiempo[[#This Row],[ID PERSONAL]],Tbl_tiempo[[#This Row],[FECHA]])</f>
        <v>143929</v>
      </c>
      <c r="E16" s="287">
        <v>0.37847222222222227</v>
      </c>
      <c r="F16" s="287">
        <v>0.61805555555555558</v>
      </c>
      <c r="G16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0.37847222222222227</v>
      </c>
      <c r="H16" s="287">
        <f>IFERROR(Tbl_tiempo[[#This Row],[MARCA FINAL]],"")</f>
        <v>0.61805555555555558</v>
      </c>
      <c r="I16" s="287" t="str">
        <f>IFERROR(VLOOKUP(Tbl_tiempo[[#This Row],[ID PERSONAL]],Tbl_personal[],7,0),"")</f>
        <v>EXTRAS</v>
      </c>
      <c r="J16" s="287" t="str">
        <f>IFERROR(VLOOKUP(Tbl_tiempo[[#This Row],[ID PERSONAL]],Tbl_personal[],8,0),"")</f>
        <v>ADMINISTRACION_J1</v>
      </c>
      <c r="K16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0.23958333333333331</v>
      </c>
      <c r="L16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6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6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6" s="2"/>
      <c r="P16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6" s="21"/>
      <c r="R16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6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6" s="53"/>
      <c r="U16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6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6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6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6" s="176" t="str">
        <f>IF(COUNTIF(Tbl_tiempo[REFERENCIA UNICA],Tbl_tiempo[[#This Row],[REFERENCIA UNICA]])&gt;1,"REPETIDO","UNICO")</f>
        <v>UNICO</v>
      </c>
      <c r="Z16" s="265" t="str">
        <f>CONCATENATE(Tbl_tiempo[[#This Row],[ID PERSONAL]],Tbl_tiempo[[#This Row],[FECHA]],Tbl_tiempo[[#This Row],[MARCA INICIAL]],Tbl_tiempo[[#This Row],[MARCA FINAL]])</f>
        <v>1439290.3784722222222220.618055555555556</v>
      </c>
    </row>
    <row r="17" spans="1:26" x14ac:dyDescent="0.3">
      <c r="A17" s="85">
        <v>43930</v>
      </c>
      <c r="B17" s="275">
        <v>1</v>
      </c>
      <c r="C17" s="176" t="str">
        <f>IFERROR(VLOOKUP(Tbl_tiempo[[#This Row],[ID PERSONAL]],Tbl_personal[],2,0),"")</f>
        <v>Smith John</v>
      </c>
      <c r="D17" s="176" t="str">
        <f>CONCATENATE(Tbl_tiempo[[#This Row],[ID PERSONAL]],Tbl_tiempo[[#This Row],[FECHA]])</f>
        <v>143930</v>
      </c>
      <c r="E17" s="287">
        <v>0.38194444444444442</v>
      </c>
      <c r="F17" s="287">
        <v>0.62152777777777779</v>
      </c>
      <c r="G17" s="287">
        <f>IFERROR(IF(Tbl_tiempo[[#This Row],[PENALIZACIÓN]]=PENALIZADO,PENALIZADO,IF(Tbl_tiempo[[#This Row],[MARCA INICIAL]]&lt;(VLOOKUP(Tbl_tiempo[[#This Row],[JORNADA]],Tabla_Jornada[],(IF(WEEKDAY(Tbl_tiempo[[#This Row],[FECHA]],1)=7,7,3)),0)+TIEMPO_ENTRADA_TARDIA),VLOOKUP(Tbl_tiempo[[#This Row],[JORNADA]],Tabla_Jornada[],(IF(WEEKDAY(Tbl_tiempo[[#This Row],[FECHA]],1)=7,7,3)),0),Tbl_tiempo[[#This Row],[MARCA INICIAL]])),"")</f>
        <v>0.38194444444444442</v>
      </c>
      <c r="H17" s="287">
        <f>IFERROR(Tbl_tiempo[[#This Row],[MARCA FINAL]],"")</f>
        <v>0.62152777777777779</v>
      </c>
      <c r="I17" s="287" t="str">
        <f>IFERROR(VLOOKUP(Tbl_tiempo[[#This Row],[ID PERSONAL]],Tbl_personal[],7,0),"")</f>
        <v>EXTRAS</v>
      </c>
      <c r="J17" s="287" t="str">
        <f>IFERROR(VLOOKUP(Tbl_tiempo[[#This Row],[ID PERSONAL]],Tbl_personal[],8,0),"")</f>
        <v>ADMINISTRACION_J1</v>
      </c>
      <c r="K17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0.23958333333333337</v>
      </c>
      <c r="L17" s="21" t="str">
        <f>IFERROR(IF(COUNTIF(Tbl_tiempo[REFERENCIA],Tbl_tiempo[REFERENCIA])=1,(IF(SUMIFS(Tbl_tiempo[HORAS],Tbl_tiempo[REFERENCIA],Tbl_tiempo[REFERENCIA])&lt;#REF!,SUMIFS(Tbl_tiempo[HORAS],Tbl_tiempo[REFERENCIA],Tbl_tiempo[REFERENCIA]),SUMIFS(Tbl_tiempo[HORAS],Tbl_tiempo[REFERENCIA],Tbl_tiempo[REFERENCIA])-(VLOOKUP(Tbl_tiempo[[#This Row],[JORNADA]],Tabla_Jornada[],(IF(WEEKDAY(Tbl_tiempo[[#This Row],[FECHA]],1)=7,8,4)),0))+Tbl_tiempo[[#This Row],[HORAS ALMUERZO]])),SUMIFS(Tbl_tiempo[HORAS],Tbl_tiempo[REFERENCIA],Tbl_tiempo[REFERENCIA])),"")</f>
        <v/>
      </c>
      <c r="M17" s="176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17" s="176" t="str">
        <f>IFERROR(IF(Tbl_tiempo[[#This Row],[PENALIZACIÓN]]=PENALIZADO,"",IF(COUNTIFS(Tbl_tiempo[REFERENCIA],Tbl_tiempo[[#This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17" s="2"/>
      <c r="P17" s="53" t="str">
        <f>IFERROR(IF(COUNTIF(Tbl_tiempo[REFERENCIA],Tbl_tiempo[REFERENCIA])=1,IF(VLOOKUP(Tbl_tiempo[[#This Row],[JORNADA]],Tabla_Jornada[],(IF(WEEKDAY(Tbl_tiempo[[#This Row],[FECHA]],1)=7,8,4)),0)&gt;0,IF(Tbl_tiempo[[#This Row],[APROBACIÓN HORAS ALMUERZO]]="APROBADO","APROBACIÓN REALIZADA","PENDIENTE APROBACIÓN"),""),""),"")</f>
        <v>PENDIENTE APROBACIÓN</v>
      </c>
      <c r="Q17" s="21"/>
      <c r="R17" s="21">
        <f>IF(Tbl_tiempo[[#This Row],[APROBACIÓN HORAS ALMUERZO]]="APROBADO",IF(Tbl_tiempo[[#This Row],[MARCAJE ALMUERZO]]="APROBACIÓN REALIZADA",(VLOOKUP(Tbl_tiempo[[#This Row],[JORNADA]],Tabla_Jornada[],(IF(WEEKDAY(Tbl_tiempo[[#This Row],[FECHA]],1)=7,8,4)),0)),0),0)</f>
        <v>0</v>
      </c>
      <c r="S17" s="53" t="str">
        <f>IFERROR(IF(Tbl_tiempo[[#This Row],[MARCA INICIAL]]&lt;VLOOKUP(Tbl_tiempo[[#This Row],[JORNADA]],Tabla_Jornada[],(IF(WEEKDAY(Tbl_tiempo[[#This Row],[FECHA]],1)=7,7,3)),0),IF(Tbl_tiempo[[#This Row],[APROBACIÓN EXTRAS DIURNAS]]="APROBADO","APROBACIÓN REALIZADA","PENDIENTE APROBACIÓN"),""),"")</f>
        <v/>
      </c>
      <c r="T17" s="53"/>
      <c r="U17" s="53">
        <f>IF(Tbl_tiempo[[#This Row],[APROBACIÓN EXTRAS DIURNAS]]="APROBADO",IF(Tbl_tiempo[[#This Row],[MARCAJE EXTRA DIURNAS]]="APROBACIÓN REALIZADA",IF(VLOOKUP(Tbl_tiempo[[#This Row],[REGIMEN]],Tabla_Regimen[],2,0)=SI,(VLOOKUP(Tbl_tiempo[[#This Row],[JORNADA]],Tabla_Jornada[],(IF(WEEKDAY(Tbl_tiempo[[#This Row],[FECHA]],1)=7,7,3)),0))-Tbl_tiempo[[#This Row],[MARCA INICIAL]],0),0),0)</f>
        <v>0</v>
      </c>
      <c r="V17" s="21">
        <f>IFERROR(IF(VLOOKUP(Tbl_tiempo[[#This Row],[REGIMEN]],Tabla_Regimen[],2,0)=SI,IF(Tbl_tiempo[[#This Row],[ANALISIS MARCAJE FINAL]]&gt;(VLOOKUP(Tbl_tiempo[[#This Row],[JORNADA]],Tabla_Jornada[],(IF(WEEKDAY(Tbl_tiempo[[#This Row],[FECHA]],1)=7,9,5)))+#REF!),IF(Tbl_tiempo[[#This Row],[ANALISIS MARCAJE FINAL]]&gt;PARAMETROS!$AG$4,PARAMETROS!$AG$4-VLOOKUP(Tbl_tiempo[[#This Row],[JORNADA]],Tabla_Jornada[],(IF(WEEKDAY(Tbl_tiempo[[#This Row],[FECHA]],1)=7,9,5))),Tbl_tiempo[[#This Row],[ANALISIS MARCAJE FINAL]]-VLOOKUP(Tbl_tiempo[[#This Row],[JORNADA]],Tabla_Jornada[],(IF(WEEKDAY(Tbl_tiempo[[#This Row],[FECHA]],1)=7,9,5)))),0),0),0)</f>
        <v>0</v>
      </c>
      <c r="W17" s="21">
        <f>IFERROR(IF(VLOOKUP(Tbl_tiempo[[#This Row],[REGIMEN]],Tabla_Regimen[],2,0)=SI,IF(Tbl_tiempo[[#This Row],[ANALISIS MARCAJE FINAL]]&gt;PARAMETROS!$AF$5,IF(Tbl_tiempo[[#This Row],[ANALISIS MARCAJE FINAL]]&gt;PARAMETROS!$AG$5,PARAMETROS!$AG$5-PARAMETROS!$AF$5,Tbl_tiempo[[#This Row],[ANALISIS MARCAJE FINAL]]-PARAMETROS!$AF$5),0),0),0)</f>
        <v>0</v>
      </c>
      <c r="X17" s="21">
        <f>IFERROR(IF(VLOOKUP(Tbl_tiempo[[#This Row],[REGIMEN]],Tabla_Regimen[],2,0)=SI,IF(Tbl_tiempo[[#This Row],[ANALISIS MARCAJE FINAL]]&gt;PARAMETROS!$AF$6,Tbl_tiempo[[#This Row],[ANALISIS MARCAJE FINAL]]-PARAMETROS!$AF$6,0),0),0)</f>
        <v>0</v>
      </c>
      <c r="Y17" s="176" t="str">
        <f>IF(COUNTIF(Tbl_tiempo[REFERENCIA UNICA],Tbl_tiempo[[#This Row],[REFERENCIA UNICA]])&gt;1,"REPETIDO","UNICO")</f>
        <v>UNICO</v>
      </c>
      <c r="Z17" s="265" t="str">
        <f>CONCATENATE(Tbl_tiempo[[#This Row],[ID PERSONAL]],Tbl_tiempo[[#This Row],[FECHA]],Tbl_tiempo[[#This Row],[MARCA INICIAL]],Tbl_tiempo[[#This Row],[MARCA FINAL]])</f>
        <v>1439300.3819444444444440.621527777777778</v>
      </c>
    </row>
    <row r="22" spans="1:26" x14ac:dyDescent="0.3">
      <c r="E22" s="286"/>
      <c r="F22" s="286"/>
    </row>
    <row r="23" spans="1:26" x14ac:dyDescent="0.3">
      <c r="E23" s="286"/>
      <c r="F23" s="286"/>
    </row>
    <row r="24" spans="1:26" x14ac:dyDescent="0.3">
      <c r="E24" s="286"/>
      <c r="F24" s="286"/>
    </row>
    <row r="25" spans="1:26" x14ac:dyDescent="0.3">
      <c r="E25" s="286"/>
      <c r="F25" s="286"/>
    </row>
    <row r="26" spans="1:26" x14ac:dyDescent="0.3">
      <c r="E26" s="286"/>
      <c r="F26" s="286"/>
    </row>
    <row r="27" spans="1:26" x14ac:dyDescent="0.3">
      <c r="E27" s="286"/>
      <c r="F27" s="286"/>
    </row>
    <row r="28" spans="1:26" x14ac:dyDescent="0.3">
      <c r="E28" s="286"/>
      <c r="F28" s="288"/>
    </row>
    <row r="29" spans="1:26" x14ac:dyDescent="0.3">
      <c r="E29" s="286"/>
      <c r="F29" s="286"/>
    </row>
    <row r="30" spans="1:26" x14ac:dyDescent="0.3">
      <c r="E30" s="286"/>
      <c r="F30" s="286"/>
    </row>
    <row r="31" spans="1:26" x14ac:dyDescent="0.3">
      <c r="E31" s="286"/>
      <c r="F31" s="286"/>
    </row>
    <row r="32" spans="1:26" x14ac:dyDescent="0.3">
      <c r="E32" s="286"/>
      <c r="F32" s="286"/>
    </row>
    <row r="33" spans="5:6" x14ac:dyDescent="0.3">
      <c r="E33" s="286"/>
      <c r="F33" s="286"/>
    </row>
    <row r="34" spans="5:6" x14ac:dyDescent="0.3">
      <c r="E34" s="286"/>
      <c r="F34" s="286"/>
    </row>
    <row r="35" spans="5:6" x14ac:dyDescent="0.3">
      <c r="E35" s="286"/>
      <c r="F35" s="286"/>
    </row>
    <row r="36" spans="5:6" x14ac:dyDescent="0.3">
      <c r="E36" s="286"/>
      <c r="F36" s="286"/>
    </row>
  </sheetData>
  <sortState ref="A3:Z111">
    <sortCondition ref="B1"/>
  </sortState>
  <conditionalFormatting sqref="P2:R17">
    <cfRule type="cellIs" dxfId="27" priority="129" stopIfTrue="1" operator="greaterThan">
      <formula>0</formula>
    </cfRule>
  </conditionalFormatting>
  <conditionalFormatting sqref="V2:X17">
    <cfRule type="cellIs" dxfId="26" priority="36" operator="greaterThan">
      <formula>0</formula>
    </cfRule>
  </conditionalFormatting>
  <conditionalFormatting sqref="S2:U17">
    <cfRule type="cellIs" dxfId="25" priority="15" operator="greaterThan">
      <formula>0</formula>
    </cfRule>
  </conditionalFormatting>
  <conditionalFormatting sqref="O2:O17">
    <cfRule type="cellIs" dxfId="24" priority="14" operator="greaterThanOrEqual">
      <formula>0</formula>
    </cfRule>
  </conditionalFormatting>
  <conditionalFormatting sqref="A2:Z17">
    <cfRule type="expression" dxfId="23" priority="131">
      <formula>$O2="PENALIZADO"</formula>
    </cfRule>
    <cfRule type="expression" dxfId="22" priority="293">
      <formula>$Y2="REPETIDO"</formula>
    </cfRule>
    <cfRule type="expression" dxfId="21" priority="294">
      <formula>$N2="REVISAR"</formula>
    </cfRule>
  </conditionalFormatting>
  <conditionalFormatting sqref="J1:J17 G1:H17">
    <cfRule type="iconSet" priority="4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1">
    <dataValidation type="list" allowBlank="1" showInputMessage="1" showErrorMessage="1" sqref="Q2:Q17">
      <formula1>$AH$17:$AH$18</formula1>
    </dataValidation>
  </dataValidations>
  <pageMargins left="0.70866141732283472" right="0.70866141732283472" top="0.74803149606299213" bottom="0.74803149606299213" header="0.31496062992125984" footer="0.31496062992125984"/>
  <pageSetup scale="31" fitToHeight="0" orientation="landscape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PARAMETROS!$Q$30:$Q$31</xm:f>
          </x14:formula1>
          <xm:sqref>O2:O17</xm:sqref>
        </x14:dataValidation>
        <x14:dataValidation type="list" allowBlank="1" showInputMessage="1" showErrorMessage="1">
          <x14:formula1>
            <xm:f>PARAMETROS!$Q$36:$Q$37</xm:f>
          </x14:formula1>
          <xm:sqref>T2:T17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-0.249977111117893"/>
    <pageSetUpPr fitToPage="1"/>
  </sheetPr>
  <dimension ref="A1:AD36"/>
  <sheetViews>
    <sheetView showGridLines="0" zoomScaleNormal="100" workbookViewId="0">
      <selection activeCell="E17" sqref="A1:E17"/>
    </sheetView>
  </sheetViews>
  <sheetFormatPr baseColWidth="10" defaultRowHeight="14.4" x14ac:dyDescent="0.3"/>
  <cols>
    <col min="1" max="1" width="19.21875" style="87" customWidth="1"/>
    <col min="2" max="2" width="17.77734375" style="2" customWidth="1"/>
    <col min="3" max="3" width="39.21875" style="2" customWidth="1"/>
    <col min="4" max="4" width="16" style="2" bestFit="1" customWidth="1"/>
    <col min="5" max="6" width="16" style="2" customWidth="1"/>
    <col min="7" max="7" width="21.77734375" style="20" customWidth="1"/>
    <col min="8" max="8" width="20.21875" style="20" customWidth="1"/>
    <col min="9" max="9" width="17.21875" style="20" customWidth="1"/>
    <col min="10" max="10" width="20.21875" style="20" customWidth="1"/>
    <col min="11" max="11" width="11.44140625" customWidth="1"/>
    <col min="12" max="12" width="16" customWidth="1"/>
    <col min="13" max="13" width="16.21875" customWidth="1"/>
    <col min="14" max="14" width="13.5546875" style="22" bestFit="1" customWidth="1"/>
    <col min="15" max="15" width="20.5546875" customWidth="1"/>
    <col min="16" max="16" width="27.21875" customWidth="1"/>
    <col min="17" max="17" width="23.5546875" bestFit="1" customWidth="1"/>
    <col min="18" max="18" width="18.21875" customWidth="1"/>
    <col min="19" max="19" width="26" customWidth="1"/>
    <col min="20" max="22" width="23.5546875" bestFit="1" customWidth="1"/>
    <col min="23" max="23" width="18.5546875" customWidth="1"/>
    <col min="24" max="24" width="15.77734375" style="22" customWidth="1"/>
    <col min="25" max="25" width="17.77734375" customWidth="1"/>
    <col min="26" max="26" width="25" style="22" bestFit="1" customWidth="1"/>
    <col min="27" max="27" width="28" style="23" bestFit="1" customWidth="1"/>
    <col min="28" max="29" width="18.44140625" style="23" customWidth="1"/>
    <col min="30" max="30" width="18.5546875" style="23" customWidth="1"/>
    <col min="31" max="31" width="21.21875" bestFit="1" customWidth="1"/>
    <col min="32" max="32" width="22" customWidth="1"/>
  </cols>
  <sheetData>
    <row r="1" spans="1:30" ht="48" customHeight="1" x14ac:dyDescent="0.3">
      <c r="A1" s="86" t="s">
        <v>4</v>
      </c>
      <c r="B1" s="56" t="s">
        <v>5</v>
      </c>
      <c r="C1" s="56" t="s">
        <v>6</v>
      </c>
      <c r="D1" s="56" t="s">
        <v>289</v>
      </c>
      <c r="E1" s="56" t="s">
        <v>290</v>
      </c>
      <c r="F1" s="56" t="s">
        <v>66</v>
      </c>
      <c r="G1" s="57" t="s">
        <v>287</v>
      </c>
      <c r="H1" s="57" t="s">
        <v>288</v>
      </c>
      <c r="I1" s="57" t="s">
        <v>240</v>
      </c>
      <c r="J1" s="57" t="s">
        <v>429</v>
      </c>
      <c r="K1" s="58" t="s">
        <v>11</v>
      </c>
      <c r="L1" s="58" t="s">
        <v>69</v>
      </c>
      <c r="M1" s="58" t="s">
        <v>67</v>
      </c>
      <c r="N1" s="58" t="s">
        <v>68</v>
      </c>
      <c r="O1" s="58" t="s">
        <v>404</v>
      </c>
      <c r="P1" s="58" t="s">
        <v>324</v>
      </c>
      <c r="Q1" s="56" t="s">
        <v>244</v>
      </c>
      <c r="R1" s="56" t="s">
        <v>243</v>
      </c>
      <c r="S1" s="56" t="s">
        <v>328</v>
      </c>
      <c r="T1" s="56" t="s">
        <v>237</v>
      </c>
      <c r="U1" s="56" t="s">
        <v>70</v>
      </c>
      <c r="V1" s="56" t="s">
        <v>450</v>
      </c>
      <c r="W1" s="56" t="s">
        <v>71</v>
      </c>
      <c r="X1" s="56" t="s">
        <v>72</v>
      </c>
      <c r="Y1" s="56" t="s">
        <v>217</v>
      </c>
      <c r="Z1" s="56" t="s">
        <v>218</v>
      </c>
      <c r="AA1"/>
      <c r="AB1"/>
      <c r="AC1"/>
      <c r="AD1"/>
    </row>
    <row r="2" spans="1:30" ht="17.25" customHeight="1" x14ac:dyDescent="0.3">
      <c r="A2" s="85">
        <v>43916</v>
      </c>
      <c r="B2" s="304">
        <v>1</v>
      </c>
      <c r="C2" s="176" t="s">
        <v>524</v>
      </c>
      <c r="D2" s="267">
        <v>0.33333333333333331</v>
      </c>
      <c r="E2" s="267">
        <v>0.53263888888888888</v>
      </c>
      <c r="F2" s="176" t="str">
        <f>CONCATENATE(Tbl_tiempo7[[#This Row],[ID PERSONAL]],Tbl_tiempo7[[#This Row],[FECHA]])</f>
        <v>143916</v>
      </c>
      <c r="G2" s="26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0.33333333333333331</v>
      </c>
      <c r="H2" s="267">
        <f>IFERROR(Tbl_tiempo7[[#This Row],[MARCA FINAL]],"")</f>
        <v>0.53263888888888888</v>
      </c>
      <c r="I2" s="267" t="str">
        <f>IFERROR(VLOOKUP(Tbl_tiempo7[[#This Row],[ID PERSONAL]],Tbl_personal[],7,0),"")</f>
        <v>EXTRAS</v>
      </c>
      <c r="J2" s="267" t="str">
        <f>IFERROR(VLOOKUP(Tbl_tiempo7[[#This Row],[ID PERSONAL]],Tbl_personal[],8,0),"")</f>
        <v>ADMINISTRACION_J1</v>
      </c>
      <c r="K2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0.19930555555555557</v>
      </c>
      <c r="L2" s="21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>0.35694444444444456</v>
      </c>
      <c r="M2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2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2" s="2"/>
      <c r="P2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/>
      </c>
      <c r="Q2" s="21"/>
      <c r="R2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2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2" s="53"/>
      <c r="U2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2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2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2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2" s="176" t="str">
        <f>IF(COUNTIF(Tbl_tiempo7[REFERENCIA UNICA],Tbl_tiempo7[[#This Row],[REFERENCIA UNICA]])&gt;1,"REPETIDO","UNICO")</f>
        <v>UNICO</v>
      </c>
      <c r="Z2" s="265" t="str">
        <f>CONCATENATE(Tbl_tiempo7[[#This Row],[ID PERSONAL]],Tbl_tiempo7[[#This Row],[FECHA]],Tbl_tiempo7[[#This Row],[MARCA INICIAL]],Tbl_tiempo7[[#This Row],[MARCA FINAL]])</f>
        <v>1439160.3333333333333330.532638888888889</v>
      </c>
    </row>
    <row r="3" spans="1:30" x14ac:dyDescent="0.3">
      <c r="A3" s="85">
        <v>43916</v>
      </c>
      <c r="B3" s="304">
        <v>1</v>
      </c>
      <c r="C3" s="176" t="s">
        <v>524</v>
      </c>
      <c r="D3" s="287">
        <v>0.54166666666666663</v>
      </c>
      <c r="E3" s="287">
        <v>0.69930555555555562</v>
      </c>
      <c r="F3" s="176" t="str">
        <f>CONCATENATE(Tbl_tiempo7[[#This Row],[ID PERSONAL]],Tbl_tiempo7[[#This Row],[FECHA]])</f>
        <v>143916</v>
      </c>
      <c r="G3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0.54166666666666663</v>
      </c>
      <c r="H3" s="287">
        <f>IFERROR(Tbl_tiempo7[[#This Row],[MARCA FINAL]],"")</f>
        <v>0.69930555555555562</v>
      </c>
      <c r="I3" s="287" t="str">
        <f>IFERROR(VLOOKUP(Tbl_tiempo7[[#This Row],[ID PERSONAL]],Tbl_personal[],7,0),"")</f>
        <v>EXTRAS</v>
      </c>
      <c r="J3" s="287" t="str">
        <f>IFERROR(VLOOKUP(Tbl_tiempo7[[#This Row],[ID PERSONAL]],Tbl_personal[],8,0),"")</f>
        <v>ADMINISTRACION_J1</v>
      </c>
      <c r="K3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0.15763888888888899</v>
      </c>
      <c r="L3" s="21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>0.35694444444444456</v>
      </c>
      <c r="M3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3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3" s="2"/>
      <c r="P3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/>
      </c>
      <c r="Q3" s="21"/>
      <c r="R3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3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3" s="53"/>
      <c r="U3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3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3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3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3" s="176" t="str">
        <f>IF(COUNTIF(Tbl_tiempo7[REFERENCIA UNICA],Tbl_tiempo7[[#This Row],[REFERENCIA UNICA]])&gt;1,"REPETIDO","UNICO")</f>
        <v>UNICO</v>
      </c>
      <c r="Z3" s="265" t="str">
        <f>CONCATENATE(Tbl_tiempo7[[#This Row],[ID PERSONAL]],Tbl_tiempo7[[#This Row],[FECHA]],Tbl_tiempo7[[#This Row],[MARCA INICIAL]],Tbl_tiempo7[[#This Row],[MARCA FINAL]])</f>
        <v>1439160.5416666666666670.699305555555556</v>
      </c>
    </row>
    <row r="4" spans="1:30" x14ac:dyDescent="0.3">
      <c r="A4" s="85">
        <v>43917</v>
      </c>
      <c r="B4" s="304">
        <v>1</v>
      </c>
      <c r="C4" s="176" t="s">
        <v>524</v>
      </c>
      <c r="D4" s="287">
        <v>0.33680555555555558</v>
      </c>
      <c r="E4" s="287">
        <v>0.57638888888888895</v>
      </c>
      <c r="F4" s="176" t="str">
        <f>CONCATENATE(Tbl_tiempo7[[#This Row],[ID PERSONAL]],Tbl_tiempo7[[#This Row],[FECHA]])</f>
        <v>143917</v>
      </c>
      <c r="G4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0.33333333333333331</v>
      </c>
      <c r="H4" s="287">
        <f>IFERROR(Tbl_tiempo7[[#This Row],[MARCA FINAL]],"")</f>
        <v>0.57638888888888895</v>
      </c>
      <c r="I4" s="287" t="str">
        <f>IFERROR(VLOOKUP(Tbl_tiempo7[[#This Row],[ID PERSONAL]],Tbl_personal[],7,0),"")</f>
        <v>EXTRAS</v>
      </c>
      <c r="J4" s="287" t="str">
        <f>IFERROR(VLOOKUP(Tbl_tiempo7[[#This Row],[ID PERSONAL]],Tbl_personal[],8,0),"")</f>
        <v>ADMINISTRACION_J1</v>
      </c>
      <c r="K4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0.24305555555555564</v>
      </c>
      <c r="L4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4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4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4" s="2"/>
      <c r="P4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4" s="21"/>
      <c r="R4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4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4" s="53"/>
      <c r="U4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4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4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4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4" s="176" t="str">
        <f>IF(COUNTIF(Tbl_tiempo7[REFERENCIA UNICA],Tbl_tiempo7[[#This Row],[REFERENCIA UNICA]])&gt;1,"REPETIDO","UNICO")</f>
        <v>UNICO</v>
      </c>
      <c r="Z4" s="265" t="str">
        <f>CONCATENATE(Tbl_tiempo7[[#This Row],[ID PERSONAL]],Tbl_tiempo7[[#This Row],[FECHA]],Tbl_tiempo7[[#This Row],[MARCA INICIAL]],Tbl_tiempo7[[#This Row],[MARCA FINAL]])</f>
        <v>1439170.3368055555555560.576388888888889</v>
      </c>
    </row>
    <row r="5" spans="1:30" x14ac:dyDescent="0.3">
      <c r="A5" s="85">
        <v>43918</v>
      </c>
      <c r="B5" s="304">
        <v>1</v>
      </c>
      <c r="C5" s="176" t="s">
        <v>524</v>
      </c>
      <c r="D5" s="287">
        <v>0.34027777777777773</v>
      </c>
      <c r="E5" s="287">
        <v>0.57986111111111105</v>
      </c>
      <c r="F5" s="176" t="str">
        <f>CONCATENATE(Tbl_tiempo7[[#This Row],[ID PERSONAL]],Tbl_tiempo7[[#This Row],[FECHA]])</f>
        <v>143918</v>
      </c>
      <c r="G5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0.34027777777777773</v>
      </c>
      <c r="H5" s="287">
        <f>IFERROR(Tbl_tiempo7[[#This Row],[MARCA FINAL]],"")</f>
        <v>0.57986111111111105</v>
      </c>
      <c r="I5" s="287" t="str">
        <f>IFERROR(VLOOKUP(Tbl_tiempo7[[#This Row],[ID PERSONAL]],Tbl_personal[],7,0),"")</f>
        <v>EXTRAS</v>
      </c>
      <c r="J5" s="287" t="str">
        <f>IFERROR(VLOOKUP(Tbl_tiempo7[[#This Row],[ID PERSONAL]],Tbl_personal[],8,0),"")</f>
        <v>ADMINISTRACION_J1</v>
      </c>
      <c r="K5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5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5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5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5" s="2"/>
      <c r="P5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/>
      </c>
      <c r="Q5" s="21"/>
      <c r="R5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5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5" s="53"/>
      <c r="U5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5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5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5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5" s="176" t="str">
        <f>IF(COUNTIF(Tbl_tiempo7[REFERENCIA UNICA],Tbl_tiempo7[[#This Row],[REFERENCIA UNICA]])&gt;1,"REPETIDO","UNICO")</f>
        <v>UNICO</v>
      </c>
      <c r="Z5" s="265" t="str">
        <f>CONCATENATE(Tbl_tiempo7[[#This Row],[ID PERSONAL]],Tbl_tiempo7[[#This Row],[FECHA]],Tbl_tiempo7[[#This Row],[MARCA INICIAL]],Tbl_tiempo7[[#This Row],[MARCA FINAL]])</f>
        <v>1439180.3402777777777780.579861111111111</v>
      </c>
    </row>
    <row r="6" spans="1:30" x14ac:dyDescent="0.3">
      <c r="A6" s="85">
        <v>43919</v>
      </c>
      <c r="B6" s="304">
        <v>1</v>
      </c>
      <c r="C6" s="176" t="s">
        <v>524</v>
      </c>
      <c r="D6" s="287">
        <v>0.34375</v>
      </c>
      <c r="E6" s="287">
        <v>0.58333333333333337</v>
      </c>
      <c r="F6" s="176" t="str">
        <f>CONCATENATE(Tbl_tiempo7[[#This Row],[ID PERSONAL]],Tbl_tiempo7[[#This Row],[FECHA]])</f>
        <v>143919</v>
      </c>
      <c r="G6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0.34375</v>
      </c>
      <c r="H6" s="287">
        <f>IFERROR(Tbl_tiempo7[[#This Row],[MARCA FINAL]],"")</f>
        <v>0.58333333333333337</v>
      </c>
      <c r="I6" s="287" t="str">
        <f>IFERROR(VLOOKUP(Tbl_tiempo7[[#This Row],[ID PERSONAL]],Tbl_personal[],7,0),"")</f>
        <v>EXTRAS</v>
      </c>
      <c r="J6" s="287" t="str">
        <f>IFERROR(VLOOKUP(Tbl_tiempo7[[#This Row],[ID PERSONAL]],Tbl_personal[],8,0),"")</f>
        <v>ADMINISTRACION_J1</v>
      </c>
      <c r="K6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0.23958333333333337</v>
      </c>
      <c r="L6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6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6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6" s="2"/>
      <c r="P6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6" s="21"/>
      <c r="R6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6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6" s="53"/>
      <c r="U6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6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6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6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6" s="176" t="str">
        <f>IF(COUNTIF(Tbl_tiempo7[REFERENCIA UNICA],Tbl_tiempo7[[#This Row],[REFERENCIA UNICA]])&gt;1,"REPETIDO","UNICO")</f>
        <v>UNICO</v>
      </c>
      <c r="Z6" s="265" t="str">
        <f>CONCATENATE(Tbl_tiempo7[[#This Row],[ID PERSONAL]],Tbl_tiempo7[[#This Row],[FECHA]],Tbl_tiempo7[[#This Row],[MARCA INICIAL]],Tbl_tiempo7[[#This Row],[MARCA FINAL]])</f>
        <v>1439190.343750.583333333333333</v>
      </c>
    </row>
    <row r="7" spans="1:30" x14ac:dyDescent="0.3">
      <c r="A7" s="85">
        <v>43920</v>
      </c>
      <c r="B7" s="304">
        <v>1</v>
      </c>
      <c r="C7" s="176" t="s">
        <v>524</v>
      </c>
      <c r="D7" s="287">
        <v>0.34722222222222227</v>
      </c>
      <c r="E7" s="287">
        <v>0.58680555555555558</v>
      </c>
      <c r="F7" s="176" t="str">
        <f>CONCATENATE(Tbl_tiempo7[[#This Row],[ID PERSONAL]],Tbl_tiempo7[[#This Row],[FECHA]])</f>
        <v>143920</v>
      </c>
      <c r="G7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0.34722222222222227</v>
      </c>
      <c r="H7" s="287">
        <f>IFERROR(Tbl_tiempo7[[#This Row],[MARCA FINAL]],"")</f>
        <v>0.58680555555555558</v>
      </c>
      <c r="I7" s="287" t="str">
        <f>IFERROR(VLOOKUP(Tbl_tiempo7[[#This Row],[ID PERSONAL]],Tbl_personal[],7,0),"")</f>
        <v>EXTRAS</v>
      </c>
      <c r="J7" s="287" t="str">
        <f>IFERROR(VLOOKUP(Tbl_tiempo7[[#This Row],[ID PERSONAL]],Tbl_personal[],8,0),"")</f>
        <v>ADMINISTRACION_J1</v>
      </c>
      <c r="K7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7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7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7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7" s="2"/>
      <c r="P7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7" s="21"/>
      <c r="R7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7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7" s="53"/>
      <c r="U7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7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7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7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7" s="176" t="str">
        <f>IF(COUNTIF(Tbl_tiempo7[REFERENCIA UNICA],Tbl_tiempo7[[#This Row],[REFERENCIA UNICA]])&gt;1,"REPETIDO","UNICO")</f>
        <v>UNICO</v>
      </c>
      <c r="Z7" s="265" t="str">
        <f>CONCATENATE(Tbl_tiempo7[[#This Row],[ID PERSONAL]],Tbl_tiempo7[[#This Row],[FECHA]],Tbl_tiempo7[[#This Row],[MARCA INICIAL]],Tbl_tiempo7[[#This Row],[MARCA FINAL]])</f>
        <v>1439200.3472222222222220.586805555555556</v>
      </c>
    </row>
    <row r="8" spans="1:30" x14ac:dyDescent="0.3">
      <c r="A8" s="85">
        <v>43921</v>
      </c>
      <c r="B8" s="304">
        <v>1</v>
      </c>
      <c r="C8" s="176" t="s">
        <v>524</v>
      </c>
      <c r="D8" s="287">
        <v>0.35069444444444442</v>
      </c>
      <c r="E8" s="287">
        <v>0.59027777777777779</v>
      </c>
      <c r="F8" s="176" t="str">
        <f>CONCATENATE(Tbl_tiempo7[[#This Row],[ID PERSONAL]],Tbl_tiempo7[[#This Row],[FECHA]])</f>
        <v>143921</v>
      </c>
      <c r="G8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0.35069444444444442</v>
      </c>
      <c r="H8" s="287">
        <f>IFERROR(Tbl_tiempo7[[#This Row],[MARCA FINAL]],"")</f>
        <v>0.59027777777777779</v>
      </c>
      <c r="I8" s="287" t="str">
        <f>IFERROR(VLOOKUP(Tbl_tiempo7[[#This Row],[ID PERSONAL]],Tbl_personal[],7,0),"")</f>
        <v>EXTRAS</v>
      </c>
      <c r="J8" s="287" t="str">
        <f>IFERROR(VLOOKUP(Tbl_tiempo7[[#This Row],[ID PERSONAL]],Tbl_personal[],8,0),"")</f>
        <v>ADMINISTRACION_J1</v>
      </c>
      <c r="K8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0.23958333333333337</v>
      </c>
      <c r="L8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8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8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8" s="2"/>
      <c r="P8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8" s="21"/>
      <c r="R8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8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8" s="53"/>
      <c r="U8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8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8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8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8" s="176" t="str">
        <f>IF(COUNTIF(Tbl_tiempo7[REFERENCIA UNICA],Tbl_tiempo7[[#This Row],[REFERENCIA UNICA]])&gt;1,"REPETIDO","UNICO")</f>
        <v>UNICO</v>
      </c>
      <c r="Z8" s="265" t="str">
        <f>CONCATENATE(Tbl_tiempo7[[#This Row],[ID PERSONAL]],Tbl_tiempo7[[#This Row],[FECHA]],Tbl_tiempo7[[#This Row],[MARCA INICIAL]],Tbl_tiempo7[[#This Row],[MARCA FINAL]])</f>
        <v>1439210.3506944444444440.590277777777778</v>
      </c>
    </row>
    <row r="9" spans="1:30" x14ac:dyDescent="0.3">
      <c r="A9" s="85">
        <v>43922</v>
      </c>
      <c r="B9" s="304">
        <v>1</v>
      </c>
      <c r="C9" s="176" t="s">
        <v>524</v>
      </c>
      <c r="D9" s="287">
        <v>0.35416666666666669</v>
      </c>
      <c r="E9" s="287">
        <v>0.59375</v>
      </c>
      <c r="F9" s="176" t="str">
        <f>CONCATENATE(Tbl_tiempo7[[#This Row],[ID PERSONAL]],Tbl_tiempo7[[#This Row],[FECHA]])</f>
        <v>143922</v>
      </c>
      <c r="G9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0.35416666666666669</v>
      </c>
      <c r="H9" s="287">
        <f>IFERROR(Tbl_tiempo7[[#This Row],[MARCA FINAL]],"")</f>
        <v>0.59375</v>
      </c>
      <c r="I9" s="287" t="str">
        <f>IFERROR(VLOOKUP(Tbl_tiempo7[[#This Row],[ID PERSONAL]],Tbl_personal[],7,0),"")</f>
        <v>EXTRAS</v>
      </c>
      <c r="J9" s="287" t="str">
        <f>IFERROR(VLOOKUP(Tbl_tiempo7[[#This Row],[ID PERSONAL]],Tbl_personal[],8,0),"")</f>
        <v>ADMINISTRACION_J1</v>
      </c>
      <c r="K9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9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9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9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9" s="2"/>
      <c r="P9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9" s="21"/>
      <c r="R9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9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9" s="53"/>
      <c r="U9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9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9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9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9" s="176" t="str">
        <f>IF(COUNTIF(Tbl_tiempo7[REFERENCIA UNICA],Tbl_tiempo7[[#This Row],[REFERENCIA UNICA]])&gt;1,"REPETIDO","UNICO")</f>
        <v>UNICO</v>
      </c>
      <c r="Z9" s="265" t="str">
        <f>CONCATENATE(Tbl_tiempo7[[#This Row],[ID PERSONAL]],Tbl_tiempo7[[#This Row],[FECHA]],Tbl_tiempo7[[#This Row],[MARCA INICIAL]],Tbl_tiempo7[[#This Row],[MARCA FINAL]])</f>
        <v>1439220.3541666666666670.59375</v>
      </c>
    </row>
    <row r="10" spans="1:30" x14ac:dyDescent="0.3">
      <c r="A10" s="85">
        <v>43923</v>
      </c>
      <c r="B10" s="304">
        <v>1</v>
      </c>
      <c r="C10" s="176" t="s">
        <v>524</v>
      </c>
      <c r="D10" s="287">
        <v>0.3576388888888889</v>
      </c>
      <c r="E10" s="287">
        <v>0.59722222222222221</v>
      </c>
      <c r="F10" s="176" t="str">
        <f>CONCATENATE(Tbl_tiempo7[[#This Row],[ID PERSONAL]],Tbl_tiempo7[[#This Row],[FECHA]])</f>
        <v>143923</v>
      </c>
      <c r="G10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0.3576388888888889</v>
      </c>
      <c r="H10" s="287">
        <f>IFERROR(Tbl_tiempo7[[#This Row],[MARCA FINAL]],"")</f>
        <v>0.59722222222222221</v>
      </c>
      <c r="I10" s="287" t="str">
        <f>IFERROR(VLOOKUP(Tbl_tiempo7[[#This Row],[ID PERSONAL]],Tbl_personal[],7,0),"")</f>
        <v>EXTRAS</v>
      </c>
      <c r="J10" s="287" t="str">
        <f>IFERROR(VLOOKUP(Tbl_tiempo7[[#This Row],[ID PERSONAL]],Tbl_personal[],8,0),"")</f>
        <v>ADMINISTRACION_J1</v>
      </c>
      <c r="K10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10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0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0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0" s="2"/>
      <c r="P10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0" s="21"/>
      <c r="R10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0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0" s="53"/>
      <c r="U10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0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0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0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0" s="176" t="str">
        <f>IF(COUNTIF(Tbl_tiempo7[REFERENCIA UNICA],Tbl_tiempo7[[#This Row],[REFERENCIA UNICA]])&gt;1,"REPETIDO","UNICO")</f>
        <v>UNICO</v>
      </c>
      <c r="Z10" s="265" t="str">
        <f>CONCATENATE(Tbl_tiempo7[[#This Row],[ID PERSONAL]],Tbl_tiempo7[[#This Row],[FECHA]],Tbl_tiempo7[[#This Row],[MARCA INICIAL]],Tbl_tiempo7[[#This Row],[MARCA FINAL]])</f>
        <v>1439230.3576388888888890.597222222222222</v>
      </c>
    </row>
    <row r="11" spans="1:30" x14ac:dyDescent="0.3">
      <c r="A11" s="85">
        <v>43924</v>
      </c>
      <c r="B11" s="304">
        <v>1</v>
      </c>
      <c r="C11" s="176" t="s">
        <v>524</v>
      </c>
      <c r="D11" s="287">
        <v>0.3611111111111111</v>
      </c>
      <c r="E11" s="287">
        <v>0.60069444444444442</v>
      </c>
      <c r="F11" s="176" t="str">
        <f>CONCATENATE(Tbl_tiempo7[[#This Row],[ID PERSONAL]],Tbl_tiempo7[[#This Row],[FECHA]])</f>
        <v>143924</v>
      </c>
      <c r="G11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0.3611111111111111</v>
      </c>
      <c r="H11" s="287">
        <f>IFERROR(Tbl_tiempo7[[#This Row],[MARCA FINAL]],"")</f>
        <v>0.60069444444444442</v>
      </c>
      <c r="I11" s="287" t="str">
        <f>IFERROR(VLOOKUP(Tbl_tiempo7[[#This Row],[ID PERSONAL]],Tbl_personal[],7,0),"")</f>
        <v>EXTRAS</v>
      </c>
      <c r="J11" s="287" t="str">
        <f>IFERROR(VLOOKUP(Tbl_tiempo7[[#This Row],[ID PERSONAL]],Tbl_personal[],8,0),"")</f>
        <v>ADMINISTRACION_J1</v>
      </c>
      <c r="K11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11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1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1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1" s="2"/>
      <c r="P11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1" s="21"/>
      <c r="R11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1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1" s="53"/>
      <c r="U11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1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1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1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1" s="176" t="str">
        <f>IF(COUNTIF(Tbl_tiempo7[REFERENCIA UNICA],Tbl_tiempo7[[#This Row],[REFERENCIA UNICA]])&gt;1,"REPETIDO","UNICO")</f>
        <v>UNICO</v>
      </c>
      <c r="Z11" s="265" t="str">
        <f>CONCATENATE(Tbl_tiempo7[[#This Row],[ID PERSONAL]],Tbl_tiempo7[[#This Row],[FECHA]],Tbl_tiempo7[[#This Row],[MARCA INICIAL]],Tbl_tiempo7[[#This Row],[MARCA FINAL]])</f>
        <v>1439240.3611111111111110.600694444444444</v>
      </c>
    </row>
    <row r="12" spans="1:30" x14ac:dyDescent="0.3">
      <c r="A12" s="85">
        <v>43925</v>
      </c>
      <c r="B12" s="304">
        <v>1</v>
      </c>
      <c r="C12" s="176" t="s">
        <v>524</v>
      </c>
      <c r="D12" s="287">
        <v>0.36458333333333331</v>
      </c>
      <c r="E12" s="287">
        <v>0.60416666666666663</v>
      </c>
      <c r="F12" s="176" t="str">
        <f>CONCATENATE(Tbl_tiempo7[[#This Row],[ID PERSONAL]],Tbl_tiempo7[[#This Row],[FECHA]])</f>
        <v>143925</v>
      </c>
      <c r="G12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0.36458333333333331</v>
      </c>
      <c r="H12" s="287">
        <f>IFERROR(Tbl_tiempo7[[#This Row],[MARCA FINAL]],"")</f>
        <v>0.60416666666666663</v>
      </c>
      <c r="I12" s="287" t="str">
        <f>IFERROR(VLOOKUP(Tbl_tiempo7[[#This Row],[ID PERSONAL]],Tbl_personal[],7,0),"")</f>
        <v>EXTRAS</v>
      </c>
      <c r="J12" s="287" t="str">
        <f>IFERROR(VLOOKUP(Tbl_tiempo7[[#This Row],[ID PERSONAL]],Tbl_personal[],8,0),"")</f>
        <v>ADMINISTRACION_J1</v>
      </c>
      <c r="K12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12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2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2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2" s="2"/>
      <c r="P12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/>
      </c>
      <c r="Q12" s="21"/>
      <c r="R12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2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2" s="53"/>
      <c r="U12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2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2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2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2" s="176" t="str">
        <f>IF(COUNTIF(Tbl_tiempo7[REFERENCIA UNICA],Tbl_tiempo7[[#This Row],[REFERENCIA UNICA]])&gt;1,"REPETIDO","UNICO")</f>
        <v>UNICO</v>
      </c>
      <c r="Z12" s="265" t="str">
        <f>CONCATENATE(Tbl_tiempo7[[#This Row],[ID PERSONAL]],Tbl_tiempo7[[#This Row],[FECHA]],Tbl_tiempo7[[#This Row],[MARCA INICIAL]],Tbl_tiempo7[[#This Row],[MARCA FINAL]])</f>
        <v>1439250.3645833333333330.604166666666667</v>
      </c>
    </row>
    <row r="13" spans="1:30" x14ac:dyDescent="0.3">
      <c r="A13" s="85">
        <v>43926</v>
      </c>
      <c r="B13" s="304">
        <v>1</v>
      </c>
      <c r="C13" s="176" t="s">
        <v>524</v>
      </c>
      <c r="D13" s="287">
        <v>0.36805555555555558</v>
      </c>
      <c r="E13" s="287">
        <v>0.60763888888888895</v>
      </c>
      <c r="F13" s="176" t="str">
        <f>CONCATENATE(Tbl_tiempo7[[#This Row],[ID PERSONAL]],Tbl_tiempo7[[#This Row],[FECHA]])</f>
        <v>143926</v>
      </c>
      <c r="G13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0.36805555555555558</v>
      </c>
      <c r="H13" s="287">
        <f>IFERROR(Tbl_tiempo7[[#This Row],[MARCA FINAL]],"")</f>
        <v>0.60763888888888895</v>
      </c>
      <c r="I13" s="287" t="str">
        <f>IFERROR(VLOOKUP(Tbl_tiempo7[[#This Row],[ID PERSONAL]],Tbl_personal[],7,0),"")</f>
        <v>EXTRAS</v>
      </c>
      <c r="J13" s="287" t="str">
        <f>IFERROR(VLOOKUP(Tbl_tiempo7[[#This Row],[ID PERSONAL]],Tbl_personal[],8,0),"")</f>
        <v>ADMINISTRACION_J1</v>
      </c>
      <c r="K13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0.23958333333333337</v>
      </c>
      <c r="L13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3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3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3" s="2"/>
      <c r="P13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3" s="21"/>
      <c r="R13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3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3" s="53"/>
      <c r="U13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3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3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3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3" s="176" t="str">
        <f>IF(COUNTIF(Tbl_tiempo7[REFERENCIA UNICA],Tbl_tiempo7[[#This Row],[REFERENCIA UNICA]])&gt;1,"REPETIDO","UNICO")</f>
        <v>UNICO</v>
      </c>
      <c r="Z13" s="265" t="str">
        <f>CONCATENATE(Tbl_tiempo7[[#This Row],[ID PERSONAL]],Tbl_tiempo7[[#This Row],[FECHA]],Tbl_tiempo7[[#This Row],[MARCA INICIAL]],Tbl_tiempo7[[#This Row],[MARCA FINAL]])</f>
        <v>1439260.3680555555555560.607638888888889</v>
      </c>
    </row>
    <row r="14" spans="1:30" x14ac:dyDescent="0.3">
      <c r="A14" s="85">
        <v>43927</v>
      </c>
      <c r="B14" s="304">
        <v>1</v>
      </c>
      <c r="C14" s="176" t="s">
        <v>524</v>
      </c>
      <c r="D14" s="287">
        <v>0.37152777777777773</v>
      </c>
      <c r="E14" s="287">
        <v>0.61111111111111105</v>
      </c>
      <c r="F14" s="176" t="str">
        <f>CONCATENATE(Tbl_tiempo7[[#This Row],[ID PERSONAL]],Tbl_tiempo7[[#This Row],[FECHA]])</f>
        <v>143927</v>
      </c>
      <c r="G14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0.37152777777777773</v>
      </c>
      <c r="H14" s="287">
        <f>IFERROR(Tbl_tiempo7[[#This Row],[MARCA FINAL]],"")</f>
        <v>0.61111111111111105</v>
      </c>
      <c r="I14" s="287" t="str">
        <f>IFERROR(VLOOKUP(Tbl_tiempo7[[#This Row],[ID PERSONAL]],Tbl_personal[],7,0),"")</f>
        <v>EXTRAS</v>
      </c>
      <c r="J14" s="287" t="str">
        <f>IFERROR(VLOOKUP(Tbl_tiempo7[[#This Row],[ID PERSONAL]],Tbl_personal[],8,0),"")</f>
        <v>ADMINISTRACION_J1</v>
      </c>
      <c r="K14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14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4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4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4" s="2"/>
      <c r="P14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4" s="21"/>
      <c r="R14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4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4" s="53"/>
      <c r="U14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4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4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4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4" s="176" t="str">
        <f>IF(COUNTIF(Tbl_tiempo7[REFERENCIA UNICA],Tbl_tiempo7[[#This Row],[REFERENCIA UNICA]])&gt;1,"REPETIDO","UNICO")</f>
        <v>UNICO</v>
      </c>
      <c r="Z14" s="265" t="str">
        <f>CONCATENATE(Tbl_tiempo7[[#This Row],[ID PERSONAL]],Tbl_tiempo7[[#This Row],[FECHA]],Tbl_tiempo7[[#This Row],[MARCA INICIAL]],Tbl_tiempo7[[#This Row],[MARCA FINAL]])</f>
        <v>1439270.3715277777777780.611111111111111</v>
      </c>
    </row>
    <row r="15" spans="1:30" x14ac:dyDescent="0.3">
      <c r="A15" s="85">
        <v>43928</v>
      </c>
      <c r="B15" s="304">
        <v>1</v>
      </c>
      <c r="C15" s="176" t="s">
        <v>524</v>
      </c>
      <c r="D15" s="287">
        <v>0.375</v>
      </c>
      <c r="E15" s="287">
        <v>0.61458333333333337</v>
      </c>
      <c r="F15" s="176" t="str">
        <f>CONCATENATE(Tbl_tiempo7[[#This Row],[ID PERSONAL]],Tbl_tiempo7[[#This Row],[FECHA]])</f>
        <v>143928</v>
      </c>
      <c r="G15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0.375</v>
      </c>
      <c r="H15" s="287">
        <f>IFERROR(Tbl_tiempo7[[#This Row],[MARCA FINAL]],"")</f>
        <v>0.61458333333333337</v>
      </c>
      <c r="I15" s="287" t="str">
        <f>IFERROR(VLOOKUP(Tbl_tiempo7[[#This Row],[ID PERSONAL]],Tbl_personal[],7,0),"")</f>
        <v>EXTRAS</v>
      </c>
      <c r="J15" s="287" t="str">
        <f>IFERROR(VLOOKUP(Tbl_tiempo7[[#This Row],[ID PERSONAL]],Tbl_personal[],8,0),"")</f>
        <v>ADMINISTRACION_J1</v>
      </c>
      <c r="K15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0.23958333333333337</v>
      </c>
      <c r="L15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5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5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5" s="2"/>
      <c r="P15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5" s="21"/>
      <c r="R15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5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5" s="53"/>
      <c r="U15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5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5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5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5" s="176" t="str">
        <f>IF(COUNTIF(Tbl_tiempo7[REFERENCIA UNICA],Tbl_tiempo7[[#This Row],[REFERENCIA UNICA]])&gt;1,"REPETIDO","UNICO")</f>
        <v>UNICO</v>
      </c>
      <c r="Z15" s="265" t="str">
        <f>CONCATENATE(Tbl_tiempo7[[#This Row],[ID PERSONAL]],Tbl_tiempo7[[#This Row],[FECHA]],Tbl_tiempo7[[#This Row],[MARCA INICIAL]],Tbl_tiempo7[[#This Row],[MARCA FINAL]])</f>
        <v>1439280.3750.614583333333333</v>
      </c>
    </row>
    <row r="16" spans="1:30" x14ac:dyDescent="0.3">
      <c r="A16" s="85">
        <v>43929</v>
      </c>
      <c r="B16" s="304">
        <v>1</v>
      </c>
      <c r="C16" s="176" t="s">
        <v>524</v>
      </c>
      <c r="D16" s="287">
        <v>0.37847222222222227</v>
      </c>
      <c r="E16" s="287">
        <v>0.61805555555555558</v>
      </c>
      <c r="F16" s="176" t="str">
        <f>CONCATENATE(Tbl_tiempo7[[#This Row],[ID PERSONAL]],Tbl_tiempo7[[#This Row],[FECHA]])</f>
        <v>143929</v>
      </c>
      <c r="G16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0.37847222222222227</v>
      </c>
      <c r="H16" s="287">
        <f>IFERROR(Tbl_tiempo7[[#This Row],[MARCA FINAL]],"")</f>
        <v>0.61805555555555558</v>
      </c>
      <c r="I16" s="287" t="str">
        <f>IFERROR(VLOOKUP(Tbl_tiempo7[[#This Row],[ID PERSONAL]],Tbl_personal[],7,0),"")</f>
        <v>EXTRAS</v>
      </c>
      <c r="J16" s="287" t="str">
        <f>IFERROR(VLOOKUP(Tbl_tiempo7[[#This Row],[ID PERSONAL]],Tbl_personal[],8,0),"")</f>
        <v>ADMINISTRACION_J1</v>
      </c>
      <c r="K16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0.23958333333333331</v>
      </c>
      <c r="L16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6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6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6" s="2"/>
      <c r="P16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6" s="21"/>
      <c r="R16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6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6" s="53"/>
      <c r="U16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6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6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6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6" s="176" t="str">
        <f>IF(COUNTIF(Tbl_tiempo7[REFERENCIA UNICA],Tbl_tiempo7[[#This Row],[REFERENCIA UNICA]])&gt;1,"REPETIDO","UNICO")</f>
        <v>UNICO</v>
      </c>
      <c r="Z16" s="265" t="str">
        <f>CONCATENATE(Tbl_tiempo7[[#This Row],[ID PERSONAL]],Tbl_tiempo7[[#This Row],[FECHA]],Tbl_tiempo7[[#This Row],[MARCA INICIAL]],Tbl_tiempo7[[#This Row],[MARCA FINAL]])</f>
        <v>1439290.3784722222222220.618055555555556</v>
      </c>
    </row>
    <row r="17" spans="1:26" x14ac:dyDescent="0.3">
      <c r="A17" s="85">
        <v>43930</v>
      </c>
      <c r="B17" s="304">
        <v>1</v>
      </c>
      <c r="C17" s="176" t="s">
        <v>524</v>
      </c>
      <c r="D17" s="287">
        <v>0.38194444444444442</v>
      </c>
      <c r="E17" s="287">
        <v>0.62152777777777779</v>
      </c>
      <c r="F17" s="176" t="str">
        <f>CONCATENATE(Tbl_tiempo7[[#This Row],[ID PERSONAL]],Tbl_tiempo7[[#This Row],[FECHA]])</f>
        <v>143930</v>
      </c>
      <c r="G17" s="287">
        <f>IFERROR(IF(Tbl_tiempo7[[#This Row],[PENALIZACIÓN]]=PENALIZADO,PENALIZADO,IF(Tbl_tiempo7[[#This Row],[MARCA INICIAL]]&lt;(VLOOKUP(Tbl_tiempo7[[#This Row],[JORNADA]],Tabla_Jornada[],(IF(WEEKDAY(Tbl_tiempo7[[#This Row],[FECHA]],1)=7,7,3)),0)+TIEMPO_ENTRADA_TARDIA),VLOOKUP(Tbl_tiempo7[[#This Row],[JORNADA]],Tabla_Jornada[],(IF(WEEKDAY(Tbl_tiempo7[[#This Row],[FECHA]],1)=7,7,3)),0),Tbl_tiempo7[[#This Row],[MARCA INICIAL]])),"")</f>
        <v>0.38194444444444442</v>
      </c>
      <c r="H17" s="287">
        <f>IFERROR(Tbl_tiempo7[[#This Row],[MARCA FINAL]],"")</f>
        <v>0.62152777777777779</v>
      </c>
      <c r="I17" s="287" t="str">
        <f>IFERROR(VLOOKUP(Tbl_tiempo7[[#This Row],[ID PERSONAL]],Tbl_personal[],7,0),"")</f>
        <v>EXTRAS</v>
      </c>
      <c r="J17" s="287" t="str">
        <f>IFERROR(VLOOKUP(Tbl_tiempo7[[#This Row],[ID PERSONAL]],Tbl_personal[],8,0),"")</f>
        <v>ADMINISTRACION_J1</v>
      </c>
      <c r="K17" s="21">
        <f>IFERROR(IF(Tbl_tiempo7[[#This Row],[ANALISIS MARCAJE FINAL]]=0,0,IF((Tbl_tiempo7[[#This Row],[ANALISIS MARCAJE FINAL]]&lt;Tbl_tiempo7[[#This Row],[ANALISIS MARCAJE INICIAL]]),0,(Tbl_tiempo7[[#This Row],[ANALISIS MARCAJE FINAL]]-Tbl_tiempo7[[#This Row],[ANALISIS MARCAJE INICIAL]]))),"ERROR")</f>
        <v>0.23958333333333337</v>
      </c>
      <c r="L17" s="21" t="str">
        <f>IFERROR(IF(COUNTIF(Tbl_tiempo7[REFERENCIA],Tbl_tiempo7[REFERENCIA])=1,(IF(SUMIFS(Tbl_tiempo7[HORAS],Tbl_tiempo7[REFERENCIA],Tbl_tiempo7[REFERENCIA])&lt;#REF!,SUMIFS(Tbl_tiempo7[HORAS],Tbl_tiempo7[REFERENCIA],Tbl_tiempo7[REFERENCIA]),SUMIFS(Tbl_tiempo7[HORAS],Tbl_tiempo7[REFERENCIA],Tbl_tiempo7[REFERENCIA])-(VLOOKUP(Tbl_tiempo7[[#This Row],[JORNADA]],Tabla_Jornada[],(IF(WEEKDAY(Tbl_tiempo7[[#This Row],[FECHA]],1)=7,8,4)),0))+Tbl_tiempo7[[#This Row],[HORAS ALMUERZO]])),SUMIFS(Tbl_tiempo7[HORAS],Tbl_tiempo7[REFERENCIA],Tbl_tiempo7[REFERENCIA])),"")</f>
        <v/>
      </c>
      <c r="M17" s="176" t="str">
        <f>IF(AND(COUNTIF(Tbl_tiempo7[REFERENCIA],Tbl_tiempo7[[#This Row],[REFERENCIA]])=1,IF(Tbl_tiempo7[[#This Row],[ANALISIS MARCAJE INICIAL]]&lt;Tbl_tiempo7[[#This Row],[ANALISIS MARCAJE FINAL]],"A","B")="B"),1,IF(AND(COUNTIF(Tbl_tiempo7[REFERENCIA],Tbl_tiempo7[[#This Row],[REFERENCIA]])&gt;1,IF(Tbl_tiempo7[[#This Row],[ANALISIS MARCAJE INICIAL]]&lt;Tbl_tiempo7[[#This Row],[ANALISIS MARCAJE FINAL]],"A","B")="B"),1,"-"))</f>
        <v>-</v>
      </c>
      <c r="N17" s="176" t="str">
        <f>IFERROR(IF(Tbl_tiempo7[[#This Row],[PENALIZACIÓN]]=PENALIZADO,"",IF(COUNTIFS(Tbl_tiempo7[REFERENCIA],Tbl_tiempo7[[#This Row],[REFERENCIA]],Tbl_tiempo7[FECHA],Tbl_tiempo7[[#This Row],[FECHA]],Tbl_tiempo7[CRITERIO],1)=1,"REVISAR",IF((COUNTIF(Tbl_tiempo7[REFERENCIA],Tbl_tiempo7[[#This Row],[REFERENCIA]]))&gt;=3,"REVISAR",IF(Tbl_tiempo7[[#This Row],[ANALISIS MARCAJE INICIAL]]=Tbl_tiempo7[[#This Row],[ANALISIS MARCAJE FINAL]],"REVISAR",IF(Tbl_tiempo7[[#This Row],[MARCA INICIAL]]="","REVISAR",IF((Tbl_tiempo7[[#This Row],[ANALISIS MARCAJE FINAL]]&lt;Tbl_tiempo7[[#This Row],[ANALISIS MARCAJE INICIAL]]),"REVISAR",IF(Tbl_tiempo7[[#This Row],[HORAS]]="ERROR","REVISAR",""))))))),"REVISAR")</f>
        <v/>
      </c>
      <c r="O17" s="2"/>
      <c r="P17" s="53" t="str">
        <f>IFERROR(IF(COUNTIF(Tbl_tiempo7[REFERENCIA],Tbl_tiempo7[REFERENCIA])=1,IF(VLOOKUP(Tbl_tiempo7[[#This Row],[JORNADA]],Tabla_Jornada[],(IF(WEEKDAY(Tbl_tiempo7[[#This Row],[FECHA]],1)=7,8,4)),0)&gt;0,IF(Tbl_tiempo7[[#This Row],[APROBACIÓN HORAS ALMUERZO]]="APROBADO","APROBACIÓN REALIZADA","PENDIENTE APROBACIÓN"),""),""),"")</f>
        <v>PENDIENTE APROBACIÓN</v>
      </c>
      <c r="Q17" s="21"/>
      <c r="R17" s="21">
        <f>IF(Tbl_tiempo7[[#This Row],[APROBACIÓN HORAS ALMUERZO]]="APROBADO",IF(Tbl_tiempo7[[#This Row],[MARCAJE ALMUERZO]]="APROBACIÓN REALIZADA",(VLOOKUP(Tbl_tiempo7[[#This Row],[JORNADA]],Tabla_Jornada[],(IF(WEEKDAY(Tbl_tiempo7[[#This Row],[FECHA]],1)=7,8,4)),0)),0),0)</f>
        <v>0</v>
      </c>
      <c r="S17" s="53" t="str">
        <f>IFERROR(IF(Tbl_tiempo7[[#This Row],[MARCA INICIAL]]&lt;VLOOKUP(Tbl_tiempo7[[#This Row],[JORNADA]],Tabla_Jornada[],(IF(WEEKDAY(Tbl_tiempo7[[#This Row],[FECHA]],1)=7,7,3)),0),IF(Tbl_tiempo7[[#This Row],[APROBACIÓN EXTRAS DIURNAS]]="APROBADO","APROBACIÓN REALIZADA","PENDIENTE APROBACIÓN"),""),"")</f>
        <v/>
      </c>
      <c r="T17" s="53"/>
      <c r="U17" s="53">
        <f>IF(Tbl_tiempo7[[#This Row],[APROBACIÓN EXTRAS DIURNAS]]="APROBADO",IF(Tbl_tiempo7[[#This Row],[MARCAJE EXTRA DIURNAS]]="APROBACIÓN REALIZADA",IF(VLOOKUP(Tbl_tiempo7[[#This Row],[REGIMEN]],Tabla_Regimen[],2,0)=SI,(VLOOKUP(Tbl_tiempo7[[#This Row],[JORNADA]],Tabla_Jornada[],(IF(WEEKDAY(Tbl_tiempo7[[#This Row],[FECHA]],1)=7,7,3)),0))-Tbl_tiempo7[[#This Row],[MARCA INICIAL]],0),0),0)</f>
        <v>0</v>
      </c>
      <c r="V17" s="21">
        <f>IFERROR(IF(VLOOKUP(Tbl_tiempo7[[#This Row],[REGIMEN]],Tabla_Regimen[],2,0)=SI,IF(Tbl_tiempo7[[#This Row],[ANALISIS MARCAJE FINAL]]&gt;(VLOOKUP(Tbl_tiempo7[[#This Row],[JORNADA]],Tabla_Jornada[],(IF(WEEKDAY(Tbl_tiempo7[[#This Row],[FECHA]],1)=7,9,5)))+#REF!),IF(Tbl_tiempo7[[#This Row],[ANALISIS MARCAJE FINAL]]&gt;PARAMETROS!$AG$4,PARAMETROS!$AG$4-VLOOKUP(Tbl_tiempo7[[#This Row],[JORNADA]],Tabla_Jornada[],(IF(WEEKDAY(Tbl_tiempo7[[#This Row],[FECHA]],1)=7,9,5))),Tbl_tiempo7[[#This Row],[ANALISIS MARCAJE FINAL]]-VLOOKUP(Tbl_tiempo7[[#This Row],[JORNADA]],Tabla_Jornada[],(IF(WEEKDAY(Tbl_tiempo7[[#This Row],[FECHA]],1)=7,9,5)))),0),0),0)</f>
        <v>0</v>
      </c>
      <c r="W17" s="21">
        <f>IFERROR(IF(VLOOKUP(Tbl_tiempo7[[#This Row],[REGIMEN]],Tabla_Regimen[],2,0)=SI,IF(Tbl_tiempo7[[#This Row],[ANALISIS MARCAJE FINAL]]&gt;PARAMETROS!$AF$5,IF(Tbl_tiempo7[[#This Row],[ANALISIS MARCAJE FINAL]]&gt;PARAMETROS!$AG$5,PARAMETROS!$AG$5-PARAMETROS!$AF$5,Tbl_tiempo7[[#This Row],[ANALISIS MARCAJE FINAL]]-PARAMETROS!$AF$5),0),0),0)</f>
        <v>0</v>
      </c>
      <c r="X17" s="21">
        <f>IFERROR(IF(VLOOKUP(Tbl_tiempo7[[#This Row],[REGIMEN]],Tabla_Regimen[],2,0)=SI,IF(Tbl_tiempo7[[#This Row],[ANALISIS MARCAJE FINAL]]&gt;PARAMETROS!$AF$6,Tbl_tiempo7[[#This Row],[ANALISIS MARCAJE FINAL]]-PARAMETROS!$AF$6,0),0),0)</f>
        <v>0</v>
      </c>
      <c r="Y17" s="176" t="str">
        <f>IF(COUNTIF(Tbl_tiempo7[REFERENCIA UNICA],Tbl_tiempo7[[#This Row],[REFERENCIA UNICA]])&gt;1,"REPETIDO","UNICO")</f>
        <v>UNICO</v>
      </c>
      <c r="Z17" s="265" t="str">
        <f>CONCATENATE(Tbl_tiempo7[[#This Row],[ID PERSONAL]],Tbl_tiempo7[[#This Row],[FECHA]],Tbl_tiempo7[[#This Row],[MARCA INICIAL]],Tbl_tiempo7[[#This Row],[MARCA FINAL]])</f>
        <v>1439300.3819444444444440.621527777777778</v>
      </c>
    </row>
    <row r="22" spans="1:26" x14ac:dyDescent="0.3">
      <c r="E22" s="286"/>
      <c r="F22" s="286"/>
    </row>
    <row r="23" spans="1:26" x14ac:dyDescent="0.3">
      <c r="E23" s="286"/>
      <c r="F23" s="286"/>
    </row>
    <row r="24" spans="1:26" x14ac:dyDescent="0.3">
      <c r="E24" s="286"/>
      <c r="F24" s="286"/>
    </row>
    <row r="25" spans="1:26" x14ac:dyDescent="0.3">
      <c r="E25" s="286"/>
      <c r="F25" s="286"/>
    </row>
    <row r="26" spans="1:26" x14ac:dyDescent="0.3">
      <c r="E26" s="286"/>
      <c r="F26" s="286"/>
    </row>
    <row r="27" spans="1:26" x14ac:dyDescent="0.3">
      <c r="E27" s="286"/>
      <c r="F27" s="286"/>
    </row>
    <row r="28" spans="1:26" x14ac:dyDescent="0.3">
      <c r="E28" s="286"/>
      <c r="F28" s="288"/>
    </row>
    <row r="29" spans="1:26" x14ac:dyDescent="0.3">
      <c r="E29" s="286"/>
      <c r="F29" s="286"/>
    </row>
    <row r="30" spans="1:26" x14ac:dyDescent="0.3">
      <c r="E30" s="286"/>
      <c r="F30" s="286"/>
    </row>
    <row r="31" spans="1:26" x14ac:dyDescent="0.3">
      <c r="E31" s="286"/>
      <c r="F31" s="286"/>
    </row>
    <row r="32" spans="1:26" x14ac:dyDescent="0.3">
      <c r="E32" s="286"/>
      <c r="F32" s="286"/>
    </row>
    <row r="33" spans="5:6" x14ac:dyDescent="0.3">
      <c r="E33" s="286"/>
      <c r="F33" s="286"/>
    </row>
    <row r="34" spans="5:6" x14ac:dyDescent="0.3">
      <c r="E34" s="286"/>
      <c r="F34" s="286"/>
    </row>
    <row r="35" spans="5:6" x14ac:dyDescent="0.3">
      <c r="E35" s="286"/>
      <c r="F35" s="286"/>
    </row>
    <row r="36" spans="5:6" x14ac:dyDescent="0.3">
      <c r="E36" s="286"/>
      <c r="F36" s="286"/>
    </row>
  </sheetData>
  <conditionalFormatting sqref="P2:R17">
    <cfRule type="cellIs" dxfId="20" priority="4" stopIfTrue="1" operator="greaterThan">
      <formula>0</formula>
    </cfRule>
  </conditionalFormatting>
  <conditionalFormatting sqref="V2:X17">
    <cfRule type="cellIs" dxfId="19" priority="3" operator="greaterThan">
      <formula>0</formula>
    </cfRule>
  </conditionalFormatting>
  <conditionalFormatting sqref="S2:U17">
    <cfRule type="cellIs" dxfId="18" priority="2" operator="greaterThan">
      <formula>0</formula>
    </cfRule>
  </conditionalFormatting>
  <conditionalFormatting sqref="O2:O17">
    <cfRule type="cellIs" dxfId="17" priority="1" operator="greaterThanOrEqual">
      <formula>0</formula>
    </cfRule>
  </conditionalFormatting>
  <conditionalFormatting sqref="J1:J17 G1:H17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2:Z17">
    <cfRule type="expression" dxfId="16" priority="4131">
      <formula>$O2="PENALIZADO"</formula>
    </cfRule>
    <cfRule type="expression" dxfId="15" priority="4132">
      <formula>$Y2="REPETIDO"</formula>
    </cfRule>
    <cfRule type="expression" dxfId="14" priority="4133">
      <formula>$N2="REVISAR"</formula>
    </cfRule>
  </conditionalFormatting>
  <dataValidations disablePrompts="1" count="1">
    <dataValidation type="list" allowBlank="1" showInputMessage="1" showErrorMessage="1" sqref="Q2:Q17">
      <formula1>$AH$17:$AH$18</formula1>
    </dataValidation>
  </dataValidations>
  <pageMargins left="0.70866141732283472" right="0.70866141732283472" top="0.74803149606299213" bottom="0.74803149606299213" header="0.31496062992125984" footer="0.31496062992125984"/>
  <pageSetup scale="31" fitToHeight="0" orientation="landscape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PARAMETROS!$Q$36:$Q$37</xm:f>
          </x14:formula1>
          <xm:sqref>T2:T17</xm:sqref>
        </x14:dataValidation>
        <x14:dataValidation type="list" allowBlank="1" showInputMessage="1" showErrorMessage="1">
          <x14:formula1>
            <xm:f>PARAMETROS!$Q$30:$Q$31</xm:f>
          </x14:formula1>
          <xm:sqref>O2:O17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8" tint="-0.249977111117893"/>
    <pageSetUpPr fitToPage="1"/>
  </sheetPr>
  <dimension ref="A1:XDN308"/>
  <sheetViews>
    <sheetView showGridLines="0" zoomScale="70" zoomScaleNormal="70" workbookViewId="0">
      <pane xSplit="2" topLeftCell="HB1" activePane="topRight" state="frozen"/>
      <selection sqref="A1:R1"/>
      <selection pane="topRight" activeCell="HB5" sqref="HB5"/>
    </sheetView>
  </sheetViews>
  <sheetFormatPr baseColWidth="10" defaultColWidth="11.44140625" defaultRowHeight="14.4" x14ac:dyDescent="0.3"/>
  <cols>
    <col min="1" max="1" width="14.77734375" style="4" bestFit="1" customWidth="1"/>
    <col min="2" max="2" width="47" style="4" customWidth="1"/>
    <col min="3" max="3" width="32.5546875" style="4" customWidth="1"/>
    <col min="4" max="5" width="26.21875" style="4" customWidth="1"/>
    <col min="6" max="6" width="26.21875" style="39" customWidth="1"/>
    <col min="7" max="7" width="31.44140625" style="39" customWidth="1"/>
    <col min="8" max="8" width="16.77734375" style="4" customWidth="1"/>
    <col min="9" max="15" width="16.44140625" style="4" customWidth="1"/>
    <col min="16" max="16" width="23" style="4" bestFit="1" customWidth="1"/>
    <col min="17" max="18" width="16.44140625" style="4" customWidth="1"/>
    <col min="19" max="20" width="16.44140625" style="5" customWidth="1"/>
    <col min="21" max="21" width="22.77734375" style="5" customWidth="1"/>
    <col min="22" max="22" width="18" style="5" customWidth="1"/>
    <col min="23" max="24" width="14.5546875" style="4" customWidth="1"/>
    <col min="25" max="25" width="17.77734375" style="4" customWidth="1"/>
    <col min="26" max="27" width="13.21875" style="4" customWidth="1"/>
    <col min="28" max="28" width="14.5546875" style="4" customWidth="1"/>
    <col min="29" max="29" width="16.44140625" style="4" customWidth="1"/>
    <col min="30" max="31" width="14.5546875" style="4" customWidth="1"/>
    <col min="32" max="32" width="19.77734375" style="4" customWidth="1"/>
    <col min="33" max="33" width="14.5546875" style="4" customWidth="1"/>
    <col min="34" max="35" width="20.77734375" style="4" customWidth="1"/>
    <col min="36" max="38" width="14.5546875" style="4" customWidth="1"/>
    <col min="39" max="41" width="18.44140625" style="4" customWidth="1"/>
    <col min="42" max="42" width="14.5546875" style="4" customWidth="1"/>
    <col min="43" max="43" width="17.77734375" style="4" customWidth="1"/>
    <col min="44" max="51" width="14.5546875" style="4" customWidth="1"/>
    <col min="52" max="54" width="19.21875" style="4" customWidth="1"/>
    <col min="55" max="63" width="14.5546875" style="4" customWidth="1"/>
    <col min="64" max="66" width="18.77734375" style="4" customWidth="1"/>
    <col min="67" max="75" width="14.5546875" style="4" customWidth="1"/>
    <col min="76" max="78" width="17.44140625" style="4" customWidth="1"/>
    <col min="79" max="87" width="14.5546875" style="4" customWidth="1"/>
    <col min="88" max="90" width="20" style="4" customWidth="1"/>
    <col min="91" max="99" width="14.5546875" style="4" customWidth="1"/>
    <col min="100" max="102" width="18.21875" style="4" customWidth="1"/>
    <col min="103" max="111" width="14.5546875" style="4" customWidth="1"/>
    <col min="112" max="114" width="18.21875" style="4" customWidth="1"/>
    <col min="115" max="123" width="14.5546875" style="4" customWidth="1"/>
    <col min="124" max="126" width="19.21875" style="4" customWidth="1"/>
    <col min="127" max="135" width="14.5546875" style="4" customWidth="1"/>
    <col min="136" max="136" width="19.77734375" style="4" customWidth="1"/>
    <col min="137" max="138" width="19.21875" style="4" customWidth="1"/>
    <col min="139" max="147" width="14.5546875" style="4" customWidth="1"/>
    <col min="148" max="150" width="18.5546875" style="4" customWidth="1"/>
    <col min="151" max="159" width="14.5546875" style="4" customWidth="1"/>
    <col min="160" max="162" width="18.5546875" style="4" customWidth="1"/>
    <col min="163" max="171" width="14.5546875" style="4" customWidth="1"/>
    <col min="172" max="174" width="19.21875" style="4" customWidth="1"/>
    <col min="175" max="183" width="14.5546875" style="4" customWidth="1"/>
    <col min="184" max="186" width="18.21875" style="4" customWidth="1"/>
    <col min="187" max="195" width="14.5546875" style="4" customWidth="1"/>
    <col min="196" max="198" width="18.21875" style="4" customWidth="1"/>
    <col min="199" max="204" width="14.5546875" style="4" customWidth="1"/>
    <col min="205" max="205" width="17.21875" style="3" customWidth="1"/>
    <col min="206" max="206" width="19.77734375" style="23" customWidth="1"/>
    <col min="207" max="207" width="16.77734375" style="3" customWidth="1"/>
    <col min="208" max="208" width="19.77734375" style="23" customWidth="1"/>
    <col min="209" max="209" width="18.44140625" customWidth="1"/>
    <col min="210" max="210" width="14.21875" customWidth="1"/>
    <col min="211" max="211" width="18.21875" style="4" customWidth="1"/>
    <col min="212" max="212" width="16.77734375" style="4" customWidth="1"/>
    <col min="213" max="213" width="14.44140625" style="4" customWidth="1"/>
    <col min="214" max="214" width="20.5546875" customWidth="1"/>
    <col min="215" max="215" width="19.77734375" style="23" customWidth="1"/>
    <col min="216" max="216" width="17.5546875" customWidth="1"/>
    <col min="217" max="217" width="19.21875" customWidth="1"/>
    <col min="218" max="218" width="19.77734375" style="23" customWidth="1"/>
    <col min="219" max="219" width="26.77734375" style="23" bestFit="1" customWidth="1"/>
    <col min="220" max="220" width="19.77734375" style="23" customWidth="1"/>
    <col min="221" max="221" width="22.44140625" customWidth="1"/>
    <col min="222" max="222" width="17.21875" style="3" customWidth="1"/>
    <col min="223" max="223" width="22.44140625" style="3" customWidth="1"/>
    <col min="224" max="225" width="20.21875" style="3" customWidth="1"/>
    <col min="226" max="226" width="65.21875" style="3" customWidth="1"/>
    <col min="227" max="227" width="15.77734375" customWidth="1"/>
    <col min="230" max="230" width="18.77734375" style="4" customWidth="1"/>
    <col min="231" max="231" width="19.21875" customWidth="1"/>
    <col min="232" max="232" width="11.44140625" style="4"/>
    <col min="233" max="233" width="13.44140625" style="23" customWidth="1"/>
    <col min="234" max="235" width="19.21875" style="23" bestFit="1" customWidth="1"/>
    <col min="236" max="236" width="26.21875" style="23" customWidth="1"/>
    <col min="237" max="237" width="17.21875" customWidth="1"/>
    <col min="238" max="238" width="13.44140625" customWidth="1"/>
    <col min="239" max="16384" width="11.44140625" style="4"/>
  </cols>
  <sheetData>
    <row r="1" spans="1:16342" s="18" customFormat="1" ht="33" customHeight="1" x14ac:dyDescent="0.3">
      <c r="A1" s="344" t="s">
        <v>9</v>
      </c>
      <c r="B1" s="345"/>
      <c r="C1" s="345"/>
      <c r="D1" s="7"/>
      <c r="E1" s="7"/>
      <c r="F1" s="35"/>
      <c r="G1" s="35"/>
      <c r="H1" s="8"/>
      <c r="I1" s="9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32"/>
      <c r="GY1" s="11"/>
      <c r="GZ1" s="32"/>
      <c r="HA1" s="32"/>
      <c r="HB1" s="24"/>
      <c r="HC1" s="24"/>
      <c r="HD1" s="24"/>
      <c r="HE1" s="24"/>
      <c r="HF1" s="32"/>
      <c r="HG1" s="32"/>
      <c r="HH1" s="32"/>
      <c r="HI1" s="33"/>
      <c r="HJ1" s="32"/>
      <c r="HK1" s="32"/>
      <c r="HL1" s="33"/>
      <c r="HM1" s="32"/>
      <c r="HN1" s="34"/>
      <c r="HO1" s="10"/>
      <c r="HP1" s="10"/>
      <c r="HQ1" s="10"/>
      <c r="HR1" s="10"/>
      <c r="HS1" s="13"/>
    </row>
    <row r="2" spans="1:16342" s="18" customFormat="1" ht="27.75" customHeight="1" x14ac:dyDescent="0.3">
      <c r="A2" s="346" t="s">
        <v>10</v>
      </c>
      <c r="B2" s="347"/>
      <c r="C2" s="343">
        <v>43916</v>
      </c>
      <c r="D2" s="343"/>
      <c r="E2" s="112"/>
      <c r="F2" s="36"/>
      <c r="G2" s="36"/>
      <c r="H2" s="8"/>
      <c r="I2" s="348">
        <f>IFERROR(FECHA_HORAS,"-")</f>
        <v>43916</v>
      </c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>
        <f>IF(I2="-","-",I2+1)</f>
        <v>43917</v>
      </c>
      <c r="V2" s="348"/>
      <c r="W2" s="348"/>
      <c r="X2" s="348"/>
      <c r="Y2" s="348"/>
      <c r="Z2" s="348"/>
      <c r="AA2" s="348"/>
      <c r="AB2" s="348"/>
      <c r="AC2" s="348"/>
      <c r="AD2" s="348"/>
      <c r="AE2" s="348"/>
      <c r="AF2" s="348"/>
      <c r="AG2" s="348">
        <f>IF(U2="-","-",U2+1)</f>
        <v>43918</v>
      </c>
      <c r="AH2" s="348"/>
      <c r="AI2" s="348"/>
      <c r="AJ2" s="348"/>
      <c r="AK2" s="348"/>
      <c r="AL2" s="348"/>
      <c r="AM2" s="348"/>
      <c r="AN2" s="348"/>
      <c r="AO2" s="348"/>
      <c r="AP2" s="348"/>
      <c r="AQ2" s="348"/>
      <c r="AR2" s="348"/>
      <c r="AS2" s="348">
        <f>IF(AG2="-","-",AG2+1)</f>
        <v>43919</v>
      </c>
      <c r="AT2" s="348"/>
      <c r="AU2" s="348"/>
      <c r="AV2" s="348"/>
      <c r="AW2" s="348"/>
      <c r="AX2" s="348"/>
      <c r="AY2" s="348"/>
      <c r="AZ2" s="348"/>
      <c r="BA2" s="348"/>
      <c r="BB2" s="348"/>
      <c r="BC2" s="348"/>
      <c r="BD2" s="348"/>
      <c r="BE2" s="348">
        <f>IF(AS2="-","-",AS2+1)</f>
        <v>43920</v>
      </c>
      <c r="BF2" s="348"/>
      <c r="BG2" s="348"/>
      <c r="BH2" s="348"/>
      <c r="BI2" s="348"/>
      <c r="BJ2" s="348"/>
      <c r="BK2" s="348"/>
      <c r="BL2" s="348"/>
      <c r="BM2" s="348"/>
      <c r="BN2" s="348"/>
      <c r="BO2" s="348"/>
      <c r="BP2" s="348"/>
      <c r="BQ2" s="348">
        <f>IF(BE2="-","-",BE2+1)</f>
        <v>43921</v>
      </c>
      <c r="BR2" s="348"/>
      <c r="BS2" s="348"/>
      <c r="BT2" s="348"/>
      <c r="BU2" s="348"/>
      <c r="BV2" s="348"/>
      <c r="BW2" s="348"/>
      <c r="BX2" s="348"/>
      <c r="BY2" s="348"/>
      <c r="BZ2" s="348"/>
      <c r="CA2" s="348"/>
      <c r="CB2" s="348"/>
      <c r="CC2" s="348">
        <f>IF(BQ2="-","-",BQ2+1)</f>
        <v>43922</v>
      </c>
      <c r="CD2" s="348"/>
      <c r="CE2" s="348"/>
      <c r="CF2" s="348"/>
      <c r="CG2" s="348"/>
      <c r="CH2" s="348"/>
      <c r="CI2" s="348"/>
      <c r="CJ2" s="348"/>
      <c r="CK2" s="348"/>
      <c r="CL2" s="348"/>
      <c r="CM2" s="348"/>
      <c r="CN2" s="348"/>
      <c r="CO2" s="348">
        <f>IF(CC2="-","-",CC2+1)</f>
        <v>43923</v>
      </c>
      <c r="CP2" s="348"/>
      <c r="CQ2" s="348"/>
      <c r="CR2" s="348"/>
      <c r="CS2" s="348"/>
      <c r="CT2" s="348"/>
      <c r="CU2" s="348"/>
      <c r="CV2" s="348"/>
      <c r="CW2" s="348"/>
      <c r="CX2" s="348"/>
      <c r="CY2" s="348"/>
      <c r="CZ2" s="348"/>
      <c r="DA2" s="348">
        <f>IF(CO2="-","-",CO2+1)</f>
        <v>43924</v>
      </c>
      <c r="DB2" s="348"/>
      <c r="DC2" s="348"/>
      <c r="DD2" s="348"/>
      <c r="DE2" s="348"/>
      <c r="DF2" s="348"/>
      <c r="DG2" s="348"/>
      <c r="DH2" s="348"/>
      <c r="DI2" s="348"/>
      <c r="DJ2" s="348"/>
      <c r="DK2" s="348"/>
      <c r="DL2" s="348"/>
      <c r="DM2" s="348">
        <f>IF(DA2="-","-",DA2+1)</f>
        <v>43925</v>
      </c>
      <c r="DN2" s="348"/>
      <c r="DO2" s="348"/>
      <c r="DP2" s="348"/>
      <c r="DQ2" s="348"/>
      <c r="DR2" s="348"/>
      <c r="DS2" s="348"/>
      <c r="DT2" s="348"/>
      <c r="DU2" s="348"/>
      <c r="DV2" s="348"/>
      <c r="DW2" s="348"/>
      <c r="DX2" s="348"/>
      <c r="DY2" s="348">
        <f>IF(DM2="-","-",DM2+1)</f>
        <v>43926</v>
      </c>
      <c r="DZ2" s="348"/>
      <c r="EA2" s="348"/>
      <c r="EB2" s="348"/>
      <c r="EC2" s="348"/>
      <c r="ED2" s="348"/>
      <c r="EE2" s="348"/>
      <c r="EF2" s="348"/>
      <c r="EG2" s="348"/>
      <c r="EH2" s="348"/>
      <c r="EI2" s="348"/>
      <c r="EJ2" s="348"/>
      <c r="EK2" s="348">
        <f>IF(DY2="-","-",DY2+1)</f>
        <v>43927</v>
      </c>
      <c r="EL2" s="348"/>
      <c r="EM2" s="348"/>
      <c r="EN2" s="348"/>
      <c r="EO2" s="348"/>
      <c r="EP2" s="348"/>
      <c r="EQ2" s="348"/>
      <c r="ER2" s="348"/>
      <c r="ES2" s="348"/>
      <c r="ET2" s="348"/>
      <c r="EU2" s="348"/>
      <c r="EV2" s="348"/>
      <c r="EW2" s="348">
        <f>IF(EK2="-","-",EK2+1)</f>
        <v>43928</v>
      </c>
      <c r="EX2" s="348"/>
      <c r="EY2" s="348"/>
      <c r="EZ2" s="348"/>
      <c r="FA2" s="348"/>
      <c r="FB2" s="348"/>
      <c r="FC2" s="348"/>
      <c r="FD2" s="348"/>
      <c r="FE2" s="348"/>
      <c r="FF2" s="348"/>
      <c r="FG2" s="348"/>
      <c r="FH2" s="348"/>
      <c r="FI2" s="348">
        <f>IF(FI3="-","-",EW2+1)</f>
        <v>43929</v>
      </c>
      <c r="FJ2" s="348"/>
      <c r="FK2" s="348"/>
      <c r="FL2" s="348"/>
      <c r="FM2" s="348"/>
      <c r="FN2" s="348"/>
      <c r="FO2" s="348"/>
      <c r="FP2" s="348"/>
      <c r="FQ2" s="348"/>
      <c r="FR2" s="348"/>
      <c r="FS2" s="348"/>
      <c r="FT2" s="348"/>
      <c r="FU2" s="348">
        <f>IF(FU3="-","-",FI2+1)</f>
        <v>43930</v>
      </c>
      <c r="FV2" s="348"/>
      <c r="FW2" s="348"/>
      <c r="FX2" s="348"/>
      <c r="FY2" s="348"/>
      <c r="FZ2" s="348"/>
      <c r="GA2" s="348"/>
      <c r="GB2" s="348"/>
      <c r="GC2" s="348"/>
      <c r="GD2" s="348"/>
      <c r="GE2" s="348"/>
      <c r="GF2" s="348"/>
      <c r="GG2" s="348">
        <f>IF(GG3="-","-",FU2+1)</f>
        <v>43931</v>
      </c>
      <c r="GH2" s="348"/>
      <c r="GI2" s="348"/>
      <c r="GJ2" s="348"/>
      <c r="GK2" s="348"/>
      <c r="GL2" s="348"/>
      <c r="GM2" s="348"/>
      <c r="GN2" s="348"/>
      <c r="GO2" s="348"/>
      <c r="GP2" s="348"/>
      <c r="GQ2" s="348"/>
      <c r="GR2" s="348"/>
      <c r="GS2" s="212"/>
      <c r="GT2" s="212"/>
      <c r="GU2" s="212"/>
      <c r="GV2" s="212"/>
      <c r="GW2" s="13"/>
      <c r="GX2" s="24"/>
      <c r="GY2" s="12"/>
      <c r="GZ2" s="12"/>
      <c r="HA2" s="24"/>
      <c r="HB2" s="24"/>
      <c r="HC2" s="24"/>
      <c r="HD2" s="24"/>
      <c r="HE2" s="24"/>
      <c r="HF2" s="24"/>
      <c r="HG2" s="24"/>
      <c r="HH2" s="24"/>
      <c r="HI2" s="12"/>
      <c r="HJ2" s="13"/>
      <c r="HK2" s="13"/>
      <c r="HL2" s="13"/>
      <c r="HM2" s="12"/>
      <c r="HN2" s="13"/>
      <c r="HO2" s="13"/>
      <c r="HP2" s="13"/>
      <c r="HQ2" s="13"/>
      <c r="HR2" s="13"/>
      <c r="HS2" s="13"/>
    </row>
    <row r="3" spans="1:16342" s="18" customFormat="1" ht="27" customHeight="1" x14ac:dyDescent="0.3">
      <c r="A3" s="129"/>
      <c r="B3" s="130"/>
      <c r="C3" s="131"/>
      <c r="D3" s="132"/>
      <c r="E3" s="132"/>
      <c r="F3" s="133"/>
      <c r="G3" s="133"/>
      <c r="H3" s="134"/>
      <c r="I3" s="349">
        <f>IFERROR(DAY(I2),"-")</f>
        <v>26</v>
      </c>
      <c r="J3" s="349"/>
      <c r="K3" s="349"/>
      <c r="L3" s="349"/>
      <c r="M3" s="349"/>
      <c r="N3" s="349"/>
      <c r="O3" s="349"/>
      <c r="P3" s="349"/>
      <c r="Q3" s="349"/>
      <c r="R3" s="349"/>
      <c r="S3" s="349"/>
      <c r="T3" s="349"/>
      <c r="U3" s="349">
        <f>IFERROR(DIASMES+1,"-")</f>
        <v>27</v>
      </c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>
        <f>IFERROR(DAY(AG2),"-")</f>
        <v>28</v>
      </c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>
        <f>IFERROR(DAY(AS2),"-")</f>
        <v>29</v>
      </c>
      <c r="AT3" s="349"/>
      <c r="AU3" s="349"/>
      <c r="AV3" s="349"/>
      <c r="AW3" s="349"/>
      <c r="AX3" s="349"/>
      <c r="AY3" s="349"/>
      <c r="AZ3" s="349"/>
      <c r="BA3" s="349"/>
      <c r="BB3" s="349"/>
      <c r="BC3" s="349"/>
      <c r="BD3" s="349"/>
      <c r="BE3" s="349">
        <f>IFERROR(DAY(BE2),"-")</f>
        <v>30</v>
      </c>
      <c r="BF3" s="349"/>
      <c r="BG3" s="349"/>
      <c r="BH3" s="349"/>
      <c r="BI3" s="349"/>
      <c r="BJ3" s="349"/>
      <c r="BK3" s="349"/>
      <c r="BL3" s="349"/>
      <c r="BM3" s="349"/>
      <c r="BN3" s="349"/>
      <c r="BO3" s="349"/>
      <c r="BP3" s="349"/>
      <c r="BQ3" s="349">
        <f>IFERROR(DAY(BQ2),"-")</f>
        <v>31</v>
      </c>
      <c r="BR3" s="349"/>
      <c r="BS3" s="349"/>
      <c r="BT3" s="349"/>
      <c r="BU3" s="349"/>
      <c r="BV3" s="349"/>
      <c r="BW3" s="349"/>
      <c r="BX3" s="349"/>
      <c r="BY3" s="349"/>
      <c r="BZ3" s="349"/>
      <c r="CA3" s="349"/>
      <c r="CB3" s="349"/>
      <c r="CC3" s="349">
        <f>IFERROR(DAY(CC2),"-")</f>
        <v>1</v>
      </c>
      <c r="CD3" s="349"/>
      <c r="CE3" s="349"/>
      <c r="CF3" s="349"/>
      <c r="CG3" s="349"/>
      <c r="CH3" s="349"/>
      <c r="CI3" s="349"/>
      <c r="CJ3" s="349"/>
      <c r="CK3" s="349"/>
      <c r="CL3" s="349"/>
      <c r="CM3" s="349"/>
      <c r="CN3" s="349"/>
      <c r="CO3" s="349">
        <f>IFERROR(DAY(CO2),"-")</f>
        <v>2</v>
      </c>
      <c r="CP3" s="349"/>
      <c r="CQ3" s="349"/>
      <c r="CR3" s="349"/>
      <c r="CS3" s="349"/>
      <c r="CT3" s="349"/>
      <c r="CU3" s="349"/>
      <c r="CV3" s="349"/>
      <c r="CW3" s="349"/>
      <c r="CX3" s="349"/>
      <c r="CY3" s="349"/>
      <c r="CZ3" s="349"/>
      <c r="DA3" s="349">
        <f>IFERROR(DAY(DA2),"-")</f>
        <v>3</v>
      </c>
      <c r="DB3" s="349"/>
      <c r="DC3" s="349"/>
      <c r="DD3" s="349"/>
      <c r="DE3" s="349"/>
      <c r="DF3" s="349"/>
      <c r="DG3" s="349"/>
      <c r="DH3" s="349"/>
      <c r="DI3" s="349"/>
      <c r="DJ3" s="349"/>
      <c r="DK3" s="349"/>
      <c r="DL3" s="349"/>
      <c r="DM3" s="349">
        <f>IFERROR(DAY(DM2),"-")</f>
        <v>4</v>
      </c>
      <c r="DN3" s="349"/>
      <c r="DO3" s="349"/>
      <c r="DP3" s="349"/>
      <c r="DQ3" s="349"/>
      <c r="DR3" s="349"/>
      <c r="DS3" s="349"/>
      <c r="DT3" s="349"/>
      <c r="DU3" s="349"/>
      <c r="DV3" s="349"/>
      <c r="DW3" s="349"/>
      <c r="DX3" s="349"/>
      <c r="DY3" s="349">
        <f>IFERROR(DAY(DY2),"-")</f>
        <v>5</v>
      </c>
      <c r="DZ3" s="349"/>
      <c r="EA3" s="349"/>
      <c r="EB3" s="349"/>
      <c r="EC3" s="349"/>
      <c r="ED3" s="349"/>
      <c r="EE3" s="349"/>
      <c r="EF3" s="349"/>
      <c r="EG3" s="349"/>
      <c r="EH3" s="349"/>
      <c r="EI3" s="349"/>
      <c r="EJ3" s="349"/>
      <c r="EK3" s="349">
        <f>IFERROR(DAY(EK2),"-")</f>
        <v>6</v>
      </c>
      <c r="EL3" s="349"/>
      <c r="EM3" s="349"/>
      <c r="EN3" s="349"/>
      <c r="EO3" s="349"/>
      <c r="EP3" s="349"/>
      <c r="EQ3" s="349"/>
      <c r="ER3" s="349"/>
      <c r="ES3" s="349"/>
      <c r="ET3" s="349"/>
      <c r="EU3" s="349"/>
      <c r="EV3" s="349"/>
      <c r="EW3" s="349">
        <f>IF(ISERROR(EK3+1),"-",EK3+1)</f>
        <v>7</v>
      </c>
      <c r="EX3" s="349"/>
      <c r="EY3" s="349"/>
      <c r="EZ3" s="349"/>
      <c r="FA3" s="349"/>
      <c r="FB3" s="349"/>
      <c r="FC3" s="349"/>
      <c r="FD3" s="349"/>
      <c r="FE3" s="349"/>
      <c r="FF3" s="349"/>
      <c r="FG3" s="349"/>
      <c r="FH3" s="349"/>
      <c r="FI3" s="349">
        <f>IFERROR(IF(EW3=10,"-",EW3+1),"-")</f>
        <v>8</v>
      </c>
      <c r="FJ3" s="349"/>
      <c r="FK3" s="349"/>
      <c r="FL3" s="349"/>
      <c r="FM3" s="349"/>
      <c r="FN3" s="349"/>
      <c r="FO3" s="349"/>
      <c r="FP3" s="349"/>
      <c r="FQ3" s="349"/>
      <c r="FR3" s="349"/>
      <c r="FS3" s="349"/>
      <c r="FT3" s="349"/>
      <c r="FU3" s="349">
        <f>IF(ISERROR(IF(FI3="-","-",IF(AND($D$2=29,FI3=29),"-",FI3+1))),"-",IF(FI3="-","-",IF(AND($D$2=29,FI3=29),"-",FI3+1)))</f>
        <v>9</v>
      </c>
      <c r="FV3" s="349"/>
      <c r="FW3" s="349"/>
      <c r="FX3" s="349"/>
      <c r="FY3" s="349"/>
      <c r="FZ3" s="349"/>
      <c r="GA3" s="349"/>
      <c r="GB3" s="349"/>
      <c r="GC3" s="349"/>
      <c r="GD3" s="349"/>
      <c r="GE3" s="349"/>
      <c r="GF3" s="349"/>
      <c r="GG3" s="349">
        <f>IFERROR(IF(FU3=9,10,"-"),"-")</f>
        <v>10</v>
      </c>
      <c r="GH3" s="349"/>
      <c r="GI3" s="349"/>
      <c r="GJ3" s="349"/>
      <c r="GK3" s="349"/>
      <c r="GL3" s="349"/>
      <c r="GM3" s="349"/>
      <c r="GN3" s="349"/>
      <c r="GO3" s="349"/>
      <c r="GP3" s="349"/>
      <c r="GQ3" s="349"/>
      <c r="GR3" s="349"/>
      <c r="GS3" s="213"/>
      <c r="GT3" s="213"/>
      <c r="GU3" s="213"/>
      <c r="GV3" s="213"/>
      <c r="GW3" s="134"/>
      <c r="GX3" s="135"/>
      <c r="GY3" s="136"/>
      <c r="GZ3" s="136"/>
      <c r="HA3" s="135"/>
      <c r="HB3" s="135"/>
      <c r="HC3" s="135"/>
      <c r="HD3" s="135"/>
      <c r="HE3" s="135"/>
      <c r="HF3" s="135"/>
      <c r="HG3" s="135"/>
      <c r="HH3" s="135"/>
      <c r="HI3" s="136"/>
      <c r="HJ3" s="134"/>
      <c r="HK3" s="134"/>
      <c r="HL3" s="134"/>
      <c r="HM3" s="136"/>
      <c r="HN3" s="134"/>
      <c r="HO3" s="134"/>
      <c r="HP3" s="134"/>
      <c r="HQ3" s="134"/>
      <c r="HR3" s="134"/>
      <c r="HS3" s="13"/>
    </row>
    <row r="4" spans="1:16342" s="19" customFormat="1" ht="45" customHeight="1" x14ac:dyDescent="0.3">
      <c r="A4" s="14" t="s">
        <v>12</v>
      </c>
      <c r="B4" s="15" t="s">
        <v>13</v>
      </c>
      <c r="C4" s="16" t="s">
        <v>2</v>
      </c>
      <c r="D4" s="16" t="s">
        <v>240</v>
      </c>
      <c r="E4" s="16" t="s">
        <v>429</v>
      </c>
      <c r="F4" s="37" t="s">
        <v>3</v>
      </c>
      <c r="G4" s="37" t="s">
        <v>353</v>
      </c>
      <c r="H4" s="16" t="s">
        <v>14</v>
      </c>
      <c r="I4" s="16" t="s">
        <v>15</v>
      </c>
      <c r="J4" s="16" t="s">
        <v>16</v>
      </c>
      <c r="K4" s="16" t="s">
        <v>17</v>
      </c>
      <c r="L4" s="16" t="s">
        <v>291</v>
      </c>
      <c r="M4" s="16" t="s">
        <v>292</v>
      </c>
      <c r="N4" s="16" t="s">
        <v>73</v>
      </c>
      <c r="O4" s="16" t="s">
        <v>80</v>
      </c>
      <c r="P4" s="16" t="s">
        <v>81</v>
      </c>
      <c r="Q4" s="16" t="s">
        <v>74</v>
      </c>
      <c r="R4" s="16" t="s">
        <v>247</v>
      </c>
      <c r="S4" s="16" t="s">
        <v>87</v>
      </c>
      <c r="T4" s="16" t="s">
        <v>88</v>
      </c>
      <c r="U4" s="16" t="s">
        <v>75</v>
      </c>
      <c r="V4" s="16" t="s">
        <v>76</v>
      </c>
      <c r="W4" s="16" t="s">
        <v>20</v>
      </c>
      <c r="X4" s="16" t="s">
        <v>293</v>
      </c>
      <c r="Y4" s="16" t="s">
        <v>294</v>
      </c>
      <c r="Z4" s="16" t="s">
        <v>77</v>
      </c>
      <c r="AA4" s="16" t="s">
        <v>78</v>
      </c>
      <c r="AB4" s="16" t="s">
        <v>82</v>
      </c>
      <c r="AC4" s="16" t="s">
        <v>79</v>
      </c>
      <c r="AD4" s="16" t="s">
        <v>248</v>
      </c>
      <c r="AE4" s="16" t="s">
        <v>89</v>
      </c>
      <c r="AF4" s="16" t="s">
        <v>90</v>
      </c>
      <c r="AG4" s="16" t="s">
        <v>18</v>
      </c>
      <c r="AH4" s="16" t="s">
        <v>19</v>
      </c>
      <c r="AI4" s="16" t="s">
        <v>23</v>
      </c>
      <c r="AJ4" s="16" t="s">
        <v>295</v>
      </c>
      <c r="AK4" s="16" t="s">
        <v>297</v>
      </c>
      <c r="AL4" s="16" t="s">
        <v>83</v>
      </c>
      <c r="AM4" s="16" t="s">
        <v>84</v>
      </c>
      <c r="AN4" s="16" t="s">
        <v>85</v>
      </c>
      <c r="AO4" s="16" t="s">
        <v>86</v>
      </c>
      <c r="AP4" s="16" t="s">
        <v>249</v>
      </c>
      <c r="AQ4" s="16" t="s">
        <v>91</v>
      </c>
      <c r="AR4" s="16" t="s">
        <v>92</v>
      </c>
      <c r="AS4" s="16" t="s">
        <v>93</v>
      </c>
      <c r="AT4" s="16" t="s">
        <v>94</v>
      </c>
      <c r="AU4" s="16" t="s">
        <v>26</v>
      </c>
      <c r="AV4" s="16" t="s">
        <v>296</v>
      </c>
      <c r="AW4" s="16" t="s">
        <v>299</v>
      </c>
      <c r="AX4" s="16" t="s">
        <v>95</v>
      </c>
      <c r="AY4" s="16" t="s">
        <v>96</v>
      </c>
      <c r="AZ4" s="16" t="s">
        <v>97</v>
      </c>
      <c r="BA4" s="16" t="s">
        <v>98</v>
      </c>
      <c r="BB4" s="16" t="s">
        <v>250</v>
      </c>
      <c r="BC4" s="16" t="s">
        <v>27</v>
      </c>
      <c r="BD4" s="16" t="s">
        <v>99</v>
      </c>
      <c r="BE4" s="16" t="s">
        <v>21</v>
      </c>
      <c r="BF4" s="16" t="s">
        <v>22</v>
      </c>
      <c r="BG4" s="16" t="s">
        <v>28</v>
      </c>
      <c r="BH4" s="16" t="s">
        <v>298</v>
      </c>
      <c r="BI4" s="16" t="s">
        <v>301</v>
      </c>
      <c r="BJ4" s="16" t="s">
        <v>101</v>
      </c>
      <c r="BK4" s="16" t="s">
        <v>102</v>
      </c>
      <c r="BL4" s="16" t="s">
        <v>103</v>
      </c>
      <c r="BM4" s="16" t="s">
        <v>104</v>
      </c>
      <c r="BN4" s="16" t="s">
        <v>251</v>
      </c>
      <c r="BO4" s="16" t="s">
        <v>29</v>
      </c>
      <c r="BP4" s="16" t="s">
        <v>100</v>
      </c>
      <c r="BQ4" s="16" t="s">
        <v>105</v>
      </c>
      <c r="BR4" s="16" t="s">
        <v>106</v>
      </c>
      <c r="BS4" s="16" t="s">
        <v>30</v>
      </c>
      <c r="BT4" s="16" t="s">
        <v>300</v>
      </c>
      <c r="BU4" s="16" t="s">
        <v>303</v>
      </c>
      <c r="BV4" s="16" t="s">
        <v>108</v>
      </c>
      <c r="BW4" s="16" t="s">
        <v>109</v>
      </c>
      <c r="BX4" s="16" t="s">
        <v>110</v>
      </c>
      <c r="BY4" s="16" t="s">
        <v>111</v>
      </c>
      <c r="BZ4" s="16" t="s">
        <v>252</v>
      </c>
      <c r="CA4" s="16" t="s">
        <v>31</v>
      </c>
      <c r="CB4" s="16" t="s">
        <v>107</v>
      </c>
      <c r="CC4" s="16" t="s">
        <v>24</v>
      </c>
      <c r="CD4" s="16" t="s">
        <v>25</v>
      </c>
      <c r="CE4" s="16" t="s">
        <v>32</v>
      </c>
      <c r="CF4" s="16" t="s">
        <v>302</v>
      </c>
      <c r="CG4" s="16" t="s">
        <v>305</v>
      </c>
      <c r="CH4" s="16" t="s">
        <v>113</v>
      </c>
      <c r="CI4" s="16" t="s">
        <v>114</v>
      </c>
      <c r="CJ4" s="16" t="s">
        <v>115</v>
      </c>
      <c r="CK4" s="16" t="s">
        <v>116</v>
      </c>
      <c r="CL4" s="16" t="s">
        <v>253</v>
      </c>
      <c r="CM4" s="16" t="s">
        <v>33</v>
      </c>
      <c r="CN4" s="16" t="s">
        <v>112</v>
      </c>
      <c r="CO4" s="16" t="s">
        <v>117</v>
      </c>
      <c r="CP4" s="16" t="s">
        <v>118</v>
      </c>
      <c r="CQ4" s="16" t="s">
        <v>36</v>
      </c>
      <c r="CR4" s="16" t="s">
        <v>304</v>
      </c>
      <c r="CS4" s="16" t="s">
        <v>306</v>
      </c>
      <c r="CT4" s="16" t="s">
        <v>119</v>
      </c>
      <c r="CU4" s="16" t="s">
        <v>120</v>
      </c>
      <c r="CV4" s="16" t="s">
        <v>121</v>
      </c>
      <c r="CW4" s="16" t="s">
        <v>122</v>
      </c>
      <c r="CX4" s="16" t="s">
        <v>254</v>
      </c>
      <c r="CY4" s="16" t="s">
        <v>37</v>
      </c>
      <c r="CZ4" s="16" t="s">
        <v>126</v>
      </c>
      <c r="DA4" s="16" t="s">
        <v>123</v>
      </c>
      <c r="DB4" s="16" t="s">
        <v>124</v>
      </c>
      <c r="DC4" s="16" t="s">
        <v>38</v>
      </c>
      <c r="DD4" s="16" t="s">
        <v>307</v>
      </c>
      <c r="DE4" s="16" t="s">
        <v>308</v>
      </c>
      <c r="DF4" s="16" t="s">
        <v>127</v>
      </c>
      <c r="DG4" s="16" t="s">
        <v>128</v>
      </c>
      <c r="DH4" s="16" t="s">
        <v>129</v>
      </c>
      <c r="DI4" s="16" t="s">
        <v>130</v>
      </c>
      <c r="DJ4" s="16" t="s">
        <v>255</v>
      </c>
      <c r="DK4" s="16" t="s">
        <v>39</v>
      </c>
      <c r="DL4" s="16" t="s">
        <v>125</v>
      </c>
      <c r="DM4" s="16" t="s">
        <v>131</v>
      </c>
      <c r="DN4" s="16" t="s">
        <v>132</v>
      </c>
      <c r="DO4" s="16" t="s">
        <v>40</v>
      </c>
      <c r="DP4" s="16" t="s">
        <v>309</v>
      </c>
      <c r="DQ4" s="16" t="s">
        <v>310</v>
      </c>
      <c r="DR4" s="16" t="s">
        <v>133</v>
      </c>
      <c r="DS4" s="16" t="s">
        <v>134</v>
      </c>
      <c r="DT4" s="16" t="s">
        <v>135</v>
      </c>
      <c r="DU4" s="16" t="s">
        <v>136</v>
      </c>
      <c r="DV4" s="16" t="s">
        <v>256</v>
      </c>
      <c r="DW4" s="16" t="s">
        <v>41</v>
      </c>
      <c r="DX4" s="16" t="s">
        <v>42</v>
      </c>
      <c r="DY4" s="16" t="s">
        <v>137</v>
      </c>
      <c r="DZ4" s="16" t="s">
        <v>138</v>
      </c>
      <c r="EA4" s="16" t="s">
        <v>43</v>
      </c>
      <c r="EB4" s="16" t="s">
        <v>311</v>
      </c>
      <c r="EC4" s="16" t="s">
        <v>312</v>
      </c>
      <c r="ED4" s="16" t="s">
        <v>139</v>
      </c>
      <c r="EE4" s="16" t="s">
        <v>140</v>
      </c>
      <c r="EF4" s="16" t="s">
        <v>141</v>
      </c>
      <c r="EG4" s="16" t="s">
        <v>142</v>
      </c>
      <c r="EH4" s="16" t="s">
        <v>257</v>
      </c>
      <c r="EI4" s="16" t="s">
        <v>44</v>
      </c>
      <c r="EJ4" s="16" t="s">
        <v>45</v>
      </c>
      <c r="EK4" s="16" t="s">
        <v>143</v>
      </c>
      <c r="EL4" s="16" t="s">
        <v>144</v>
      </c>
      <c r="EM4" s="16" t="s">
        <v>46</v>
      </c>
      <c r="EN4" s="16" t="s">
        <v>313</v>
      </c>
      <c r="EO4" s="16" t="s">
        <v>314</v>
      </c>
      <c r="EP4" s="16" t="s">
        <v>145</v>
      </c>
      <c r="EQ4" s="16" t="s">
        <v>146</v>
      </c>
      <c r="ER4" s="16" t="s">
        <v>147</v>
      </c>
      <c r="ES4" s="16" t="s">
        <v>148</v>
      </c>
      <c r="ET4" s="16" t="s">
        <v>258</v>
      </c>
      <c r="EU4" s="16" t="s">
        <v>47</v>
      </c>
      <c r="EV4" s="16" t="s">
        <v>48</v>
      </c>
      <c r="EW4" s="16" t="s">
        <v>149</v>
      </c>
      <c r="EX4" s="16" t="s">
        <v>150</v>
      </c>
      <c r="EY4" s="16" t="s">
        <v>49</v>
      </c>
      <c r="EZ4" s="16" t="s">
        <v>316</v>
      </c>
      <c r="FA4" s="16" t="s">
        <v>315</v>
      </c>
      <c r="FB4" s="16" t="s">
        <v>151</v>
      </c>
      <c r="FC4" s="16" t="s">
        <v>152</v>
      </c>
      <c r="FD4" s="16" t="s">
        <v>153</v>
      </c>
      <c r="FE4" s="16" t="s">
        <v>154</v>
      </c>
      <c r="FF4" s="16" t="s">
        <v>259</v>
      </c>
      <c r="FG4" s="16" t="s">
        <v>50</v>
      </c>
      <c r="FH4" s="16" t="s">
        <v>51</v>
      </c>
      <c r="FI4" s="16" t="s">
        <v>155</v>
      </c>
      <c r="FJ4" s="16" t="s">
        <v>156</v>
      </c>
      <c r="FK4" s="16" t="s">
        <v>52</v>
      </c>
      <c r="FL4" s="16" t="s">
        <v>317</v>
      </c>
      <c r="FM4" s="16" t="s">
        <v>318</v>
      </c>
      <c r="FN4" s="16" t="s">
        <v>157</v>
      </c>
      <c r="FO4" s="16" t="s">
        <v>158</v>
      </c>
      <c r="FP4" s="16" t="s">
        <v>159</v>
      </c>
      <c r="FQ4" s="16" t="s">
        <v>160</v>
      </c>
      <c r="FR4" s="16" t="s">
        <v>260</v>
      </c>
      <c r="FS4" s="16" t="s">
        <v>53</v>
      </c>
      <c r="FT4" s="16" t="s">
        <v>54</v>
      </c>
      <c r="FU4" s="16" t="s">
        <v>34</v>
      </c>
      <c r="FV4" s="16" t="s">
        <v>35</v>
      </c>
      <c r="FW4" s="16" t="s">
        <v>55</v>
      </c>
      <c r="FX4" s="16" t="s">
        <v>320</v>
      </c>
      <c r="FY4" s="16" t="s">
        <v>319</v>
      </c>
      <c r="FZ4" s="16" t="s">
        <v>161</v>
      </c>
      <c r="GA4" s="16" t="s">
        <v>162</v>
      </c>
      <c r="GB4" s="16" t="s">
        <v>163</v>
      </c>
      <c r="GC4" s="16" t="s">
        <v>164</v>
      </c>
      <c r="GD4" s="16" t="s">
        <v>261</v>
      </c>
      <c r="GE4" s="16" t="s">
        <v>263</v>
      </c>
      <c r="GF4" s="16" t="s">
        <v>56</v>
      </c>
      <c r="GG4" s="16" t="s">
        <v>165</v>
      </c>
      <c r="GH4" s="16" t="s">
        <v>166</v>
      </c>
      <c r="GI4" s="16" t="s">
        <v>57</v>
      </c>
      <c r="GJ4" s="16" t="s">
        <v>322</v>
      </c>
      <c r="GK4" s="16" t="s">
        <v>321</v>
      </c>
      <c r="GL4" s="16" t="s">
        <v>167</v>
      </c>
      <c r="GM4" s="16" t="s">
        <v>168</v>
      </c>
      <c r="GN4" s="16" t="s">
        <v>169</v>
      </c>
      <c r="GO4" s="16" t="s">
        <v>170</v>
      </c>
      <c r="GP4" s="16" t="s">
        <v>262</v>
      </c>
      <c r="GQ4" s="16" t="s">
        <v>58</v>
      </c>
      <c r="GR4" s="16" t="s">
        <v>59</v>
      </c>
      <c r="GS4" s="17" t="s">
        <v>11</v>
      </c>
      <c r="GT4" s="16" t="s">
        <v>195</v>
      </c>
      <c r="GU4" s="16" t="s">
        <v>196</v>
      </c>
      <c r="GV4" s="25" t="s">
        <v>197</v>
      </c>
      <c r="GW4" s="16" t="s">
        <v>489</v>
      </c>
      <c r="GX4" s="25" t="s">
        <v>171</v>
      </c>
      <c r="GY4" s="25" t="s">
        <v>451</v>
      </c>
      <c r="GZ4" s="25" t="s">
        <v>172</v>
      </c>
      <c r="HA4" s="25" t="s">
        <v>173</v>
      </c>
      <c r="HB4" s="25" t="s">
        <v>359</v>
      </c>
      <c r="HC4" s="25" t="s">
        <v>360</v>
      </c>
      <c r="HD4" s="25" t="s">
        <v>323</v>
      </c>
      <c r="HE4" s="25" t="s">
        <v>492</v>
      </c>
      <c r="HF4" s="16" t="s">
        <v>60</v>
      </c>
      <c r="HG4" s="16" t="s">
        <v>61</v>
      </c>
      <c r="HH4" s="16" t="s">
        <v>62</v>
      </c>
      <c r="HI4" s="16" t="s">
        <v>63</v>
      </c>
      <c r="HJ4" s="17" t="s">
        <v>64</v>
      </c>
      <c r="HK4" s="17" t="s">
        <v>65</v>
      </c>
      <c r="HL4" s="17" t="s">
        <v>365</v>
      </c>
      <c r="HM4" s="17" t="s">
        <v>366</v>
      </c>
      <c r="HN4" s="17" t="s">
        <v>370</v>
      </c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  <c r="DTE4" s="18"/>
      <c r="DTF4" s="18"/>
      <c r="DTG4" s="18"/>
      <c r="DTH4" s="18"/>
      <c r="DTI4" s="18"/>
      <c r="DTJ4" s="18"/>
      <c r="DTK4" s="18"/>
      <c r="DTL4" s="18"/>
      <c r="DTM4" s="18"/>
      <c r="DTN4" s="18"/>
      <c r="DTO4" s="18"/>
      <c r="DTP4" s="18"/>
      <c r="DTQ4" s="18"/>
      <c r="DTR4" s="18"/>
      <c r="DTS4" s="18"/>
      <c r="DTT4" s="18"/>
      <c r="DTU4" s="18"/>
      <c r="DTV4" s="18"/>
      <c r="DTW4" s="18"/>
      <c r="DTX4" s="18"/>
      <c r="DTY4" s="18"/>
      <c r="DTZ4" s="18"/>
      <c r="DUA4" s="18"/>
      <c r="DUB4" s="18"/>
      <c r="DUC4" s="18"/>
      <c r="DUD4" s="18"/>
      <c r="DUE4" s="18"/>
      <c r="DUF4" s="18"/>
      <c r="DUG4" s="18"/>
      <c r="DUH4" s="18"/>
      <c r="DUI4" s="18"/>
      <c r="DUJ4" s="18"/>
      <c r="DUK4" s="18"/>
      <c r="DUL4" s="18"/>
      <c r="DUM4" s="18"/>
      <c r="DUN4" s="18"/>
      <c r="DUO4" s="18"/>
      <c r="DUP4" s="18"/>
      <c r="DUQ4" s="18"/>
      <c r="DUR4" s="18"/>
      <c r="DUS4" s="18"/>
      <c r="DUT4" s="18"/>
      <c r="DUU4" s="18"/>
      <c r="DUV4" s="18"/>
      <c r="DUW4" s="18"/>
      <c r="DUX4" s="18"/>
      <c r="DUY4" s="18"/>
      <c r="DUZ4" s="18"/>
      <c r="DVA4" s="18"/>
      <c r="DVB4" s="18"/>
      <c r="DVC4" s="18"/>
      <c r="DVD4" s="18"/>
      <c r="DVE4" s="18"/>
      <c r="DVF4" s="18"/>
      <c r="DVG4" s="18"/>
      <c r="DVH4" s="18"/>
      <c r="DVI4" s="18"/>
      <c r="DVJ4" s="18"/>
      <c r="DVK4" s="18"/>
      <c r="DVL4" s="18"/>
      <c r="DVM4" s="18"/>
      <c r="DVN4" s="18"/>
      <c r="DVO4" s="18"/>
      <c r="DVP4" s="18"/>
      <c r="DVQ4" s="18"/>
      <c r="DVR4" s="18"/>
      <c r="DVS4" s="18"/>
      <c r="DVT4" s="18"/>
      <c r="DVU4" s="18"/>
      <c r="DVV4" s="18"/>
      <c r="DVW4" s="18"/>
      <c r="DVX4" s="18"/>
      <c r="DVY4" s="18"/>
      <c r="DVZ4" s="18"/>
      <c r="DWA4" s="18"/>
      <c r="DWB4" s="18"/>
      <c r="DWC4" s="18"/>
      <c r="DWD4" s="18"/>
      <c r="DWE4" s="18"/>
      <c r="DWF4" s="18"/>
      <c r="DWG4" s="18"/>
      <c r="DWH4" s="18"/>
      <c r="DWI4" s="18"/>
      <c r="DWJ4" s="18"/>
      <c r="DWK4" s="18"/>
      <c r="DWL4" s="18"/>
      <c r="DWM4" s="18"/>
      <c r="DWN4" s="18"/>
      <c r="DWO4" s="18"/>
      <c r="DWP4" s="18"/>
      <c r="DWQ4" s="18"/>
      <c r="DWR4" s="18"/>
      <c r="DWS4" s="18"/>
      <c r="DWT4" s="18"/>
      <c r="DWU4" s="18"/>
      <c r="DWV4" s="18"/>
      <c r="DWW4" s="18"/>
      <c r="DWX4" s="18"/>
      <c r="DWY4" s="18"/>
      <c r="DWZ4" s="18"/>
      <c r="DXA4" s="18"/>
      <c r="DXB4" s="18"/>
      <c r="DXC4" s="18"/>
      <c r="DXD4" s="18"/>
      <c r="DXE4" s="18"/>
      <c r="DXF4" s="18"/>
      <c r="DXG4" s="18"/>
      <c r="DXH4" s="18"/>
      <c r="DXI4" s="18"/>
      <c r="DXJ4" s="18"/>
      <c r="DXK4" s="18"/>
      <c r="DXL4" s="18"/>
      <c r="DXM4" s="18"/>
      <c r="DXN4" s="18"/>
      <c r="DXO4" s="18"/>
      <c r="DXP4" s="18"/>
      <c r="DXQ4" s="18"/>
      <c r="DXR4" s="18"/>
      <c r="DXS4" s="18"/>
      <c r="DXT4" s="18"/>
      <c r="DXU4" s="18"/>
      <c r="DXV4" s="18"/>
      <c r="DXW4" s="18"/>
      <c r="DXX4" s="18"/>
      <c r="DXY4" s="18"/>
      <c r="DXZ4" s="18"/>
      <c r="DYA4" s="18"/>
      <c r="DYB4" s="18"/>
      <c r="DYC4" s="18"/>
      <c r="DYD4" s="18"/>
      <c r="DYE4" s="18"/>
      <c r="DYF4" s="18"/>
      <c r="DYG4" s="18"/>
      <c r="DYH4" s="18"/>
      <c r="DYI4" s="18"/>
      <c r="DYJ4" s="18"/>
      <c r="DYK4" s="18"/>
      <c r="DYL4" s="18"/>
      <c r="DYM4" s="18"/>
      <c r="DYN4" s="18"/>
      <c r="DYO4" s="18"/>
      <c r="DYP4" s="18"/>
      <c r="DYQ4" s="18"/>
      <c r="DYR4" s="18"/>
      <c r="DYS4" s="18"/>
      <c r="DYT4" s="18"/>
      <c r="DYU4" s="18"/>
      <c r="DYV4" s="18"/>
      <c r="DYW4" s="18"/>
      <c r="DYX4" s="18"/>
      <c r="DYY4" s="18"/>
      <c r="DYZ4" s="18"/>
      <c r="DZA4" s="18"/>
      <c r="DZB4" s="18"/>
      <c r="DZC4" s="18"/>
      <c r="DZD4" s="18"/>
      <c r="DZE4" s="18"/>
      <c r="DZF4" s="18"/>
      <c r="DZG4" s="18"/>
      <c r="DZH4" s="18"/>
      <c r="DZI4" s="18"/>
      <c r="DZJ4" s="18"/>
      <c r="DZK4" s="18"/>
      <c r="DZL4" s="18"/>
      <c r="DZM4" s="18"/>
      <c r="DZN4" s="18"/>
      <c r="DZO4" s="18"/>
      <c r="DZP4" s="18"/>
      <c r="DZQ4" s="18"/>
      <c r="DZR4" s="18"/>
      <c r="DZS4" s="18"/>
      <c r="DZT4" s="18"/>
      <c r="DZU4" s="18"/>
      <c r="DZV4" s="18"/>
      <c r="DZW4" s="18"/>
      <c r="DZX4" s="18"/>
      <c r="DZY4" s="18"/>
      <c r="DZZ4" s="18"/>
      <c r="EAA4" s="18"/>
      <c r="EAB4" s="18"/>
      <c r="EAC4" s="18"/>
      <c r="EAD4" s="18"/>
      <c r="EAE4" s="18"/>
      <c r="EAF4" s="18"/>
      <c r="EAG4" s="18"/>
      <c r="EAH4" s="18"/>
      <c r="EAI4" s="18"/>
      <c r="EAJ4" s="18"/>
      <c r="EAK4" s="18"/>
      <c r="EAL4" s="18"/>
      <c r="EAM4" s="18"/>
      <c r="EAN4" s="18"/>
      <c r="EAO4" s="18"/>
      <c r="EAP4" s="18"/>
      <c r="EAQ4" s="18"/>
      <c r="EAR4" s="18"/>
      <c r="EAS4" s="18"/>
      <c r="EAT4" s="18"/>
      <c r="EAU4" s="18"/>
      <c r="EAV4" s="18"/>
      <c r="EAW4" s="18"/>
      <c r="EAX4" s="18"/>
      <c r="EAY4" s="18"/>
      <c r="EAZ4" s="18"/>
      <c r="EBA4" s="18"/>
      <c r="EBB4" s="18"/>
      <c r="EBC4" s="18"/>
      <c r="EBD4" s="18"/>
      <c r="EBE4" s="18"/>
      <c r="EBF4" s="18"/>
      <c r="EBG4" s="18"/>
      <c r="EBH4" s="18"/>
      <c r="EBI4" s="18"/>
      <c r="EBJ4" s="18"/>
      <c r="EBK4" s="18"/>
      <c r="EBL4" s="18"/>
      <c r="EBM4" s="18"/>
      <c r="EBN4" s="18"/>
      <c r="EBO4" s="18"/>
      <c r="EBP4" s="18"/>
      <c r="EBQ4" s="18"/>
      <c r="EBR4" s="18"/>
      <c r="EBS4" s="18"/>
      <c r="EBT4" s="18"/>
      <c r="EBU4" s="18"/>
      <c r="EBV4" s="18"/>
      <c r="EBW4" s="18"/>
      <c r="EBX4" s="18"/>
      <c r="EBY4" s="18"/>
      <c r="EBZ4" s="18"/>
      <c r="ECA4" s="18"/>
      <c r="ECB4" s="18"/>
      <c r="ECC4" s="18"/>
      <c r="ECD4" s="18"/>
      <c r="ECE4" s="18"/>
      <c r="ECF4" s="18"/>
      <c r="ECG4" s="18"/>
      <c r="ECH4" s="18"/>
      <c r="ECI4" s="18"/>
      <c r="ECJ4" s="18"/>
      <c r="ECK4" s="18"/>
      <c r="ECL4" s="18"/>
      <c r="ECM4" s="18"/>
      <c r="ECN4" s="18"/>
      <c r="ECO4" s="18"/>
      <c r="ECP4" s="18"/>
      <c r="ECQ4" s="18"/>
      <c r="ECR4" s="18"/>
      <c r="ECS4" s="18"/>
      <c r="ECT4" s="18"/>
      <c r="ECU4" s="18"/>
      <c r="ECV4" s="18"/>
      <c r="ECW4" s="18"/>
      <c r="ECX4" s="18"/>
      <c r="ECY4" s="18"/>
      <c r="ECZ4" s="18"/>
      <c r="EDA4" s="18"/>
      <c r="EDB4" s="18"/>
      <c r="EDC4" s="18"/>
      <c r="EDD4" s="18"/>
      <c r="EDE4" s="18"/>
      <c r="EDF4" s="18"/>
      <c r="EDG4" s="18"/>
      <c r="EDH4" s="18"/>
      <c r="EDI4" s="18"/>
      <c r="EDJ4" s="18"/>
      <c r="EDK4" s="18"/>
      <c r="EDL4" s="18"/>
      <c r="EDM4" s="18"/>
      <c r="EDN4" s="18"/>
      <c r="EDO4" s="18"/>
      <c r="EDP4" s="18"/>
      <c r="EDQ4" s="18"/>
      <c r="EDR4" s="18"/>
      <c r="EDS4" s="18"/>
      <c r="EDT4" s="18"/>
      <c r="EDU4" s="18"/>
      <c r="EDV4" s="18"/>
      <c r="EDW4" s="18"/>
      <c r="EDX4" s="18"/>
      <c r="EDY4" s="18"/>
      <c r="EDZ4" s="18"/>
      <c r="EEA4" s="18"/>
      <c r="EEB4" s="18"/>
      <c r="EEC4" s="18"/>
      <c r="EED4" s="18"/>
      <c r="EEE4" s="18"/>
      <c r="EEF4" s="18"/>
      <c r="EEG4" s="18"/>
      <c r="EEH4" s="18"/>
      <c r="EEI4" s="18"/>
      <c r="EEJ4" s="18"/>
      <c r="EEK4" s="18"/>
      <c r="EEL4" s="18"/>
      <c r="EEM4" s="18"/>
      <c r="EEN4" s="18"/>
      <c r="EEO4" s="18"/>
      <c r="EEP4" s="18"/>
      <c r="EEQ4" s="18"/>
      <c r="EER4" s="18"/>
      <c r="EES4" s="18"/>
      <c r="EET4" s="18"/>
      <c r="EEU4" s="18"/>
      <c r="EEV4" s="18"/>
      <c r="EEW4" s="18"/>
      <c r="EEX4" s="18"/>
      <c r="EEY4" s="18"/>
      <c r="EEZ4" s="18"/>
      <c r="EFA4" s="18"/>
      <c r="EFB4" s="18"/>
      <c r="EFC4" s="18"/>
      <c r="EFD4" s="18"/>
      <c r="EFE4" s="18"/>
      <c r="EFF4" s="18"/>
      <c r="EFG4" s="18"/>
      <c r="EFH4" s="18"/>
      <c r="EFI4" s="18"/>
      <c r="EFJ4" s="18"/>
      <c r="EFK4" s="18"/>
      <c r="EFL4" s="18"/>
      <c r="EFM4" s="18"/>
      <c r="EFN4" s="18"/>
      <c r="EFO4" s="18"/>
      <c r="EFP4" s="18"/>
      <c r="EFQ4" s="18"/>
      <c r="EFR4" s="18"/>
      <c r="EFS4" s="18"/>
      <c r="EFT4" s="18"/>
      <c r="EFU4" s="18"/>
      <c r="EFV4" s="18"/>
      <c r="EFW4" s="18"/>
      <c r="EFX4" s="18"/>
      <c r="EFY4" s="18"/>
      <c r="EFZ4" s="18"/>
      <c r="EGA4" s="18"/>
      <c r="EGB4" s="18"/>
      <c r="EGC4" s="18"/>
      <c r="EGD4" s="18"/>
      <c r="EGE4" s="18"/>
      <c r="EGF4" s="18"/>
      <c r="EGG4" s="18"/>
      <c r="EGH4" s="18"/>
      <c r="EGI4" s="18"/>
      <c r="EGJ4" s="18"/>
      <c r="EGK4" s="18"/>
      <c r="EGL4" s="18"/>
      <c r="EGM4" s="18"/>
      <c r="EGN4" s="18"/>
      <c r="EGO4" s="18"/>
      <c r="EGP4" s="18"/>
      <c r="EGQ4" s="18"/>
      <c r="EGR4" s="18"/>
      <c r="EGS4" s="18"/>
      <c r="EGT4" s="18"/>
      <c r="EGU4" s="18"/>
      <c r="EGV4" s="18"/>
      <c r="EGW4" s="18"/>
      <c r="EGX4" s="18"/>
      <c r="EGY4" s="18"/>
      <c r="EGZ4" s="18"/>
      <c r="EHA4" s="18"/>
      <c r="EHB4" s="18"/>
      <c r="EHC4" s="18"/>
      <c r="EHD4" s="18"/>
      <c r="EHE4" s="18"/>
      <c r="EHF4" s="18"/>
      <c r="EHG4" s="18"/>
      <c r="EHH4" s="18"/>
      <c r="EHI4" s="18"/>
      <c r="EHJ4" s="18"/>
      <c r="EHK4" s="18"/>
      <c r="EHL4" s="18"/>
      <c r="EHM4" s="18"/>
      <c r="EHN4" s="18"/>
      <c r="EHO4" s="18"/>
      <c r="EHP4" s="18"/>
      <c r="EHQ4" s="18"/>
      <c r="EHR4" s="18"/>
      <c r="EHS4" s="18"/>
      <c r="EHT4" s="18"/>
      <c r="EHU4" s="18"/>
      <c r="EHV4" s="18"/>
      <c r="EHW4" s="18"/>
      <c r="EHX4" s="18"/>
      <c r="EHY4" s="18"/>
      <c r="EHZ4" s="18"/>
      <c r="EIA4" s="18"/>
      <c r="EIB4" s="18"/>
      <c r="EIC4" s="18"/>
      <c r="EID4" s="18"/>
      <c r="EIE4" s="18"/>
      <c r="EIF4" s="18"/>
      <c r="EIG4" s="18"/>
      <c r="EIH4" s="18"/>
      <c r="EII4" s="18"/>
      <c r="EIJ4" s="18"/>
      <c r="EIK4" s="18"/>
      <c r="EIL4" s="18"/>
      <c r="EIM4" s="18"/>
      <c r="EIN4" s="18"/>
      <c r="EIO4" s="18"/>
      <c r="EIP4" s="18"/>
      <c r="EIQ4" s="18"/>
      <c r="EIR4" s="18"/>
      <c r="EIS4" s="18"/>
      <c r="EIT4" s="18"/>
      <c r="EIU4" s="18"/>
      <c r="EIV4" s="18"/>
      <c r="EIW4" s="18"/>
      <c r="EIX4" s="18"/>
      <c r="EIY4" s="18"/>
      <c r="EIZ4" s="18"/>
      <c r="EJA4" s="18"/>
      <c r="EJB4" s="18"/>
      <c r="EJC4" s="18"/>
      <c r="EJD4" s="18"/>
      <c r="EJE4" s="18"/>
      <c r="EJF4" s="18"/>
      <c r="EJG4" s="18"/>
      <c r="EJH4" s="18"/>
      <c r="EJI4" s="18"/>
      <c r="EJJ4" s="18"/>
      <c r="EJK4" s="18"/>
      <c r="EJL4" s="18"/>
      <c r="EJM4" s="18"/>
      <c r="EJN4" s="18"/>
      <c r="EJO4" s="18"/>
      <c r="EJP4" s="18"/>
      <c r="EJQ4" s="18"/>
      <c r="EJR4" s="18"/>
      <c r="EJS4" s="18"/>
      <c r="EJT4" s="18"/>
      <c r="EJU4" s="18"/>
      <c r="EJV4" s="18"/>
      <c r="EJW4" s="18"/>
      <c r="EJX4" s="18"/>
      <c r="EJY4" s="18"/>
      <c r="EJZ4" s="18"/>
      <c r="EKA4" s="18"/>
      <c r="EKB4" s="18"/>
      <c r="EKC4" s="18"/>
      <c r="EKD4" s="18"/>
      <c r="EKE4" s="18"/>
      <c r="EKF4" s="18"/>
      <c r="EKG4" s="18"/>
      <c r="EKH4" s="18"/>
      <c r="EKI4" s="18"/>
      <c r="EKJ4" s="18"/>
      <c r="EKK4" s="18"/>
      <c r="EKL4" s="18"/>
      <c r="EKM4" s="18"/>
      <c r="EKN4" s="18"/>
      <c r="EKO4" s="18"/>
      <c r="EKP4" s="18"/>
      <c r="EKQ4" s="18"/>
      <c r="EKR4" s="18"/>
      <c r="EKS4" s="18"/>
      <c r="EKT4" s="18"/>
      <c r="EKU4" s="18"/>
      <c r="EKV4" s="18"/>
      <c r="EKW4" s="18"/>
      <c r="EKX4" s="18"/>
      <c r="EKY4" s="18"/>
      <c r="EKZ4" s="18"/>
      <c r="ELA4" s="18"/>
      <c r="ELB4" s="18"/>
      <c r="ELC4" s="18"/>
      <c r="ELD4" s="18"/>
      <c r="ELE4" s="18"/>
      <c r="ELF4" s="18"/>
      <c r="ELG4" s="18"/>
      <c r="ELH4" s="18"/>
      <c r="ELI4" s="18"/>
      <c r="ELJ4" s="18"/>
      <c r="ELK4" s="18"/>
      <c r="ELL4" s="18"/>
      <c r="ELM4" s="18"/>
      <c r="ELN4" s="18"/>
      <c r="ELO4" s="18"/>
      <c r="ELP4" s="18"/>
      <c r="ELQ4" s="18"/>
      <c r="ELR4" s="18"/>
      <c r="ELS4" s="18"/>
      <c r="ELT4" s="18"/>
      <c r="ELU4" s="18"/>
      <c r="ELV4" s="18"/>
      <c r="ELW4" s="18"/>
      <c r="ELX4" s="18"/>
      <c r="ELY4" s="18"/>
      <c r="ELZ4" s="18"/>
      <c r="EMA4" s="18"/>
      <c r="EMB4" s="18"/>
      <c r="EMC4" s="18"/>
      <c r="EMD4" s="18"/>
      <c r="EME4" s="18"/>
      <c r="EMF4" s="18"/>
      <c r="EMG4" s="18"/>
      <c r="EMH4" s="18"/>
      <c r="EMI4" s="18"/>
      <c r="EMJ4" s="18"/>
      <c r="EMK4" s="18"/>
      <c r="EML4" s="18"/>
      <c r="EMM4" s="18"/>
      <c r="EMN4" s="18"/>
      <c r="EMO4" s="18"/>
      <c r="EMP4" s="18"/>
      <c r="EMQ4" s="18"/>
      <c r="EMR4" s="18"/>
      <c r="EMS4" s="18"/>
      <c r="EMT4" s="18"/>
      <c r="EMU4" s="18"/>
      <c r="EMV4" s="18"/>
      <c r="EMW4" s="18"/>
      <c r="EMX4" s="18"/>
      <c r="EMY4" s="18"/>
      <c r="EMZ4" s="18"/>
      <c r="ENA4" s="18"/>
      <c r="ENB4" s="18"/>
      <c r="ENC4" s="18"/>
      <c r="END4" s="18"/>
      <c r="ENE4" s="18"/>
      <c r="ENF4" s="18"/>
      <c r="ENG4" s="18"/>
      <c r="ENH4" s="18"/>
      <c r="ENI4" s="18"/>
      <c r="ENJ4" s="18"/>
      <c r="ENK4" s="18"/>
      <c r="ENL4" s="18"/>
      <c r="ENM4" s="18"/>
      <c r="ENN4" s="18"/>
      <c r="ENO4" s="18"/>
      <c r="ENP4" s="18"/>
      <c r="ENQ4" s="18"/>
      <c r="ENR4" s="18"/>
      <c r="ENS4" s="18"/>
      <c r="ENT4" s="18"/>
      <c r="ENU4" s="18"/>
      <c r="ENV4" s="18"/>
      <c r="ENW4" s="18"/>
      <c r="ENX4" s="18"/>
      <c r="ENY4" s="18"/>
      <c r="ENZ4" s="18"/>
      <c r="EOA4" s="18"/>
      <c r="EOB4" s="18"/>
      <c r="EOC4" s="18"/>
      <c r="EOD4" s="18"/>
      <c r="EOE4" s="18"/>
      <c r="EOF4" s="18"/>
      <c r="EOG4" s="18"/>
      <c r="EOH4" s="18"/>
      <c r="EOI4" s="18"/>
      <c r="EOJ4" s="18"/>
      <c r="EOK4" s="18"/>
      <c r="EOL4" s="18"/>
      <c r="EOM4" s="18"/>
      <c r="EON4" s="18"/>
      <c r="EOO4" s="18"/>
      <c r="EOP4" s="18"/>
      <c r="EOQ4" s="18"/>
      <c r="EOR4" s="18"/>
      <c r="EOS4" s="18"/>
      <c r="EOT4" s="18"/>
      <c r="EOU4" s="18"/>
      <c r="EOV4" s="18"/>
      <c r="EOW4" s="18"/>
      <c r="EOX4" s="18"/>
      <c r="EOY4" s="18"/>
      <c r="EOZ4" s="18"/>
      <c r="EPA4" s="18"/>
      <c r="EPB4" s="18"/>
      <c r="EPC4" s="18"/>
      <c r="EPD4" s="18"/>
      <c r="EPE4" s="18"/>
      <c r="EPF4" s="18"/>
      <c r="EPG4" s="18"/>
      <c r="EPH4" s="18"/>
      <c r="EPI4" s="18"/>
      <c r="EPJ4" s="18"/>
      <c r="EPK4" s="18"/>
      <c r="EPL4" s="18"/>
      <c r="EPM4" s="18"/>
      <c r="EPN4" s="18"/>
      <c r="EPO4" s="18"/>
      <c r="EPP4" s="18"/>
      <c r="EPQ4" s="18"/>
      <c r="EPR4" s="18"/>
      <c r="EPS4" s="18"/>
      <c r="EPT4" s="18"/>
      <c r="EPU4" s="18"/>
      <c r="EPV4" s="18"/>
      <c r="EPW4" s="18"/>
      <c r="EPX4" s="18"/>
      <c r="EPY4" s="18"/>
      <c r="EPZ4" s="18"/>
      <c r="EQA4" s="18"/>
      <c r="EQB4" s="18"/>
      <c r="EQC4" s="18"/>
      <c r="EQD4" s="18"/>
      <c r="EQE4" s="18"/>
      <c r="EQF4" s="18"/>
      <c r="EQG4" s="18"/>
      <c r="EQH4" s="18"/>
      <c r="EQI4" s="18"/>
      <c r="EQJ4" s="18"/>
      <c r="EQK4" s="18"/>
      <c r="EQL4" s="18"/>
      <c r="EQM4" s="18"/>
      <c r="EQN4" s="18"/>
      <c r="EQO4" s="18"/>
      <c r="EQP4" s="18"/>
      <c r="EQQ4" s="18"/>
      <c r="EQR4" s="18"/>
      <c r="EQS4" s="18"/>
      <c r="EQT4" s="18"/>
      <c r="EQU4" s="18"/>
      <c r="EQV4" s="18"/>
      <c r="EQW4" s="18"/>
      <c r="EQX4" s="18"/>
      <c r="EQY4" s="18"/>
      <c r="EQZ4" s="18"/>
      <c r="ERA4" s="18"/>
      <c r="ERB4" s="18"/>
      <c r="ERC4" s="18"/>
      <c r="ERD4" s="18"/>
      <c r="ERE4" s="18"/>
      <c r="ERF4" s="18"/>
      <c r="ERG4" s="18"/>
      <c r="ERH4" s="18"/>
      <c r="ERI4" s="18"/>
      <c r="ERJ4" s="18"/>
      <c r="ERK4" s="18"/>
      <c r="ERL4" s="18"/>
      <c r="ERM4" s="18"/>
      <c r="ERN4" s="18"/>
      <c r="ERO4" s="18"/>
      <c r="ERP4" s="18"/>
      <c r="ERQ4" s="18"/>
      <c r="ERR4" s="18"/>
      <c r="ERS4" s="18"/>
      <c r="ERT4" s="18"/>
      <c r="ERU4" s="18"/>
      <c r="ERV4" s="18"/>
      <c r="ERW4" s="18"/>
      <c r="ERX4" s="18"/>
      <c r="ERY4" s="18"/>
      <c r="ERZ4" s="18"/>
      <c r="ESA4" s="18"/>
      <c r="ESB4" s="18"/>
      <c r="ESC4" s="18"/>
      <c r="ESD4" s="18"/>
      <c r="ESE4" s="18"/>
      <c r="ESF4" s="18"/>
      <c r="ESG4" s="18"/>
      <c r="ESH4" s="18"/>
      <c r="ESI4" s="18"/>
      <c r="ESJ4" s="18"/>
      <c r="ESK4" s="18"/>
      <c r="ESL4" s="18"/>
      <c r="ESM4" s="18"/>
      <c r="ESN4" s="18"/>
      <c r="ESO4" s="18"/>
      <c r="ESP4" s="18"/>
      <c r="ESQ4" s="18"/>
      <c r="ESR4" s="18"/>
      <c r="ESS4" s="18"/>
      <c r="EST4" s="18"/>
      <c r="ESU4" s="18"/>
      <c r="ESV4" s="18"/>
      <c r="ESW4" s="18"/>
      <c r="ESX4" s="18"/>
      <c r="ESY4" s="18"/>
      <c r="ESZ4" s="18"/>
      <c r="ETA4" s="18"/>
      <c r="ETB4" s="18"/>
      <c r="ETC4" s="18"/>
      <c r="ETD4" s="18"/>
      <c r="ETE4" s="18"/>
      <c r="ETF4" s="18"/>
      <c r="ETG4" s="18"/>
      <c r="ETH4" s="18"/>
      <c r="ETI4" s="18"/>
      <c r="ETJ4" s="18"/>
      <c r="ETK4" s="18"/>
      <c r="ETL4" s="18"/>
      <c r="ETM4" s="18"/>
      <c r="ETN4" s="18"/>
      <c r="ETO4" s="18"/>
      <c r="ETP4" s="18"/>
      <c r="ETQ4" s="18"/>
      <c r="ETR4" s="18"/>
      <c r="ETS4" s="18"/>
      <c r="ETT4" s="18"/>
      <c r="ETU4" s="18"/>
      <c r="ETV4" s="18"/>
      <c r="ETW4" s="18"/>
      <c r="ETX4" s="18"/>
      <c r="ETY4" s="18"/>
      <c r="ETZ4" s="18"/>
      <c r="EUA4" s="18"/>
      <c r="EUB4" s="18"/>
      <c r="EUC4" s="18"/>
      <c r="EUD4" s="18"/>
      <c r="EUE4" s="18"/>
      <c r="EUF4" s="18"/>
      <c r="EUG4" s="18"/>
      <c r="EUH4" s="18"/>
      <c r="EUI4" s="18"/>
      <c r="EUJ4" s="18"/>
      <c r="EUK4" s="18"/>
      <c r="EUL4" s="18"/>
      <c r="EUM4" s="18"/>
      <c r="EUN4" s="18"/>
      <c r="EUO4" s="18"/>
      <c r="EUP4" s="18"/>
      <c r="EUQ4" s="18"/>
      <c r="EUR4" s="18"/>
      <c r="EUS4" s="18"/>
      <c r="EUT4" s="18"/>
      <c r="EUU4" s="18"/>
      <c r="EUV4" s="18"/>
      <c r="EUW4" s="18"/>
      <c r="EUX4" s="18"/>
      <c r="EUY4" s="18"/>
      <c r="EUZ4" s="18"/>
      <c r="EVA4" s="18"/>
      <c r="EVB4" s="18"/>
      <c r="EVC4" s="18"/>
      <c r="EVD4" s="18"/>
      <c r="EVE4" s="18"/>
      <c r="EVF4" s="18"/>
      <c r="EVG4" s="18"/>
      <c r="EVH4" s="18"/>
      <c r="EVI4" s="18"/>
      <c r="EVJ4" s="18"/>
      <c r="EVK4" s="18"/>
      <c r="EVL4" s="18"/>
      <c r="EVM4" s="18"/>
      <c r="EVN4" s="18"/>
      <c r="EVO4" s="18"/>
      <c r="EVP4" s="18"/>
      <c r="EVQ4" s="18"/>
      <c r="EVR4" s="18"/>
      <c r="EVS4" s="18"/>
      <c r="EVT4" s="18"/>
      <c r="EVU4" s="18"/>
      <c r="EVV4" s="18"/>
      <c r="EVW4" s="18"/>
      <c r="EVX4" s="18"/>
      <c r="EVY4" s="18"/>
      <c r="EVZ4" s="18"/>
      <c r="EWA4" s="18"/>
      <c r="EWB4" s="18"/>
      <c r="EWC4" s="18"/>
      <c r="EWD4" s="18"/>
      <c r="EWE4" s="18"/>
      <c r="EWF4" s="18"/>
      <c r="EWG4" s="18"/>
      <c r="EWH4" s="18"/>
      <c r="EWI4" s="18"/>
      <c r="EWJ4" s="18"/>
      <c r="EWK4" s="18"/>
      <c r="EWL4" s="18"/>
      <c r="EWM4" s="18"/>
      <c r="EWN4" s="18"/>
      <c r="EWO4" s="18"/>
      <c r="EWP4" s="18"/>
      <c r="EWQ4" s="18"/>
      <c r="EWR4" s="18"/>
      <c r="EWS4" s="18"/>
      <c r="EWT4" s="18"/>
      <c r="EWU4" s="18"/>
      <c r="EWV4" s="18"/>
      <c r="EWW4" s="18"/>
      <c r="EWX4" s="18"/>
      <c r="EWY4" s="18"/>
      <c r="EWZ4" s="18"/>
      <c r="EXA4" s="18"/>
      <c r="EXB4" s="18"/>
      <c r="EXC4" s="18"/>
      <c r="EXD4" s="18"/>
      <c r="EXE4" s="18"/>
      <c r="EXF4" s="18"/>
      <c r="EXG4" s="18"/>
      <c r="EXH4" s="18"/>
      <c r="EXI4" s="18"/>
      <c r="EXJ4" s="18"/>
      <c r="EXK4" s="18"/>
      <c r="EXL4" s="18"/>
      <c r="EXM4" s="18"/>
      <c r="EXN4" s="18"/>
      <c r="EXO4" s="18"/>
      <c r="EXP4" s="18"/>
      <c r="EXQ4" s="18"/>
      <c r="EXR4" s="18"/>
      <c r="EXS4" s="18"/>
      <c r="EXT4" s="18"/>
      <c r="EXU4" s="18"/>
      <c r="EXV4" s="18"/>
      <c r="EXW4" s="18"/>
      <c r="EXX4" s="18"/>
      <c r="EXY4" s="18"/>
      <c r="EXZ4" s="18"/>
      <c r="EYA4" s="18"/>
      <c r="EYB4" s="18"/>
      <c r="EYC4" s="18"/>
      <c r="EYD4" s="18"/>
      <c r="EYE4" s="18"/>
      <c r="EYF4" s="18"/>
      <c r="EYG4" s="18"/>
      <c r="EYH4" s="18"/>
      <c r="EYI4" s="18"/>
      <c r="EYJ4" s="18"/>
      <c r="EYK4" s="18"/>
      <c r="EYL4" s="18"/>
      <c r="EYM4" s="18"/>
      <c r="EYN4" s="18"/>
      <c r="EYO4" s="18"/>
      <c r="EYP4" s="18"/>
      <c r="EYQ4" s="18"/>
      <c r="EYR4" s="18"/>
      <c r="EYS4" s="18"/>
      <c r="EYT4" s="18"/>
      <c r="EYU4" s="18"/>
      <c r="EYV4" s="18"/>
      <c r="EYW4" s="18"/>
      <c r="EYX4" s="18"/>
      <c r="EYY4" s="18"/>
      <c r="EYZ4" s="18"/>
      <c r="EZA4" s="18"/>
      <c r="EZB4" s="18"/>
      <c r="EZC4" s="18"/>
      <c r="EZD4" s="18"/>
      <c r="EZE4" s="18"/>
      <c r="EZF4" s="18"/>
      <c r="EZG4" s="18"/>
      <c r="EZH4" s="18"/>
      <c r="EZI4" s="18"/>
      <c r="EZJ4" s="18"/>
      <c r="EZK4" s="18"/>
      <c r="EZL4" s="18"/>
      <c r="EZM4" s="18"/>
      <c r="EZN4" s="18"/>
      <c r="EZO4" s="18"/>
      <c r="EZP4" s="18"/>
      <c r="EZQ4" s="18"/>
      <c r="EZR4" s="18"/>
      <c r="EZS4" s="18"/>
      <c r="EZT4" s="18"/>
      <c r="EZU4" s="18"/>
      <c r="EZV4" s="18"/>
      <c r="EZW4" s="18"/>
      <c r="EZX4" s="18"/>
      <c r="EZY4" s="18"/>
      <c r="EZZ4" s="18"/>
      <c r="FAA4" s="18"/>
      <c r="FAB4" s="18"/>
      <c r="FAC4" s="18"/>
      <c r="FAD4" s="18"/>
      <c r="FAE4" s="18"/>
      <c r="FAF4" s="18"/>
      <c r="FAG4" s="18"/>
      <c r="FAH4" s="18"/>
      <c r="FAI4" s="18"/>
      <c r="FAJ4" s="18"/>
      <c r="FAK4" s="18"/>
      <c r="FAL4" s="18"/>
      <c r="FAM4" s="18"/>
      <c r="FAN4" s="18"/>
      <c r="FAO4" s="18"/>
      <c r="FAP4" s="18"/>
      <c r="FAQ4" s="18"/>
      <c r="FAR4" s="18"/>
      <c r="FAS4" s="18"/>
      <c r="FAT4" s="18"/>
      <c r="FAU4" s="18"/>
      <c r="FAV4" s="18"/>
      <c r="FAW4" s="18"/>
      <c r="FAX4" s="18"/>
      <c r="FAY4" s="18"/>
      <c r="FAZ4" s="18"/>
      <c r="FBA4" s="18"/>
      <c r="FBB4" s="18"/>
      <c r="FBC4" s="18"/>
      <c r="FBD4" s="18"/>
      <c r="FBE4" s="18"/>
      <c r="FBF4" s="18"/>
      <c r="FBG4" s="18"/>
      <c r="FBH4" s="18"/>
      <c r="FBI4" s="18"/>
      <c r="FBJ4" s="18"/>
      <c r="FBK4" s="18"/>
      <c r="FBL4" s="18"/>
      <c r="FBM4" s="18"/>
      <c r="FBN4" s="18"/>
      <c r="FBO4" s="18"/>
      <c r="FBP4" s="18"/>
      <c r="FBQ4" s="18"/>
      <c r="FBR4" s="18"/>
      <c r="FBS4" s="18"/>
      <c r="FBT4" s="18"/>
      <c r="FBU4" s="18"/>
      <c r="FBV4" s="18"/>
      <c r="FBW4" s="18"/>
      <c r="FBX4" s="18"/>
      <c r="FBY4" s="18"/>
      <c r="FBZ4" s="18"/>
      <c r="FCA4" s="18"/>
      <c r="FCB4" s="18"/>
      <c r="FCC4" s="18"/>
      <c r="FCD4" s="18"/>
      <c r="FCE4" s="18"/>
      <c r="FCF4" s="18"/>
      <c r="FCG4" s="18"/>
      <c r="FCH4" s="18"/>
      <c r="FCI4" s="18"/>
      <c r="FCJ4" s="18"/>
      <c r="FCK4" s="18"/>
      <c r="FCL4" s="18"/>
      <c r="FCM4" s="18"/>
      <c r="FCN4" s="18"/>
      <c r="FCO4" s="18"/>
      <c r="FCP4" s="18"/>
      <c r="FCQ4" s="18"/>
      <c r="FCR4" s="18"/>
      <c r="FCS4" s="18"/>
      <c r="FCT4" s="18"/>
      <c r="FCU4" s="18"/>
      <c r="FCV4" s="18"/>
      <c r="FCW4" s="18"/>
      <c r="FCX4" s="18"/>
      <c r="FCY4" s="18"/>
      <c r="FCZ4" s="18"/>
      <c r="FDA4" s="18"/>
      <c r="FDB4" s="18"/>
      <c r="FDC4" s="18"/>
      <c r="FDD4" s="18"/>
      <c r="FDE4" s="18"/>
      <c r="FDF4" s="18"/>
      <c r="FDG4" s="18"/>
      <c r="FDH4" s="18"/>
      <c r="FDI4" s="18"/>
      <c r="FDJ4" s="18"/>
      <c r="FDK4" s="18"/>
      <c r="FDL4" s="18"/>
      <c r="FDM4" s="18"/>
      <c r="FDN4" s="18"/>
      <c r="FDO4" s="18"/>
      <c r="FDP4" s="18"/>
      <c r="FDQ4" s="18"/>
      <c r="FDR4" s="18"/>
      <c r="FDS4" s="18"/>
      <c r="FDT4" s="18"/>
      <c r="FDU4" s="18"/>
      <c r="FDV4" s="18"/>
      <c r="FDW4" s="18"/>
      <c r="FDX4" s="18"/>
      <c r="FDY4" s="18"/>
      <c r="FDZ4" s="18"/>
      <c r="FEA4" s="18"/>
      <c r="FEB4" s="18"/>
      <c r="FEC4" s="18"/>
      <c r="FED4" s="18"/>
      <c r="FEE4" s="18"/>
      <c r="FEF4" s="18"/>
      <c r="FEG4" s="18"/>
      <c r="FEH4" s="18"/>
      <c r="FEI4" s="18"/>
      <c r="FEJ4" s="18"/>
      <c r="FEK4" s="18"/>
      <c r="FEL4" s="18"/>
      <c r="FEM4" s="18"/>
      <c r="FEN4" s="18"/>
      <c r="FEO4" s="18"/>
      <c r="FEP4" s="18"/>
      <c r="FEQ4" s="18"/>
      <c r="FER4" s="18"/>
      <c r="FES4" s="18"/>
      <c r="FET4" s="18"/>
      <c r="FEU4" s="18"/>
      <c r="FEV4" s="18"/>
      <c r="FEW4" s="18"/>
      <c r="FEX4" s="18"/>
      <c r="FEY4" s="18"/>
      <c r="FEZ4" s="18"/>
      <c r="FFA4" s="18"/>
      <c r="FFB4" s="18"/>
      <c r="FFC4" s="18"/>
      <c r="FFD4" s="18"/>
      <c r="FFE4" s="18"/>
      <c r="FFF4" s="18"/>
      <c r="FFG4" s="18"/>
      <c r="FFH4" s="18"/>
      <c r="FFI4" s="18"/>
      <c r="FFJ4" s="18"/>
      <c r="FFK4" s="18"/>
      <c r="FFL4" s="18"/>
      <c r="FFM4" s="18"/>
      <c r="FFN4" s="18"/>
      <c r="FFO4" s="18"/>
      <c r="FFP4" s="18"/>
      <c r="FFQ4" s="18"/>
      <c r="FFR4" s="18"/>
      <c r="FFS4" s="18"/>
      <c r="FFT4" s="18"/>
      <c r="FFU4" s="18"/>
      <c r="FFV4" s="18"/>
      <c r="FFW4" s="18"/>
      <c r="FFX4" s="18"/>
      <c r="FFY4" s="18"/>
      <c r="FFZ4" s="18"/>
      <c r="FGA4" s="18"/>
      <c r="FGB4" s="18"/>
      <c r="FGC4" s="18"/>
      <c r="FGD4" s="18"/>
      <c r="FGE4" s="18"/>
      <c r="FGF4" s="18"/>
      <c r="FGG4" s="18"/>
      <c r="FGH4" s="18"/>
      <c r="FGI4" s="18"/>
      <c r="FGJ4" s="18"/>
      <c r="FGK4" s="18"/>
      <c r="FGL4" s="18"/>
      <c r="FGM4" s="18"/>
      <c r="FGN4" s="18"/>
      <c r="FGO4" s="18"/>
      <c r="FGP4" s="18"/>
      <c r="FGQ4" s="18"/>
      <c r="FGR4" s="18"/>
      <c r="FGS4" s="18"/>
      <c r="FGT4" s="18"/>
      <c r="FGU4" s="18"/>
      <c r="FGV4" s="18"/>
      <c r="FGW4" s="18"/>
      <c r="FGX4" s="18"/>
      <c r="FGY4" s="18"/>
      <c r="FGZ4" s="18"/>
      <c r="FHA4" s="18"/>
      <c r="FHB4" s="18"/>
      <c r="FHC4" s="18"/>
      <c r="FHD4" s="18"/>
      <c r="FHE4" s="18"/>
      <c r="FHF4" s="18"/>
      <c r="FHG4" s="18"/>
      <c r="FHH4" s="18"/>
      <c r="FHI4" s="18"/>
      <c r="FHJ4" s="18"/>
      <c r="FHK4" s="18"/>
      <c r="FHL4" s="18"/>
      <c r="FHM4" s="18"/>
      <c r="FHN4" s="18"/>
      <c r="FHO4" s="18"/>
      <c r="FHP4" s="18"/>
      <c r="FHQ4" s="18"/>
      <c r="FHR4" s="18"/>
      <c r="FHS4" s="18"/>
      <c r="FHT4" s="18"/>
      <c r="FHU4" s="18"/>
      <c r="FHV4" s="18"/>
      <c r="FHW4" s="18"/>
      <c r="FHX4" s="18"/>
      <c r="FHY4" s="18"/>
      <c r="FHZ4" s="18"/>
      <c r="FIA4" s="18"/>
      <c r="FIB4" s="18"/>
      <c r="FIC4" s="18"/>
      <c r="FID4" s="18"/>
      <c r="FIE4" s="18"/>
      <c r="FIF4" s="18"/>
      <c r="FIG4" s="18"/>
      <c r="FIH4" s="18"/>
      <c r="FII4" s="18"/>
      <c r="FIJ4" s="18"/>
      <c r="FIK4" s="18"/>
      <c r="FIL4" s="18"/>
      <c r="FIM4" s="18"/>
      <c r="FIN4" s="18"/>
      <c r="FIO4" s="18"/>
      <c r="FIP4" s="18"/>
      <c r="FIQ4" s="18"/>
      <c r="FIR4" s="18"/>
      <c r="FIS4" s="18"/>
      <c r="FIT4" s="18"/>
      <c r="FIU4" s="18"/>
      <c r="FIV4" s="18"/>
      <c r="FIW4" s="18"/>
      <c r="FIX4" s="18"/>
      <c r="FIY4" s="18"/>
      <c r="FIZ4" s="18"/>
      <c r="FJA4" s="18"/>
      <c r="FJB4" s="18"/>
      <c r="FJC4" s="18"/>
      <c r="FJD4" s="18"/>
      <c r="FJE4" s="18"/>
      <c r="FJF4" s="18"/>
      <c r="FJG4" s="18"/>
      <c r="FJH4" s="18"/>
      <c r="FJI4" s="18"/>
      <c r="FJJ4" s="18"/>
      <c r="FJK4" s="18"/>
      <c r="FJL4" s="18"/>
      <c r="FJM4" s="18"/>
      <c r="FJN4" s="18"/>
      <c r="FJO4" s="18"/>
      <c r="FJP4" s="18"/>
      <c r="FJQ4" s="18"/>
      <c r="FJR4" s="18"/>
      <c r="FJS4" s="18"/>
      <c r="FJT4" s="18"/>
      <c r="FJU4" s="18"/>
      <c r="FJV4" s="18"/>
      <c r="FJW4" s="18"/>
      <c r="FJX4" s="18"/>
      <c r="FJY4" s="18"/>
      <c r="FJZ4" s="18"/>
      <c r="FKA4" s="18"/>
      <c r="FKB4" s="18"/>
      <c r="FKC4" s="18"/>
      <c r="FKD4" s="18"/>
      <c r="FKE4" s="18"/>
      <c r="FKF4" s="18"/>
      <c r="FKG4" s="18"/>
      <c r="FKH4" s="18"/>
      <c r="FKI4" s="18"/>
      <c r="FKJ4" s="18"/>
      <c r="FKK4" s="18"/>
      <c r="FKL4" s="18"/>
      <c r="FKM4" s="18"/>
      <c r="FKN4" s="18"/>
      <c r="FKO4" s="18"/>
      <c r="FKP4" s="18"/>
      <c r="FKQ4" s="18"/>
      <c r="FKR4" s="18"/>
      <c r="FKS4" s="18"/>
      <c r="FKT4" s="18"/>
      <c r="FKU4" s="18"/>
      <c r="FKV4" s="18"/>
      <c r="FKW4" s="18"/>
      <c r="FKX4" s="18"/>
      <c r="FKY4" s="18"/>
      <c r="FKZ4" s="18"/>
      <c r="FLA4" s="18"/>
      <c r="FLB4" s="18"/>
      <c r="FLC4" s="18"/>
      <c r="FLD4" s="18"/>
      <c r="FLE4" s="18"/>
      <c r="FLF4" s="18"/>
      <c r="FLG4" s="18"/>
      <c r="FLH4" s="18"/>
      <c r="FLI4" s="18"/>
      <c r="FLJ4" s="18"/>
      <c r="FLK4" s="18"/>
      <c r="FLL4" s="18"/>
      <c r="FLM4" s="18"/>
      <c r="FLN4" s="18"/>
      <c r="FLO4" s="18"/>
      <c r="FLP4" s="18"/>
      <c r="FLQ4" s="18"/>
      <c r="FLR4" s="18"/>
      <c r="FLS4" s="18"/>
      <c r="FLT4" s="18"/>
      <c r="FLU4" s="18"/>
      <c r="FLV4" s="18"/>
      <c r="FLW4" s="18"/>
      <c r="FLX4" s="18"/>
      <c r="FLY4" s="18"/>
      <c r="FLZ4" s="18"/>
      <c r="FMA4" s="18"/>
      <c r="FMB4" s="18"/>
      <c r="FMC4" s="18"/>
      <c r="FMD4" s="18"/>
      <c r="FME4" s="18"/>
      <c r="FMF4" s="18"/>
      <c r="FMG4" s="18"/>
      <c r="FMH4" s="18"/>
      <c r="FMI4" s="18"/>
      <c r="FMJ4" s="18"/>
      <c r="FMK4" s="18"/>
      <c r="FML4" s="18"/>
      <c r="FMM4" s="18"/>
      <c r="FMN4" s="18"/>
      <c r="FMO4" s="18"/>
      <c r="FMP4" s="18"/>
      <c r="FMQ4" s="18"/>
      <c r="FMR4" s="18"/>
      <c r="FMS4" s="18"/>
      <c r="FMT4" s="18"/>
      <c r="FMU4" s="18"/>
      <c r="FMV4" s="18"/>
      <c r="FMW4" s="18"/>
      <c r="FMX4" s="18"/>
      <c r="FMY4" s="18"/>
      <c r="FMZ4" s="18"/>
      <c r="FNA4" s="18"/>
      <c r="FNB4" s="18"/>
      <c r="FNC4" s="18"/>
      <c r="FND4" s="18"/>
      <c r="FNE4" s="18"/>
      <c r="FNF4" s="18"/>
      <c r="FNG4" s="18"/>
      <c r="FNH4" s="18"/>
      <c r="FNI4" s="18"/>
      <c r="FNJ4" s="18"/>
      <c r="FNK4" s="18"/>
      <c r="FNL4" s="18"/>
      <c r="FNM4" s="18"/>
      <c r="FNN4" s="18"/>
      <c r="FNO4" s="18"/>
      <c r="FNP4" s="18"/>
      <c r="FNQ4" s="18"/>
      <c r="FNR4" s="18"/>
      <c r="FNS4" s="18"/>
      <c r="FNT4" s="18"/>
      <c r="FNU4" s="18"/>
      <c r="FNV4" s="18"/>
      <c r="FNW4" s="18"/>
      <c r="FNX4" s="18"/>
      <c r="FNY4" s="18"/>
      <c r="FNZ4" s="18"/>
      <c r="FOA4" s="18"/>
      <c r="FOB4" s="18"/>
      <c r="FOC4" s="18"/>
      <c r="FOD4" s="18"/>
      <c r="FOE4" s="18"/>
      <c r="FOF4" s="18"/>
      <c r="FOG4" s="18"/>
      <c r="FOH4" s="18"/>
      <c r="FOI4" s="18"/>
      <c r="FOJ4" s="18"/>
      <c r="FOK4" s="18"/>
      <c r="FOL4" s="18"/>
      <c r="FOM4" s="18"/>
      <c r="FON4" s="18"/>
      <c r="FOO4" s="18"/>
      <c r="FOP4" s="18"/>
      <c r="FOQ4" s="18"/>
      <c r="FOR4" s="18"/>
      <c r="FOS4" s="18"/>
      <c r="FOT4" s="18"/>
      <c r="FOU4" s="18"/>
      <c r="FOV4" s="18"/>
      <c r="FOW4" s="18"/>
      <c r="FOX4" s="18"/>
      <c r="FOY4" s="18"/>
      <c r="FOZ4" s="18"/>
      <c r="FPA4" s="18"/>
      <c r="FPB4" s="18"/>
      <c r="FPC4" s="18"/>
      <c r="FPD4" s="18"/>
      <c r="FPE4" s="18"/>
      <c r="FPF4" s="18"/>
      <c r="FPG4" s="18"/>
      <c r="FPH4" s="18"/>
      <c r="FPI4" s="18"/>
      <c r="FPJ4" s="18"/>
      <c r="FPK4" s="18"/>
      <c r="FPL4" s="18"/>
      <c r="FPM4" s="18"/>
      <c r="FPN4" s="18"/>
      <c r="FPO4" s="18"/>
      <c r="FPP4" s="18"/>
      <c r="FPQ4" s="18"/>
      <c r="FPR4" s="18"/>
      <c r="FPS4" s="18"/>
      <c r="FPT4" s="18"/>
      <c r="FPU4" s="18"/>
      <c r="FPV4" s="18"/>
      <c r="FPW4" s="18"/>
      <c r="FPX4" s="18"/>
      <c r="FPY4" s="18"/>
      <c r="FPZ4" s="18"/>
      <c r="FQA4" s="18"/>
      <c r="FQB4" s="18"/>
      <c r="FQC4" s="18"/>
      <c r="FQD4" s="18"/>
      <c r="FQE4" s="18"/>
      <c r="FQF4" s="18"/>
      <c r="FQG4" s="18"/>
      <c r="FQH4" s="18"/>
      <c r="FQI4" s="18"/>
      <c r="FQJ4" s="18"/>
      <c r="FQK4" s="18"/>
      <c r="FQL4" s="18"/>
      <c r="FQM4" s="18"/>
      <c r="FQN4" s="18"/>
      <c r="FQO4" s="18"/>
      <c r="FQP4" s="18"/>
      <c r="FQQ4" s="18"/>
      <c r="FQR4" s="18"/>
      <c r="FQS4" s="18"/>
      <c r="FQT4" s="18"/>
      <c r="FQU4" s="18"/>
      <c r="FQV4" s="18"/>
      <c r="FQW4" s="18"/>
      <c r="FQX4" s="18"/>
      <c r="FQY4" s="18"/>
      <c r="FQZ4" s="18"/>
      <c r="FRA4" s="18"/>
      <c r="FRB4" s="18"/>
      <c r="FRC4" s="18"/>
      <c r="FRD4" s="18"/>
      <c r="FRE4" s="18"/>
      <c r="FRF4" s="18"/>
      <c r="FRG4" s="18"/>
      <c r="FRH4" s="18"/>
      <c r="FRI4" s="18"/>
      <c r="FRJ4" s="18"/>
      <c r="FRK4" s="18"/>
      <c r="FRL4" s="18"/>
      <c r="FRM4" s="18"/>
      <c r="FRN4" s="18"/>
      <c r="FRO4" s="18"/>
      <c r="FRP4" s="18"/>
      <c r="FRQ4" s="18"/>
      <c r="FRR4" s="18"/>
      <c r="FRS4" s="18"/>
      <c r="FRT4" s="18"/>
      <c r="FRU4" s="18"/>
      <c r="FRV4" s="18"/>
      <c r="FRW4" s="18"/>
      <c r="FRX4" s="18"/>
      <c r="FRY4" s="18"/>
      <c r="FRZ4" s="18"/>
      <c r="FSA4" s="18"/>
      <c r="FSB4" s="18"/>
      <c r="FSC4" s="18"/>
      <c r="FSD4" s="18"/>
      <c r="FSE4" s="18"/>
      <c r="FSF4" s="18"/>
      <c r="FSG4" s="18"/>
      <c r="FSH4" s="18"/>
      <c r="FSI4" s="18"/>
      <c r="FSJ4" s="18"/>
      <c r="FSK4" s="18"/>
      <c r="FSL4" s="18"/>
      <c r="FSM4" s="18"/>
      <c r="FSN4" s="18"/>
      <c r="FSO4" s="18"/>
      <c r="FSP4" s="18"/>
      <c r="FSQ4" s="18"/>
      <c r="FSR4" s="18"/>
      <c r="FSS4" s="18"/>
      <c r="FST4" s="18"/>
      <c r="FSU4" s="18"/>
      <c r="FSV4" s="18"/>
      <c r="FSW4" s="18"/>
      <c r="FSX4" s="18"/>
      <c r="FSY4" s="18"/>
      <c r="FSZ4" s="18"/>
      <c r="FTA4" s="18"/>
      <c r="FTB4" s="18"/>
      <c r="FTC4" s="18"/>
      <c r="FTD4" s="18"/>
      <c r="FTE4" s="18"/>
      <c r="FTF4" s="18"/>
      <c r="FTG4" s="18"/>
      <c r="FTH4" s="18"/>
      <c r="FTI4" s="18"/>
      <c r="FTJ4" s="18"/>
      <c r="FTK4" s="18"/>
      <c r="FTL4" s="18"/>
      <c r="FTM4" s="18"/>
      <c r="FTN4" s="18"/>
      <c r="FTO4" s="18"/>
      <c r="FTP4" s="18"/>
      <c r="FTQ4" s="18"/>
      <c r="FTR4" s="18"/>
      <c r="FTS4" s="18"/>
      <c r="FTT4" s="18"/>
      <c r="FTU4" s="18"/>
      <c r="FTV4" s="18"/>
      <c r="FTW4" s="18"/>
      <c r="FTX4" s="18"/>
      <c r="FTY4" s="18"/>
      <c r="FTZ4" s="18"/>
      <c r="FUA4" s="18"/>
      <c r="FUB4" s="18"/>
      <c r="FUC4" s="18"/>
      <c r="FUD4" s="18"/>
      <c r="FUE4" s="18"/>
      <c r="FUF4" s="18"/>
      <c r="FUG4" s="18"/>
      <c r="FUH4" s="18"/>
      <c r="FUI4" s="18"/>
      <c r="FUJ4" s="18"/>
      <c r="FUK4" s="18"/>
      <c r="FUL4" s="18"/>
      <c r="FUM4" s="18"/>
      <c r="FUN4" s="18"/>
      <c r="FUO4" s="18"/>
      <c r="FUP4" s="18"/>
      <c r="FUQ4" s="18"/>
      <c r="FUR4" s="18"/>
      <c r="FUS4" s="18"/>
      <c r="FUT4" s="18"/>
      <c r="FUU4" s="18"/>
      <c r="FUV4" s="18"/>
      <c r="FUW4" s="18"/>
      <c r="FUX4" s="18"/>
      <c r="FUY4" s="18"/>
      <c r="FUZ4" s="18"/>
      <c r="FVA4" s="18"/>
      <c r="FVB4" s="18"/>
      <c r="FVC4" s="18"/>
      <c r="FVD4" s="18"/>
      <c r="FVE4" s="18"/>
      <c r="FVF4" s="18"/>
      <c r="FVG4" s="18"/>
      <c r="FVH4" s="18"/>
      <c r="FVI4" s="18"/>
      <c r="FVJ4" s="18"/>
      <c r="FVK4" s="18"/>
      <c r="FVL4" s="18"/>
      <c r="FVM4" s="18"/>
      <c r="FVN4" s="18"/>
      <c r="FVO4" s="18"/>
      <c r="FVP4" s="18"/>
      <c r="FVQ4" s="18"/>
      <c r="FVR4" s="18"/>
      <c r="FVS4" s="18"/>
      <c r="FVT4" s="18"/>
      <c r="FVU4" s="18"/>
      <c r="FVV4" s="18"/>
      <c r="FVW4" s="18"/>
      <c r="FVX4" s="18"/>
      <c r="FVY4" s="18"/>
      <c r="FVZ4" s="18"/>
      <c r="FWA4" s="18"/>
      <c r="FWB4" s="18"/>
      <c r="FWC4" s="18"/>
      <c r="FWD4" s="18"/>
      <c r="FWE4" s="18"/>
      <c r="FWF4" s="18"/>
      <c r="FWG4" s="18"/>
      <c r="FWH4" s="18"/>
      <c r="FWI4" s="18"/>
      <c r="FWJ4" s="18"/>
      <c r="FWK4" s="18"/>
      <c r="FWL4" s="18"/>
      <c r="FWM4" s="18"/>
      <c r="FWN4" s="18"/>
      <c r="FWO4" s="18"/>
      <c r="FWP4" s="18"/>
      <c r="FWQ4" s="18"/>
      <c r="FWR4" s="18"/>
      <c r="FWS4" s="18"/>
      <c r="FWT4" s="18"/>
      <c r="FWU4" s="18"/>
      <c r="FWV4" s="18"/>
      <c r="FWW4" s="18"/>
      <c r="FWX4" s="18"/>
      <c r="FWY4" s="18"/>
      <c r="FWZ4" s="18"/>
      <c r="FXA4" s="18"/>
      <c r="FXB4" s="18"/>
      <c r="FXC4" s="18"/>
      <c r="FXD4" s="18"/>
      <c r="FXE4" s="18"/>
      <c r="FXF4" s="18"/>
      <c r="FXG4" s="18"/>
      <c r="FXH4" s="18"/>
      <c r="FXI4" s="18"/>
      <c r="FXJ4" s="18"/>
      <c r="FXK4" s="18"/>
      <c r="FXL4" s="18"/>
      <c r="FXM4" s="18"/>
      <c r="FXN4" s="18"/>
      <c r="FXO4" s="18"/>
      <c r="FXP4" s="18"/>
      <c r="FXQ4" s="18"/>
      <c r="FXR4" s="18"/>
      <c r="FXS4" s="18"/>
      <c r="FXT4" s="18"/>
      <c r="FXU4" s="18"/>
      <c r="FXV4" s="18"/>
      <c r="FXW4" s="18"/>
      <c r="FXX4" s="18"/>
      <c r="FXY4" s="18"/>
      <c r="FXZ4" s="18"/>
      <c r="FYA4" s="18"/>
      <c r="FYB4" s="18"/>
      <c r="FYC4" s="18"/>
      <c r="FYD4" s="18"/>
      <c r="FYE4" s="18"/>
      <c r="FYF4" s="18"/>
      <c r="FYG4" s="18"/>
      <c r="FYH4" s="18"/>
      <c r="FYI4" s="18"/>
      <c r="FYJ4" s="18"/>
      <c r="FYK4" s="18"/>
      <c r="FYL4" s="18"/>
      <c r="FYM4" s="18"/>
      <c r="FYN4" s="18"/>
      <c r="FYO4" s="18"/>
      <c r="FYP4" s="18"/>
      <c r="FYQ4" s="18"/>
      <c r="FYR4" s="18"/>
      <c r="FYS4" s="18"/>
      <c r="FYT4" s="18"/>
      <c r="FYU4" s="18"/>
      <c r="FYV4" s="18"/>
      <c r="FYW4" s="18"/>
      <c r="FYX4" s="18"/>
      <c r="FYY4" s="18"/>
      <c r="FYZ4" s="18"/>
      <c r="FZA4" s="18"/>
      <c r="FZB4" s="18"/>
      <c r="FZC4" s="18"/>
      <c r="FZD4" s="18"/>
      <c r="FZE4" s="18"/>
      <c r="FZF4" s="18"/>
      <c r="FZG4" s="18"/>
      <c r="FZH4" s="18"/>
      <c r="FZI4" s="18"/>
      <c r="FZJ4" s="18"/>
      <c r="FZK4" s="18"/>
      <c r="FZL4" s="18"/>
      <c r="FZM4" s="18"/>
      <c r="FZN4" s="18"/>
      <c r="FZO4" s="18"/>
      <c r="FZP4" s="18"/>
      <c r="FZQ4" s="18"/>
      <c r="FZR4" s="18"/>
      <c r="FZS4" s="18"/>
      <c r="FZT4" s="18"/>
      <c r="FZU4" s="18"/>
      <c r="FZV4" s="18"/>
      <c r="FZW4" s="18"/>
      <c r="FZX4" s="18"/>
      <c r="FZY4" s="18"/>
      <c r="FZZ4" s="18"/>
      <c r="GAA4" s="18"/>
      <c r="GAB4" s="18"/>
      <c r="GAC4" s="18"/>
      <c r="GAD4" s="18"/>
      <c r="GAE4" s="18"/>
      <c r="GAF4" s="18"/>
      <c r="GAG4" s="18"/>
      <c r="GAH4" s="18"/>
      <c r="GAI4" s="18"/>
      <c r="GAJ4" s="18"/>
      <c r="GAK4" s="18"/>
      <c r="GAL4" s="18"/>
      <c r="GAM4" s="18"/>
      <c r="GAN4" s="18"/>
      <c r="GAO4" s="18"/>
      <c r="GAP4" s="18"/>
      <c r="GAQ4" s="18"/>
      <c r="GAR4" s="18"/>
      <c r="GAS4" s="18"/>
      <c r="GAT4" s="18"/>
      <c r="GAU4" s="18"/>
      <c r="GAV4" s="18"/>
      <c r="GAW4" s="18"/>
      <c r="GAX4" s="18"/>
      <c r="GAY4" s="18"/>
      <c r="GAZ4" s="18"/>
      <c r="GBA4" s="18"/>
      <c r="GBB4" s="18"/>
      <c r="GBC4" s="18"/>
      <c r="GBD4" s="18"/>
      <c r="GBE4" s="18"/>
      <c r="GBF4" s="18"/>
      <c r="GBG4" s="18"/>
      <c r="GBH4" s="18"/>
      <c r="GBI4" s="18"/>
      <c r="GBJ4" s="18"/>
      <c r="GBK4" s="18"/>
      <c r="GBL4" s="18"/>
      <c r="GBM4" s="18"/>
      <c r="GBN4" s="18"/>
      <c r="GBO4" s="18"/>
      <c r="GBP4" s="18"/>
      <c r="GBQ4" s="18"/>
      <c r="GBR4" s="18"/>
      <c r="GBS4" s="18"/>
      <c r="GBT4" s="18"/>
      <c r="GBU4" s="18"/>
      <c r="GBV4" s="18"/>
      <c r="GBW4" s="18"/>
      <c r="GBX4" s="18"/>
      <c r="GBY4" s="18"/>
      <c r="GBZ4" s="18"/>
      <c r="GCA4" s="18"/>
      <c r="GCB4" s="18"/>
      <c r="GCC4" s="18"/>
      <c r="GCD4" s="18"/>
      <c r="GCE4" s="18"/>
      <c r="GCF4" s="18"/>
      <c r="GCG4" s="18"/>
      <c r="GCH4" s="18"/>
      <c r="GCI4" s="18"/>
      <c r="GCJ4" s="18"/>
      <c r="GCK4" s="18"/>
      <c r="GCL4" s="18"/>
      <c r="GCM4" s="18"/>
      <c r="GCN4" s="18"/>
      <c r="GCO4" s="18"/>
      <c r="GCP4" s="18"/>
      <c r="GCQ4" s="18"/>
      <c r="GCR4" s="18"/>
      <c r="GCS4" s="18"/>
      <c r="GCT4" s="18"/>
      <c r="GCU4" s="18"/>
      <c r="GCV4" s="18"/>
      <c r="GCW4" s="18"/>
      <c r="GCX4" s="18"/>
      <c r="GCY4" s="18"/>
      <c r="GCZ4" s="18"/>
      <c r="GDA4" s="18"/>
      <c r="GDB4" s="18"/>
      <c r="GDC4" s="18"/>
      <c r="GDD4" s="18"/>
      <c r="GDE4" s="18"/>
      <c r="GDF4" s="18"/>
      <c r="GDG4" s="18"/>
      <c r="GDH4" s="18"/>
      <c r="GDI4" s="18"/>
      <c r="GDJ4" s="18"/>
      <c r="GDK4" s="18"/>
      <c r="GDL4" s="18"/>
      <c r="GDM4" s="18"/>
      <c r="GDN4" s="18"/>
      <c r="GDO4" s="18"/>
      <c r="GDP4" s="18"/>
      <c r="GDQ4" s="18"/>
      <c r="GDR4" s="18"/>
      <c r="GDS4" s="18"/>
      <c r="GDT4" s="18"/>
      <c r="GDU4" s="18"/>
      <c r="GDV4" s="18"/>
      <c r="GDW4" s="18"/>
      <c r="GDX4" s="18"/>
      <c r="GDY4" s="18"/>
      <c r="GDZ4" s="18"/>
      <c r="GEA4" s="18"/>
      <c r="GEB4" s="18"/>
      <c r="GEC4" s="18"/>
      <c r="GED4" s="18"/>
      <c r="GEE4" s="18"/>
      <c r="GEF4" s="18"/>
      <c r="GEG4" s="18"/>
      <c r="GEH4" s="18"/>
      <c r="GEI4" s="18"/>
      <c r="GEJ4" s="18"/>
      <c r="GEK4" s="18"/>
      <c r="GEL4" s="18"/>
      <c r="GEM4" s="18"/>
      <c r="GEN4" s="18"/>
      <c r="GEO4" s="18"/>
      <c r="GEP4" s="18"/>
      <c r="GEQ4" s="18"/>
      <c r="GER4" s="18"/>
      <c r="GES4" s="18"/>
      <c r="GET4" s="18"/>
      <c r="GEU4" s="18"/>
      <c r="GEV4" s="18"/>
      <c r="GEW4" s="18"/>
      <c r="GEX4" s="18"/>
      <c r="GEY4" s="18"/>
      <c r="GEZ4" s="18"/>
      <c r="GFA4" s="18"/>
      <c r="GFB4" s="18"/>
      <c r="GFC4" s="18"/>
      <c r="GFD4" s="18"/>
      <c r="GFE4" s="18"/>
      <c r="GFF4" s="18"/>
      <c r="GFG4" s="18"/>
      <c r="GFH4" s="18"/>
      <c r="GFI4" s="18"/>
      <c r="GFJ4" s="18"/>
      <c r="GFK4" s="18"/>
      <c r="GFL4" s="18"/>
      <c r="GFM4" s="18"/>
      <c r="GFN4" s="18"/>
      <c r="GFO4" s="18"/>
      <c r="GFP4" s="18"/>
      <c r="GFQ4" s="18"/>
      <c r="GFR4" s="18"/>
      <c r="GFS4" s="18"/>
      <c r="GFT4" s="18"/>
      <c r="GFU4" s="18"/>
      <c r="GFV4" s="18"/>
      <c r="GFW4" s="18"/>
      <c r="GFX4" s="18"/>
      <c r="GFY4" s="18"/>
      <c r="GFZ4" s="18"/>
      <c r="GGA4" s="18"/>
      <c r="GGB4" s="18"/>
      <c r="GGC4" s="18"/>
      <c r="GGD4" s="18"/>
      <c r="GGE4" s="18"/>
      <c r="GGF4" s="18"/>
      <c r="GGG4" s="18"/>
      <c r="GGH4" s="18"/>
      <c r="GGI4" s="18"/>
      <c r="GGJ4" s="18"/>
      <c r="GGK4" s="18"/>
      <c r="GGL4" s="18"/>
      <c r="GGM4" s="18"/>
      <c r="GGN4" s="18"/>
      <c r="GGO4" s="18"/>
      <c r="GGP4" s="18"/>
      <c r="GGQ4" s="18"/>
      <c r="GGR4" s="18"/>
      <c r="GGS4" s="18"/>
      <c r="GGT4" s="18"/>
      <c r="GGU4" s="18"/>
      <c r="GGV4" s="18"/>
      <c r="GGW4" s="18"/>
      <c r="GGX4" s="18"/>
      <c r="GGY4" s="18"/>
      <c r="GGZ4" s="18"/>
      <c r="GHA4" s="18"/>
      <c r="GHB4" s="18"/>
      <c r="GHC4" s="18"/>
      <c r="GHD4" s="18"/>
      <c r="GHE4" s="18"/>
      <c r="GHF4" s="18"/>
      <c r="GHG4" s="18"/>
      <c r="GHH4" s="18"/>
      <c r="GHI4" s="18"/>
      <c r="GHJ4" s="18"/>
      <c r="GHK4" s="18"/>
      <c r="GHL4" s="18"/>
      <c r="GHM4" s="18"/>
      <c r="GHN4" s="18"/>
      <c r="GHO4" s="18"/>
      <c r="GHP4" s="18"/>
      <c r="GHQ4" s="18"/>
      <c r="GHR4" s="18"/>
      <c r="GHS4" s="18"/>
      <c r="GHT4" s="18"/>
      <c r="GHU4" s="18"/>
      <c r="GHV4" s="18"/>
      <c r="GHW4" s="18"/>
      <c r="GHX4" s="18"/>
      <c r="GHY4" s="18"/>
      <c r="GHZ4" s="18"/>
      <c r="GIA4" s="18"/>
      <c r="GIB4" s="18"/>
      <c r="GIC4" s="18"/>
      <c r="GID4" s="18"/>
      <c r="GIE4" s="18"/>
      <c r="GIF4" s="18"/>
      <c r="GIG4" s="18"/>
      <c r="GIH4" s="18"/>
      <c r="GII4" s="18"/>
      <c r="GIJ4" s="18"/>
      <c r="GIK4" s="18"/>
      <c r="GIL4" s="18"/>
      <c r="GIM4" s="18"/>
      <c r="GIN4" s="18"/>
      <c r="GIO4" s="18"/>
      <c r="GIP4" s="18"/>
      <c r="GIQ4" s="18"/>
      <c r="GIR4" s="18"/>
      <c r="GIS4" s="18"/>
      <c r="GIT4" s="18"/>
      <c r="GIU4" s="18"/>
      <c r="GIV4" s="18"/>
      <c r="GIW4" s="18"/>
      <c r="GIX4" s="18"/>
      <c r="GIY4" s="18"/>
      <c r="GIZ4" s="18"/>
      <c r="GJA4" s="18"/>
      <c r="GJB4" s="18"/>
      <c r="GJC4" s="18"/>
      <c r="GJD4" s="18"/>
      <c r="GJE4" s="18"/>
      <c r="GJF4" s="18"/>
      <c r="GJG4" s="18"/>
      <c r="GJH4" s="18"/>
      <c r="GJI4" s="18"/>
      <c r="GJJ4" s="18"/>
      <c r="GJK4" s="18"/>
      <c r="GJL4" s="18"/>
      <c r="GJM4" s="18"/>
      <c r="GJN4" s="18"/>
      <c r="GJO4" s="18"/>
      <c r="GJP4" s="18"/>
      <c r="GJQ4" s="18"/>
      <c r="GJR4" s="18"/>
      <c r="GJS4" s="18"/>
      <c r="GJT4" s="18"/>
      <c r="GJU4" s="18"/>
      <c r="GJV4" s="18"/>
      <c r="GJW4" s="18"/>
      <c r="GJX4" s="18"/>
      <c r="GJY4" s="18"/>
      <c r="GJZ4" s="18"/>
      <c r="GKA4" s="18"/>
      <c r="GKB4" s="18"/>
      <c r="GKC4" s="18"/>
      <c r="GKD4" s="18"/>
      <c r="GKE4" s="18"/>
      <c r="GKF4" s="18"/>
      <c r="GKG4" s="18"/>
      <c r="GKH4" s="18"/>
      <c r="GKI4" s="18"/>
      <c r="GKJ4" s="18"/>
      <c r="GKK4" s="18"/>
      <c r="GKL4" s="18"/>
      <c r="GKM4" s="18"/>
      <c r="GKN4" s="18"/>
      <c r="GKO4" s="18"/>
      <c r="GKP4" s="18"/>
      <c r="GKQ4" s="18"/>
      <c r="GKR4" s="18"/>
      <c r="GKS4" s="18"/>
      <c r="GKT4" s="18"/>
      <c r="GKU4" s="18"/>
      <c r="GKV4" s="18"/>
      <c r="GKW4" s="18"/>
      <c r="GKX4" s="18"/>
      <c r="GKY4" s="18"/>
      <c r="GKZ4" s="18"/>
      <c r="GLA4" s="18"/>
      <c r="GLB4" s="18"/>
      <c r="GLC4" s="18"/>
      <c r="GLD4" s="18"/>
      <c r="GLE4" s="18"/>
      <c r="GLF4" s="18"/>
      <c r="GLG4" s="18"/>
      <c r="GLH4" s="18"/>
      <c r="GLI4" s="18"/>
      <c r="GLJ4" s="18"/>
      <c r="GLK4" s="18"/>
      <c r="GLL4" s="18"/>
      <c r="GLM4" s="18"/>
      <c r="GLN4" s="18"/>
      <c r="GLO4" s="18"/>
      <c r="GLP4" s="18"/>
      <c r="GLQ4" s="18"/>
      <c r="GLR4" s="18"/>
      <c r="GLS4" s="18"/>
      <c r="GLT4" s="18"/>
      <c r="GLU4" s="18"/>
      <c r="GLV4" s="18"/>
      <c r="GLW4" s="18"/>
      <c r="GLX4" s="18"/>
      <c r="GLY4" s="18"/>
      <c r="GLZ4" s="18"/>
      <c r="GMA4" s="18"/>
      <c r="GMB4" s="18"/>
      <c r="GMC4" s="18"/>
      <c r="GMD4" s="18"/>
      <c r="GME4" s="18"/>
      <c r="GMF4" s="18"/>
      <c r="GMG4" s="18"/>
      <c r="GMH4" s="18"/>
      <c r="GMI4" s="18"/>
      <c r="GMJ4" s="18"/>
      <c r="GMK4" s="18"/>
      <c r="GML4" s="18"/>
      <c r="GMM4" s="18"/>
      <c r="GMN4" s="18"/>
      <c r="GMO4" s="18"/>
      <c r="GMP4" s="18"/>
      <c r="GMQ4" s="18"/>
      <c r="GMR4" s="18"/>
      <c r="GMS4" s="18"/>
      <c r="GMT4" s="18"/>
      <c r="GMU4" s="18"/>
      <c r="GMV4" s="18"/>
      <c r="GMW4" s="18"/>
      <c r="GMX4" s="18"/>
      <c r="GMY4" s="18"/>
      <c r="GMZ4" s="18"/>
      <c r="GNA4" s="18"/>
      <c r="GNB4" s="18"/>
      <c r="GNC4" s="18"/>
      <c r="GND4" s="18"/>
      <c r="GNE4" s="18"/>
      <c r="GNF4" s="18"/>
      <c r="GNG4" s="18"/>
      <c r="GNH4" s="18"/>
      <c r="GNI4" s="18"/>
      <c r="GNJ4" s="18"/>
      <c r="GNK4" s="18"/>
      <c r="GNL4" s="18"/>
      <c r="GNM4" s="18"/>
      <c r="GNN4" s="18"/>
      <c r="GNO4" s="18"/>
      <c r="GNP4" s="18"/>
      <c r="GNQ4" s="18"/>
      <c r="GNR4" s="18"/>
      <c r="GNS4" s="18"/>
      <c r="GNT4" s="18"/>
      <c r="GNU4" s="18"/>
      <c r="GNV4" s="18"/>
      <c r="GNW4" s="18"/>
      <c r="GNX4" s="18"/>
      <c r="GNY4" s="18"/>
      <c r="GNZ4" s="18"/>
      <c r="GOA4" s="18"/>
      <c r="GOB4" s="18"/>
      <c r="GOC4" s="18"/>
      <c r="GOD4" s="18"/>
      <c r="GOE4" s="18"/>
      <c r="GOF4" s="18"/>
      <c r="GOG4" s="18"/>
      <c r="GOH4" s="18"/>
      <c r="GOI4" s="18"/>
      <c r="GOJ4" s="18"/>
      <c r="GOK4" s="18"/>
      <c r="GOL4" s="18"/>
      <c r="GOM4" s="18"/>
      <c r="GON4" s="18"/>
      <c r="GOO4" s="18"/>
      <c r="GOP4" s="18"/>
      <c r="GOQ4" s="18"/>
      <c r="GOR4" s="18"/>
      <c r="GOS4" s="18"/>
      <c r="GOT4" s="18"/>
      <c r="GOU4" s="18"/>
      <c r="GOV4" s="18"/>
      <c r="GOW4" s="18"/>
      <c r="GOX4" s="18"/>
      <c r="GOY4" s="18"/>
      <c r="GOZ4" s="18"/>
      <c r="GPA4" s="18"/>
      <c r="GPB4" s="18"/>
      <c r="GPC4" s="18"/>
      <c r="GPD4" s="18"/>
      <c r="GPE4" s="18"/>
      <c r="GPF4" s="18"/>
      <c r="GPG4" s="18"/>
      <c r="GPH4" s="18"/>
      <c r="GPI4" s="18"/>
      <c r="GPJ4" s="18"/>
      <c r="GPK4" s="18"/>
      <c r="GPL4" s="18"/>
      <c r="GPM4" s="18"/>
      <c r="GPN4" s="18"/>
      <c r="GPO4" s="18"/>
      <c r="GPP4" s="18"/>
      <c r="GPQ4" s="18"/>
      <c r="GPR4" s="18"/>
      <c r="GPS4" s="18"/>
      <c r="GPT4" s="18"/>
      <c r="GPU4" s="18"/>
      <c r="GPV4" s="18"/>
      <c r="GPW4" s="18"/>
      <c r="GPX4" s="18"/>
      <c r="GPY4" s="18"/>
      <c r="GPZ4" s="18"/>
      <c r="GQA4" s="18"/>
      <c r="GQB4" s="18"/>
      <c r="GQC4" s="18"/>
      <c r="GQD4" s="18"/>
      <c r="GQE4" s="18"/>
      <c r="GQF4" s="18"/>
      <c r="GQG4" s="18"/>
      <c r="GQH4" s="18"/>
      <c r="GQI4" s="18"/>
      <c r="GQJ4" s="18"/>
      <c r="GQK4" s="18"/>
      <c r="GQL4" s="18"/>
      <c r="GQM4" s="18"/>
      <c r="GQN4" s="18"/>
      <c r="GQO4" s="18"/>
      <c r="GQP4" s="18"/>
      <c r="GQQ4" s="18"/>
      <c r="GQR4" s="18"/>
      <c r="GQS4" s="18"/>
      <c r="GQT4" s="18"/>
      <c r="GQU4" s="18"/>
      <c r="GQV4" s="18"/>
      <c r="GQW4" s="18"/>
      <c r="GQX4" s="18"/>
      <c r="GQY4" s="18"/>
      <c r="GQZ4" s="18"/>
      <c r="GRA4" s="18"/>
      <c r="GRB4" s="18"/>
      <c r="GRC4" s="18"/>
      <c r="GRD4" s="18"/>
      <c r="GRE4" s="18"/>
      <c r="GRF4" s="18"/>
      <c r="GRG4" s="18"/>
      <c r="GRH4" s="18"/>
      <c r="GRI4" s="18"/>
      <c r="GRJ4" s="18"/>
      <c r="GRK4" s="18"/>
      <c r="GRL4" s="18"/>
      <c r="GRM4" s="18"/>
      <c r="GRN4" s="18"/>
      <c r="GRO4" s="18"/>
      <c r="GRP4" s="18"/>
      <c r="GRQ4" s="18"/>
      <c r="GRR4" s="18"/>
      <c r="GRS4" s="18"/>
      <c r="GRT4" s="18"/>
      <c r="GRU4" s="18"/>
      <c r="GRV4" s="18"/>
      <c r="GRW4" s="18"/>
      <c r="GRX4" s="18"/>
      <c r="GRY4" s="18"/>
      <c r="GRZ4" s="18"/>
      <c r="GSA4" s="18"/>
      <c r="GSB4" s="18"/>
      <c r="GSC4" s="18"/>
      <c r="GSD4" s="18"/>
      <c r="GSE4" s="18"/>
      <c r="GSF4" s="18"/>
      <c r="GSG4" s="18"/>
      <c r="GSH4" s="18"/>
      <c r="GSI4" s="18"/>
      <c r="GSJ4" s="18"/>
      <c r="GSK4" s="18"/>
      <c r="GSL4" s="18"/>
      <c r="GSM4" s="18"/>
      <c r="GSN4" s="18"/>
      <c r="GSO4" s="18"/>
      <c r="GSP4" s="18"/>
      <c r="GSQ4" s="18"/>
      <c r="GSR4" s="18"/>
      <c r="GSS4" s="18"/>
      <c r="GST4" s="18"/>
      <c r="GSU4" s="18"/>
      <c r="GSV4" s="18"/>
      <c r="GSW4" s="18"/>
      <c r="GSX4" s="18"/>
      <c r="GSY4" s="18"/>
      <c r="GSZ4" s="18"/>
      <c r="GTA4" s="18"/>
      <c r="GTB4" s="18"/>
      <c r="GTC4" s="18"/>
      <c r="GTD4" s="18"/>
      <c r="GTE4" s="18"/>
      <c r="GTF4" s="18"/>
      <c r="GTG4" s="18"/>
      <c r="GTH4" s="18"/>
      <c r="GTI4" s="18"/>
      <c r="GTJ4" s="18"/>
      <c r="GTK4" s="18"/>
      <c r="GTL4" s="18"/>
      <c r="GTM4" s="18"/>
      <c r="GTN4" s="18"/>
      <c r="GTO4" s="18"/>
      <c r="GTP4" s="18"/>
      <c r="GTQ4" s="18"/>
      <c r="GTR4" s="18"/>
      <c r="GTS4" s="18"/>
      <c r="GTT4" s="18"/>
      <c r="GTU4" s="18"/>
      <c r="GTV4" s="18"/>
      <c r="GTW4" s="18"/>
      <c r="GTX4" s="18"/>
      <c r="GTY4" s="18"/>
      <c r="GTZ4" s="18"/>
      <c r="GUA4" s="18"/>
      <c r="GUB4" s="18"/>
      <c r="GUC4" s="18"/>
      <c r="GUD4" s="18"/>
      <c r="GUE4" s="18"/>
      <c r="GUF4" s="18"/>
      <c r="GUG4" s="18"/>
      <c r="GUH4" s="18"/>
      <c r="GUI4" s="18"/>
      <c r="GUJ4" s="18"/>
      <c r="GUK4" s="18"/>
      <c r="GUL4" s="18"/>
      <c r="GUM4" s="18"/>
      <c r="GUN4" s="18"/>
      <c r="GUO4" s="18"/>
      <c r="GUP4" s="18"/>
      <c r="GUQ4" s="18"/>
      <c r="GUR4" s="18"/>
      <c r="GUS4" s="18"/>
      <c r="GUT4" s="18"/>
      <c r="GUU4" s="18"/>
      <c r="GUV4" s="18"/>
      <c r="GUW4" s="18"/>
      <c r="GUX4" s="18"/>
      <c r="GUY4" s="18"/>
      <c r="GUZ4" s="18"/>
      <c r="GVA4" s="18"/>
      <c r="GVB4" s="18"/>
      <c r="GVC4" s="18"/>
      <c r="GVD4" s="18"/>
      <c r="GVE4" s="18"/>
      <c r="GVF4" s="18"/>
      <c r="GVG4" s="18"/>
      <c r="GVH4" s="18"/>
      <c r="GVI4" s="18"/>
      <c r="GVJ4" s="18"/>
      <c r="GVK4" s="18"/>
      <c r="GVL4" s="18"/>
      <c r="GVM4" s="18"/>
      <c r="GVN4" s="18"/>
      <c r="GVO4" s="18"/>
      <c r="GVP4" s="18"/>
      <c r="GVQ4" s="18"/>
      <c r="GVR4" s="18"/>
      <c r="GVS4" s="18"/>
      <c r="GVT4" s="18"/>
      <c r="GVU4" s="18"/>
      <c r="GVV4" s="18"/>
      <c r="GVW4" s="18"/>
      <c r="GVX4" s="18"/>
      <c r="GVY4" s="18"/>
      <c r="GVZ4" s="18"/>
      <c r="GWA4" s="18"/>
      <c r="GWB4" s="18"/>
      <c r="GWC4" s="18"/>
      <c r="GWD4" s="18"/>
      <c r="GWE4" s="18"/>
      <c r="GWF4" s="18"/>
      <c r="GWG4" s="18"/>
      <c r="GWH4" s="18"/>
      <c r="GWI4" s="18"/>
      <c r="GWJ4" s="18"/>
      <c r="GWK4" s="18"/>
      <c r="GWL4" s="18"/>
      <c r="GWM4" s="18"/>
      <c r="GWN4" s="18"/>
      <c r="GWO4" s="18"/>
      <c r="GWP4" s="18"/>
      <c r="GWQ4" s="18"/>
      <c r="GWR4" s="18"/>
      <c r="GWS4" s="18"/>
      <c r="GWT4" s="18"/>
      <c r="GWU4" s="18"/>
      <c r="GWV4" s="18"/>
      <c r="GWW4" s="18"/>
      <c r="GWX4" s="18"/>
      <c r="GWY4" s="18"/>
      <c r="GWZ4" s="18"/>
      <c r="GXA4" s="18"/>
      <c r="GXB4" s="18"/>
      <c r="GXC4" s="18"/>
      <c r="GXD4" s="18"/>
      <c r="GXE4" s="18"/>
      <c r="GXF4" s="18"/>
      <c r="GXG4" s="18"/>
      <c r="GXH4" s="18"/>
      <c r="GXI4" s="18"/>
      <c r="GXJ4" s="18"/>
      <c r="GXK4" s="18"/>
      <c r="GXL4" s="18"/>
      <c r="GXM4" s="18"/>
      <c r="GXN4" s="18"/>
      <c r="GXO4" s="18"/>
      <c r="GXP4" s="18"/>
      <c r="GXQ4" s="18"/>
      <c r="GXR4" s="18"/>
      <c r="GXS4" s="18"/>
      <c r="GXT4" s="18"/>
      <c r="GXU4" s="18"/>
      <c r="GXV4" s="18"/>
      <c r="GXW4" s="18"/>
      <c r="GXX4" s="18"/>
      <c r="GXY4" s="18"/>
      <c r="GXZ4" s="18"/>
      <c r="GYA4" s="18"/>
      <c r="GYB4" s="18"/>
      <c r="GYC4" s="18"/>
      <c r="GYD4" s="18"/>
      <c r="GYE4" s="18"/>
      <c r="GYF4" s="18"/>
      <c r="GYG4" s="18"/>
      <c r="GYH4" s="18"/>
      <c r="GYI4" s="18"/>
      <c r="GYJ4" s="18"/>
      <c r="GYK4" s="18"/>
      <c r="GYL4" s="18"/>
      <c r="GYM4" s="18"/>
      <c r="GYN4" s="18"/>
      <c r="GYO4" s="18"/>
      <c r="GYP4" s="18"/>
      <c r="GYQ4" s="18"/>
      <c r="GYR4" s="18"/>
      <c r="GYS4" s="18"/>
      <c r="GYT4" s="18"/>
      <c r="GYU4" s="18"/>
      <c r="GYV4" s="18"/>
      <c r="GYW4" s="18"/>
      <c r="GYX4" s="18"/>
      <c r="GYY4" s="18"/>
      <c r="GYZ4" s="18"/>
      <c r="GZA4" s="18"/>
      <c r="GZB4" s="18"/>
      <c r="GZC4" s="18"/>
      <c r="GZD4" s="18"/>
      <c r="GZE4" s="18"/>
      <c r="GZF4" s="18"/>
      <c r="GZG4" s="18"/>
      <c r="GZH4" s="18"/>
      <c r="GZI4" s="18"/>
      <c r="GZJ4" s="18"/>
      <c r="GZK4" s="18"/>
      <c r="GZL4" s="18"/>
      <c r="GZM4" s="18"/>
      <c r="GZN4" s="18"/>
      <c r="GZO4" s="18"/>
      <c r="GZP4" s="18"/>
      <c r="GZQ4" s="18"/>
      <c r="GZR4" s="18"/>
      <c r="GZS4" s="18"/>
      <c r="GZT4" s="18"/>
      <c r="GZU4" s="18"/>
      <c r="GZV4" s="18"/>
      <c r="GZW4" s="18"/>
      <c r="GZX4" s="18"/>
      <c r="GZY4" s="18"/>
      <c r="GZZ4" s="18"/>
      <c r="HAA4" s="18"/>
      <c r="HAB4" s="18"/>
      <c r="HAC4" s="18"/>
      <c r="HAD4" s="18"/>
      <c r="HAE4" s="18"/>
      <c r="HAF4" s="18"/>
      <c r="HAG4" s="18"/>
      <c r="HAH4" s="18"/>
      <c r="HAI4" s="18"/>
      <c r="HAJ4" s="18"/>
      <c r="HAK4" s="18"/>
      <c r="HAL4" s="18"/>
      <c r="HAM4" s="18"/>
      <c r="HAN4" s="18"/>
      <c r="HAO4" s="18"/>
      <c r="HAP4" s="18"/>
      <c r="HAQ4" s="18"/>
      <c r="HAR4" s="18"/>
      <c r="HAS4" s="18"/>
      <c r="HAT4" s="18"/>
      <c r="HAU4" s="18"/>
      <c r="HAV4" s="18"/>
      <c r="HAW4" s="18"/>
      <c r="HAX4" s="18"/>
      <c r="HAY4" s="18"/>
      <c r="HAZ4" s="18"/>
      <c r="HBA4" s="18"/>
      <c r="HBB4" s="18"/>
      <c r="HBC4" s="18"/>
      <c r="HBD4" s="18"/>
      <c r="HBE4" s="18"/>
      <c r="HBF4" s="18"/>
      <c r="HBG4" s="18"/>
      <c r="HBH4" s="18"/>
      <c r="HBI4" s="18"/>
      <c r="HBJ4" s="18"/>
      <c r="HBK4" s="18"/>
      <c r="HBL4" s="18"/>
      <c r="HBM4" s="18"/>
      <c r="HBN4" s="18"/>
      <c r="HBO4" s="18"/>
      <c r="HBP4" s="18"/>
      <c r="HBQ4" s="18"/>
      <c r="HBR4" s="18"/>
      <c r="HBS4" s="18"/>
      <c r="HBT4" s="18"/>
      <c r="HBU4" s="18"/>
      <c r="HBV4" s="18"/>
      <c r="HBW4" s="18"/>
      <c r="HBX4" s="18"/>
      <c r="HBY4" s="18"/>
      <c r="HBZ4" s="18"/>
      <c r="HCA4" s="18"/>
      <c r="HCB4" s="18"/>
      <c r="HCC4" s="18"/>
      <c r="HCD4" s="18"/>
      <c r="HCE4" s="18"/>
      <c r="HCF4" s="18"/>
      <c r="HCG4" s="18"/>
      <c r="HCH4" s="18"/>
      <c r="HCI4" s="18"/>
      <c r="HCJ4" s="18"/>
      <c r="HCK4" s="18"/>
      <c r="HCL4" s="18"/>
      <c r="HCM4" s="18"/>
      <c r="HCN4" s="18"/>
      <c r="HCO4" s="18"/>
      <c r="HCP4" s="18"/>
      <c r="HCQ4" s="18"/>
      <c r="HCR4" s="18"/>
      <c r="HCS4" s="18"/>
      <c r="HCT4" s="18"/>
      <c r="HCU4" s="18"/>
      <c r="HCV4" s="18"/>
      <c r="HCW4" s="18"/>
      <c r="HCX4" s="18"/>
      <c r="HCY4" s="18"/>
      <c r="HCZ4" s="18"/>
      <c r="HDA4" s="18"/>
      <c r="HDB4" s="18"/>
      <c r="HDC4" s="18"/>
      <c r="HDD4" s="18"/>
      <c r="HDE4" s="18"/>
      <c r="HDF4" s="18"/>
      <c r="HDG4" s="18"/>
      <c r="HDH4" s="18"/>
      <c r="HDI4" s="18"/>
      <c r="HDJ4" s="18"/>
      <c r="HDK4" s="18"/>
      <c r="HDL4" s="18"/>
      <c r="HDM4" s="18"/>
      <c r="HDN4" s="18"/>
      <c r="HDO4" s="18"/>
      <c r="HDP4" s="18"/>
      <c r="HDQ4" s="18"/>
      <c r="HDR4" s="18"/>
      <c r="HDS4" s="18"/>
      <c r="HDT4" s="18"/>
      <c r="HDU4" s="18"/>
      <c r="HDV4" s="18"/>
      <c r="HDW4" s="18"/>
      <c r="HDX4" s="18"/>
      <c r="HDY4" s="18"/>
      <c r="HDZ4" s="18"/>
      <c r="HEA4" s="18"/>
      <c r="HEB4" s="18"/>
      <c r="HEC4" s="18"/>
      <c r="HED4" s="18"/>
      <c r="HEE4" s="18"/>
      <c r="HEF4" s="18"/>
      <c r="HEG4" s="18"/>
      <c r="HEH4" s="18"/>
      <c r="HEI4" s="18"/>
      <c r="HEJ4" s="18"/>
      <c r="HEK4" s="18"/>
      <c r="HEL4" s="18"/>
      <c r="HEM4" s="18"/>
      <c r="HEN4" s="18"/>
      <c r="HEO4" s="18"/>
      <c r="HEP4" s="18"/>
      <c r="HEQ4" s="18"/>
      <c r="HER4" s="18"/>
      <c r="HES4" s="18"/>
      <c r="HET4" s="18"/>
      <c r="HEU4" s="18"/>
      <c r="HEV4" s="18"/>
      <c r="HEW4" s="18"/>
      <c r="HEX4" s="18"/>
      <c r="HEY4" s="18"/>
      <c r="HEZ4" s="18"/>
      <c r="HFA4" s="18"/>
      <c r="HFB4" s="18"/>
      <c r="HFC4" s="18"/>
      <c r="HFD4" s="18"/>
      <c r="HFE4" s="18"/>
      <c r="HFF4" s="18"/>
      <c r="HFG4" s="18"/>
      <c r="HFH4" s="18"/>
      <c r="HFI4" s="18"/>
      <c r="HFJ4" s="18"/>
      <c r="HFK4" s="18"/>
      <c r="HFL4" s="18"/>
      <c r="HFM4" s="18"/>
      <c r="HFN4" s="18"/>
      <c r="HFO4" s="18"/>
      <c r="HFP4" s="18"/>
      <c r="HFQ4" s="18"/>
      <c r="HFR4" s="18"/>
      <c r="HFS4" s="18"/>
      <c r="HFT4" s="18"/>
      <c r="HFU4" s="18"/>
      <c r="HFV4" s="18"/>
      <c r="HFW4" s="18"/>
      <c r="HFX4" s="18"/>
      <c r="HFY4" s="18"/>
      <c r="HFZ4" s="18"/>
      <c r="HGA4" s="18"/>
      <c r="HGB4" s="18"/>
      <c r="HGC4" s="18"/>
      <c r="HGD4" s="18"/>
      <c r="HGE4" s="18"/>
      <c r="HGF4" s="18"/>
      <c r="HGG4" s="18"/>
      <c r="HGH4" s="18"/>
      <c r="HGI4" s="18"/>
      <c r="HGJ4" s="18"/>
      <c r="HGK4" s="18"/>
      <c r="HGL4" s="18"/>
      <c r="HGM4" s="18"/>
      <c r="HGN4" s="18"/>
      <c r="HGO4" s="18"/>
      <c r="HGP4" s="18"/>
      <c r="HGQ4" s="18"/>
      <c r="HGR4" s="18"/>
      <c r="HGS4" s="18"/>
      <c r="HGT4" s="18"/>
      <c r="HGU4" s="18"/>
      <c r="HGV4" s="18"/>
      <c r="HGW4" s="18"/>
      <c r="HGX4" s="18"/>
      <c r="HGY4" s="18"/>
      <c r="HGZ4" s="18"/>
      <c r="HHA4" s="18"/>
      <c r="HHB4" s="18"/>
      <c r="HHC4" s="18"/>
      <c r="HHD4" s="18"/>
      <c r="HHE4" s="18"/>
      <c r="HHF4" s="18"/>
      <c r="HHG4" s="18"/>
      <c r="HHH4" s="18"/>
      <c r="HHI4" s="18"/>
      <c r="HHJ4" s="18"/>
      <c r="HHK4" s="18"/>
      <c r="HHL4" s="18"/>
      <c r="HHM4" s="18"/>
      <c r="HHN4" s="18"/>
      <c r="HHO4" s="18"/>
      <c r="HHP4" s="18"/>
      <c r="HHQ4" s="18"/>
      <c r="HHR4" s="18"/>
      <c r="HHS4" s="18"/>
      <c r="HHT4" s="18"/>
      <c r="HHU4" s="18"/>
      <c r="HHV4" s="18"/>
      <c r="HHW4" s="18"/>
      <c r="HHX4" s="18"/>
      <c r="HHY4" s="18"/>
      <c r="HHZ4" s="18"/>
      <c r="HIA4" s="18"/>
      <c r="HIB4" s="18"/>
      <c r="HIC4" s="18"/>
      <c r="HID4" s="18"/>
      <c r="HIE4" s="18"/>
      <c r="HIF4" s="18"/>
      <c r="HIG4" s="18"/>
      <c r="HIH4" s="18"/>
      <c r="HII4" s="18"/>
      <c r="HIJ4" s="18"/>
      <c r="HIK4" s="18"/>
      <c r="HIL4" s="18"/>
      <c r="HIM4" s="18"/>
      <c r="HIN4" s="18"/>
      <c r="HIO4" s="18"/>
      <c r="HIP4" s="18"/>
      <c r="HIQ4" s="18"/>
      <c r="HIR4" s="18"/>
      <c r="HIS4" s="18"/>
      <c r="HIT4" s="18"/>
      <c r="HIU4" s="18"/>
      <c r="HIV4" s="18"/>
      <c r="HIW4" s="18"/>
      <c r="HIX4" s="18"/>
      <c r="HIY4" s="18"/>
      <c r="HIZ4" s="18"/>
      <c r="HJA4" s="18"/>
      <c r="HJB4" s="18"/>
      <c r="HJC4" s="18"/>
      <c r="HJD4" s="18"/>
      <c r="HJE4" s="18"/>
      <c r="HJF4" s="18"/>
      <c r="HJG4" s="18"/>
      <c r="HJH4" s="18"/>
      <c r="HJI4" s="18"/>
      <c r="HJJ4" s="18"/>
      <c r="HJK4" s="18"/>
      <c r="HJL4" s="18"/>
      <c r="HJM4" s="18"/>
      <c r="HJN4" s="18"/>
      <c r="HJO4" s="18"/>
      <c r="HJP4" s="18"/>
      <c r="HJQ4" s="18"/>
      <c r="HJR4" s="18"/>
      <c r="HJS4" s="18"/>
      <c r="HJT4" s="18"/>
      <c r="HJU4" s="18"/>
      <c r="HJV4" s="18"/>
      <c r="HJW4" s="18"/>
      <c r="HJX4" s="18"/>
      <c r="HJY4" s="18"/>
      <c r="HJZ4" s="18"/>
      <c r="HKA4" s="18"/>
      <c r="HKB4" s="18"/>
      <c r="HKC4" s="18"/>
      <c r="HKD4" s="18"/>
      <c r="HKE4" s="18"/>
      <c r="HKF4" s="18"/>
      <c r="HKG4" s="18"/>
      <c r="HKH4" s="18"/>
      <c r="HKI4" s="18"/>
      <c r="HKJ4" s="18"/>
      <c r="HKK4" s="18"/>
      <c r="HKL4" s="18"/>
      <c r="HKM4" s="18"/>
      <c r="HKN4" s="18"/>
      <c r="HKO4" s="18"/>
      <c r="HKP4" s="18"/>
      <c r="HKQ4" s="18"/>
      <c r="HKR4" s="18"/>
      <c r="HKS4" s="18"/>
      <c r="HKT4" s="18"/>
      <c r="HKU4" s="18"/>
      <c r="HKV4" s="18"/>
      <c r="HKW4" s="18"/>
      <c r="HKX4" s="18"/>
      <c r="HKY4" s="18"/>
      <c r="HKZ4" s="18"/>
      <c r="HLA4" s="18"/>
      <c r="HLB4" s="18"/>
      <c r="HLC4" s="18"/>
      <c r="HLD4" s="18"/>
      <c r="HLE4" s="18"/>
      <c r="HLF4" s="18"/>
      <c r="HLG4" s="18"/>
      <c r="HLH4" s="18"/>
      <c r="HLI4" s="18"/>
      <c r="HLJ4" s="18"/>
      <c r="HLK4" s="18"/>
      <c r="HLL4" s="18"/>
      <c r="HLM4" s="18"/>
      <c r="HLN4" s="18"/>
      <c r="HLO4" s="18"/>
      <c r="HLP4" s="18"/>
      <c r="HLQ4" s="18"/>
      <c r="HLR4" s="18"/>
      <c r="HLS4" s="18"/>
      <c r="HLT4" s="18"/>
      <c r="HLU4" s="18"/>
      <c r="HLV4" s="18"/>
      <c r="HLW4" s="18"/>
      <c r="HLX4" s="18"/>
      <c r="HLY4" s="18"/>
      <c r="HLZ4" s="18"/>
      <c r="HMA4" s="18"/>
      <c r="HMB4" s="18"/>
      <c r="HMC4" s="18"/>
      <c r="HMD4" s="18"/>
      <c r="HME4" s="18"/>
      <c r="HMF4" s="18"/>
      <c r="HMG4" s="18"/>
      <c r="HMH4" s="18"/>
      <c r="HMI4" s="18"/>
      <c r="HMJ4" s="18"/>
      <c r="HMK4" s="18"/>
      <c r="HML4" s="18"/>
      <c r="HMM4" s="18"/>
      <c r="HMN4" s="18"/>
      <c r="HMO4" s="18"/>
      <c r="HMP4" s="18"/>
      <c r="HMQ4" s="18"/>
      <c r="HMR4" s="18"/>
      <c r="HMS4" s="18"/>
      <c r="HMT4" s="18"/>
      <c r="HMU4" s="18"/>
      <c r="HMV4" s="18"/>
      <c r="HMW4" s="18"/>
      <c r="HMX4" s="18"/>
      <c r="HMY4" s="18"/>
      <c r="HMZ4" s="18"/>
      <c r="HNA4" s="18"/>
      <c r="HNB4" s="18"/>
      <c r="HNC4" s="18"/>
      <c r="HND4" s="18"/>
      <c r="HNE4" s="18"/>
      <c r="HNF4" s="18"/>
      <c r="HNG4" s="18"/>
      <c r="HNH4" s="18"/>
      <c r="HNI4" s="18"/>
      <c r="HNJ4" s="18"/>
      <c r="HNK4" s="18"/>
      <c r="HNL4" s="18"/>
      <c r="HNM4" s="18"/>
      <c r="HNN4" s="18"/>
      <c r="HNO4" s="18"/>
      <c r="HNP4" s="18"/>
      <c r="HNQ4" s="18"/>
      <c r="HNR4" s="18"/>
      <c r="HNS4" s="18"/>
      <c r="HNT4" s="18"/>
      <c r="HNU4" s="18"/>
      <c r="HNV4" s="18"/>
      <c r="HNW4" s="18"/>
      <c r="HNX4" s="18"/>
      <c r="HNY4" s="18"/>
      <c r="HNZ4" s="18"/>
      <c r="HOA4" s="18"/>
      <c r="HOB4" s="18"/>
      <c r="HOC4" s="18"/>
      <c r="HOD4" s="18"/>
      <c r="HOE4" s="18"/>
      <c r="HOF4" s="18"/>
      <c r="HOG4" s="18"/>
      <c r="HOH4" s="18"/>
      <c r="HOI4" s="18"/>
      <c r="HOJ4" s="18"/>
      <c r="HOK4" s="18"/>
      <c r="HOL4" s="18"/>
      <c r="HOM4" s="18"/>
      <c r="HON4" s="18"/>
      <c r="HOO4" s="18"/>
      <c r="HOP4" s="18"/>
      <c r="HOQ4" s="18"/>
      <c r="HOR4" s="18"/>
      <c r="HOS4" s="18"/>
      <c r="HOT4" s="18"/>
      <c r="HOU4" s="18"/>
      <c r="HOV4" s="18"/>
      <c r="HOW4" s="18"/>
      <c r="HOX4" s="18"/>
      <c r="HOY4" s="18"/>
      <c r="HOZ4" s="18"/>
      <c r="HPA4" s="18"/>
      <c r="HPB4" s="18"/>
      <c r="HPC4" s="18"/>
      <c r="HPD4" s="18"/>
      <c r="HPE4" s="18"/>
      <c r="HPF4" s="18"/>
      <c r="HPG4" s="18"/>
      <c r="HPH4" s="18"/>
      <c r="HPI4" s="18"/>
      <c r="HPJ4" s="18"/>
      <c r="HPK4" s="18"/>
      <c r="HPL4" s="18"/>
      <c r="HPM4" s="18"/>
      <c r="HPN4" s="18"/>
      <c r="HPO4" s="18"/>
      <c r="HPP4" s="18"/>
      <c r="HPQ4" s="18"/>
      <c r="HPR4" s="18"/>
      <c r="HPS4" s="18"/>
      <c r="HPT4" s="18"/>
      <c r="HPU4" s="18"/>
      <c r="HPV4" s="18"/>
      <c r="HPW4" s="18"/>
      <c r="HPX4" s="18"/>
      <c r="HPY4" s="18"/>
      <c r="HPZ4" s="18"/>
      <c r="HQA4" s="18"/>
      <c r="HQB4" s="18"/>
      <c r="HQC4" s="18"/>
      <c r="HQD4" s="18"/>
      <c r="HQE4" s="18"/>
      <c r="HQF4" s="18"/>
      <c r="HQG4" s="18"/>
      <c r="HQH4" s="18"/>
      <c r="HQI4" s="18"/>
      <c r="HQJ4" s="18"/>
      <c r="HQK4" s="18"/>
      <c r="HQL4" s="18"/>
      <c r="HQM4" s="18"/>
      <c r="HQN4" s="18"/>
      <c r="HQO4" s="18"/>
      <c r="HQP4" s="18"/>
      <c r="HQQ4" s="18"/>
      <c r="HQR4" s="18"/>
      <c r="HQS4" s="18"/>
      <c r="HQT4" s="18"/>
      <c r="HQU4" s="18"/>
      <c r="HQV4" s="18"/>
      <c r="HQW4" s="18"/>
      <c r="HQX4" s="18"/>
      <c r="HQY4" s="18"/>
      <c r="HQZ4" s="18"/>
      <c r="HRA4" s="18"/>
      <c r="HRB4" s="18"/>
      <c r="HRC4" s="18"/>
      <c r="HRD4" s="18"/>
      <c r="HRE4" s="18"/>
      <c r="HRF4" s="18"/>
      <c r="HRG4" s="18"/>
      <c r="HRH4" s="18"/>
      <c r="HRI4" s="18"/>
      <c r="HRJ4" s="18"/>
      <c r="HRK4" s="18"/>
      <c r="HRL4" s="18"/>
      <c r="HRM4" s="18"/>
      <c r="HRN4" s="18"/>
      <c r="HRO4" s="18"/>
      <c r="HRP4" s="18"/>
      <c r="HRQ4" s="18"/>
      <c r="HRR4" s="18"/>
      <c r="HRS4" s="18"/>
      <c r="HRT4" s="18"/>
      <c r="HRU4" s="18"/>
      <c r="HRV4" s="18"/>
      <c r="HRW4" s="18"/>
      <c r="HRX4" s="18"/>
      <c r="HRY4" s="18"/>
      <c r="HRZ4" s="18"/>
      <c r="HSA4" s="18"/>
      <c r="HSB4" s="18"/>
      <c r="HSC4" s="18"/>
      <c r="HSD4" s="18"/>
      <c r="HSE4" s="18"/>
      <c r="HSF4" s="18"/>
      <c r="HSG4" s="18"/>
      <c r="HSH4" s="18"/>
      <c r="HSI4" s="18"/>
      <c r="HSJ4" s="18"/>
      <c r="HSK4" s="18"/>
      <c r="HSL4" s="18"/>
      <c r="HSM4" s="18"/>
      <c r="HSN4" s="18"/>
      <c r="HSO4" s="18"/>
      <c r="HSP4" s="18"/>
      <c r="HSQ4" s="18"/>
      <c r="HSR4" s="18"/>
      <c r="HSS4" s="18"/>
      <c r="HST4" s="18"/>
      <c r="HSU4" s="18"/>
      <c r="HSV4" s="18"/>
      <c r="HSW4" s="18"/>
      <c r="HSX4" s="18"/>
      <c r="HSY4" s="18"/>
      <c r="HSZ4" s="18"/>
      <c r="HTA4" s="18"/>
      <c r="HTB4" s="18"/>
      <c r="HTC4" s="18"/>
      <c r="HTD4" s="18"/>
      <c r="HTE4" s="18"/>
      <c r="HTF4" s="18"/>
      <c r="HTG4" s="18"/>
      <c r="HTH4" s="18"/>
      <c r="HTI4" s="18"/>
      <c r="HTJ4" s="18"/>
      <c r="HTK4" s="18"/>
      <c r="HTL4" s="18"/>
      <c r="HTM4" s="18"/>
      <c r="HTN4" s="18"/>
      <c r="HTO4" s="18"/>
      <c r="HTP4" s="18"/>
      <c r="HTQ4" s="18"/>
      <c r="HTR4" s="18"/>
      <c r="HTS4" s="18"/>
      <c r="HTT4" s="18"/>
      <c r="HTU4" s="18"/>
      <c r="HTV4" s="18"/>
      <c r="HTW4" s="18"/>
      <c r="HTX4" s="18"/>
      <c r="HTY4" s="18"/>
      <c r="HTZ4" s="18"/>
      <c r="HUA4" s="18"/>
      <c r="HUB4" s="18"/>
      <c r="HUC4" s="18"/>
      <c r="HUD4" s="18"/>
      <c r="HUE4" s="18"/>
      <c r="HUF4" s="18"/>
      <c r="HUG4" s="18"/>
      <c r="HUH4" s="18"/>
      <c r="HUI4" s="18"/>
      <c r="HUJ4" s="18"/>
      <c r="HUK4" s="18"/>
      <c r="HUL4" s="18"/>
      <c r="HUM4" s="18"/>
      <c r="HUN4" s="18"/>
      <c r="HUO4" s="18"/>
      <c r="HUP4" s="18"/>
      <c r="HUQ4" s="18"/>
      <c r="HUR4" s="18"/>
      <c r="HUS4" s="18"/>
      <c r="HUT4" s="18"/>
      <c r="HUU4" s="18"/>
      <c r="HUV4" s="18"/>
      <c r="HUW4" s="18"/>
      <c r="HUX4" s="18"/>
      <c r="HUY4" s="18"/>
      <c r="HUZ4" s="18"/>
      <c r="HVA4" s="18"/>
      <c r="HVB4" s="18"/>
      <c r="HVC4" s="18"/>
      <c r="HVD4" s="18"/>
      <c r="HVE4" s="18"/>
      <c r="HVF4" s="18"/>
      <c r="HVG4" s="18"/>
      <c r="HVH4" s="18"/>
      <c r="HVI4" s="18"/>
      <c r="HVJ4" s="18"/>
      <c r="HVK4" s="18"/>
      <c r="HVL4" s="18"/>
      <c r="HVM4" s="18"/>
      <c r="HVN4" s="18"/>
      <c r="HVO4" s="18"/>
      <c r="HVP4" s="18"/>
      <c r="HVQ4" s="18"/>
      <c r="HVR4" s="18"/>
      <c r="HVS4" s="18"/>
      <c r="HVT4" s="18"/>
      <c r="HVU4" s="18"/>
      <c r="HVV4" s="18"/>
      <c r="HVW4" s="18"/>
      <c r="HVX4" s="18"/>
      <c r="HVY4" s="18"/>
      <c r="HVZ4" s="18"/>
      <c r="HWA4" s="18"/>
      <c r="HWB4" s="18"/>
      <c r="HWC4" s="18"/>
      <c r="HWD4" s="18"/>
      <c r="HWE4" s="18"/>
      <c r="HWF4" s="18"/>
      <c r="HWG4" s="18"/>
      <c r="HWH4" s="18"/>
      <c r="HWI4" s="18"/>
      <c r="HWJ4" s="18"/>
      <c r="HWK4" s="18"/>
      <c r="HWL4" s="18"/>
      <c r="HWM4" s="18"/>
      <c r="HWN4" s="18"/>
      <c r="HWO4" s="18"/>
      <c r="HWP4" s="18"/>
      <c r="HWQ4" s="18"/>
      <c r="HWR4" s="18"/>
      <c r="HWS4" s="18"/>
      <c r="HWT4" s="18"/>
      <c r="HWU4" s="18"/>
      <c r="HWV4" s="18"/>
      <c r="HWW4" s="18"/>
      <c r="HWX4" s="18"/>
      <c r="HWY4" s="18"/>
      <c r="HWZ4" s="18"/>
      <c r="HXA4" s="18"/>
      <c r="HXB4" s="18"/>
      <c r="HXC4" s="18"/>
      <c r="HXD4" s="18"/>
      <c r="HXE4" s="18"/>
      <c r="HXF4" s="18"/>
      <c r="HXG4" s="18"/>
      <c r="HXH4" s="18"/>
      <c r="HXI4" s="18"/>
      <c r="HXJ4" s="18"/>
      <c r="HXK4" s="18"/>
      <c r="HXL4" s="18"/>
      <c r="HXM4" s="18"/>
      <c r="HXN4" s="18"/>
      <c r="HXO4" s="18"/>
      <c r="HXP4" s="18"/>
      <c r="HXQ4" s="18"/>
      <c r="HXR4" s="18"/>
      <c r="HXS4" s="18"/>
      <c r="HXT4" s="18"/>
      <c r="HXU4" s="18"/>
      <c r="HXV4" s="18"/>
      <c r="HXW4" s="18"/>
      <c r="HXX4" s="18"/>
      <c r="HXY4" s="18"/>
      <c r="HXZ4" s="18"/>
      <c r="HYA4" s="18"/>
      <c r="HYB4" s="18"/>
      <c r="HYC4" s="18"/>
      <c r="HYD4" s="18"/>
      <c r="HYE4" s="18"/>
      <c r="HYF4" s="18"/>
      <c r="HYG4" s="18"/>
      <c r="HYH4" s="18"/>
      <c r="HYI4" s="18"/>
      <c r="HYJ4" s="18"/>
      <c r="HYK4" s="18"/>
      <c r="HYL4" s="18"/>
      <c r="HYM4" s="18"/>
      <c r="HYN4" s="18"/>
      <c r="HYO4" s="18"/>
      <c r="HYP4" s="18"/>
      <c r="HYQ4" s="18"/>
      <c r="HYR4" s="18"/>
      <c r="HYS4" s="18"/>
      <c r="HYT4" s="18"/>
      <c r="HYU4" s="18"/>
      <c r="HYV4" s="18"/>
      <c r="HYW4" s="18"/>
      <c r="HYX4" s="18"/>
      <c r="HYY4" s="18"/>
      <c r="HYZ4" s="18"/>
      <c r="HZA4" s="18"/>
      <c r="HZB4" s="18"/>
      <c r="HZC4" s="18"/>
      <c r="HZD4" s="18"/>
      <c r="HZE4" s="18"/>
      <c r="HZF4" s="18"/>
      <c r="HZG4" s="18"/>
      <c r="HZH4" s="18"/>
      <c r="HZI4" s="18"/>
      <c r="HZJ4" s="18"/>
      <c r="HZK4" s="18"/>
      <c r="HZL4" s="18"/>
      <c r="HZM4" s="18"/>
      <c r="HZN4" s="18"/>
      <c r="HZO4" s="18"/>
      <c r="HZP4" s="18"/>
      <c r="HZQ4" s="18"/>
      <c r="HZR4" s="18"/>
      <c r="HZS4" s="18"/>
      <c r="HZT4" s="18"/>
      <c r="HZU4" s="18"/>
      <c r="HZV4" s="18"/>
      <c r="HZW4" s="18"/>
      <c r="HZX4" s="18"/>
      <c r="HZY4" s="18"/>
      <c r="HZZ4" s="18"/>
      <c r="IAA4" s="18"/>
      <c r="IAB4" s="18"/>
      <c r="IAC4" s="18"/>
      <c r="IAD4" s="18"/>
      <c r="IAE4" s="18"/>
      <c r="IAF4" s="18"/>
      <c r="IAG4" s="18"/>
      <c r="IAH4" s="18"/>
      <c r="IAI4" s="18"/>
      <c r="IAJ4" s="18"/>
      <c r="IAK4" s="18"/>
      <c r="IAL4" s="18"/>
      <c r="IAM4" s="18"/>
      <c r="IAN4" s="18"/>
      <c r="IAO4" s="18"/>
      <c r="IAP4" s="18"/>
      <c r="IAQ4" s="18"/>
      <c r="IAR4" s="18"/>
      <c r="IAS4" s="18"/>
      <c r="IAT4" s="18"/>
      <c r="IAU4" s="18"/>
      <c r="IAV4" s="18"/>
      <c r="IAW4" s="18"/>
      <c r="IAX4" s="18"/>
      <c r="IAY4" s="18"/>
      <c r="IAZ4" s="18"/>
      <c r="IBA4" s="18"/>
      <c r="IBB4" s="18"/>
      <c r="IBC4" s="18"/>
      <c r="IBD4" s="18"/>
      <c r="IBE4" s="18"/>
      <c r="IBF4" s="18"/>
      <c r="IBG4" s="18"/>
      <c r="IBH4" s="18"/>
      <c r="IBI4" s="18"/>
      <c r="IBJ4" s="18"/>
      <c r="IBK4" s="18"/>
      <c r="IBL4" s="18"/>
      <c r="IBM4" s="18"/>
      <c r="IBN4" s="18"/>
      <c r="IBO4" s="18"/>
      <c r="IBP4" s="18"/>
      <c r="IBQ4" s="18"/>
      <c r="IBR4" s="18"/>
      <c r="IBS4" s="18"/>
      <c r="IBT4" s="18"/>
      <c r="IBU4" s="18"/>
      <c r="IBV4" s="18"/>
      <c r="IBW4" s="18"/>
      <c r="IBX4" s="18"/>
      <c r="IBY4" s="18"/>
      <c r="IBZ4" s="18"/>
      <c r="ICA4" s="18"/>
      <c r="ICB4" s="18"/>
      <c r="ICC4" s="18"/>
      <c r="ICD4" s="18"/>
      <c r="ICE4" s="18"/>
      <c r="ICF4" s="18"/>
      <c r="ICG4" s="18"/>
      <c r="ICH4" s="18"/>
      <c r="ICI4" s="18"/>
      <c r="ICJ4" s="18"/>
      <c r="ICK4" s="18"/>
      <c r="ICL4" s="18"/>
      <c r="ICM4" s="18"/>
      <c r="ICN4" s="18"/>
      <c r="ICO4" s="18"/>
      <c r="ICP4" s="18"/>
      <c r="ICQ4" s="18"/>
      <c r="ICR4" s="18"/>
      <c r="ICS4" s="18"/>
      <c r="ICT4" s="18"/>
      <c r="ICU4" s="18"/>
      <c r="ICV4" s="18"/>
      <c r="ICW4" s="18"/>
      <c r="ICX4" s="18"/>
      <c r="ICY4" s="18"/>
      <c r="ICZ4" s="18"/>
      <c r="IDA4" s="18"/>
      <c r="IDB4" s="18"/>
      <c r="IDC4" s="18"/>
      <c r="IDD4" s="18"/>
      <c r="IDE4" s="18"/>
      <c r="IDF4" s="18"/>
      <c r="IDG4" s="18"/>
      <c r="IDH4" s="18"/>
      <c r="IDI4" s="18"/>
      <c r="IDJ4" s="18"/>
      <c r="IDK4" s="18"/>
      <c r="IDL4" s="18"/>
      <c r="IDM4" s="18"/>
      <c r="IDN4" s="18"/>
      <c r="IDO4" s="18"/>
      <c r="IDP4" s="18"/>
      <c r="IDQ4" s="18"/>
      <c r="IDR4" s="18"/>
      <c r="IDS4" s="18"/>
      <c r="IDT4" s="18"/>
      <c r="IDU4" s="18"/>
      <c r="IDV4" s="18"/>
      <c r="IDW4" s="18"/>
      <c r="IDX4" s="18"/>
      <c r="IDY4" s="18"/>
      <c r="IDZ4" s="18"/>
      <c r="IEA4" s="18"/>
      <c r="IEB4" s="18"/>
      <c r="IEC4" s="18"/>
      <c r="IED4" s="18"/>
      <c r="IEE4" s="18"/>
      <c r="IEF4" s="18"/>
      <c r="IEG4" s="18"/>
      <c r="IEH4" s="18"/>
      <c r="IEI4" s="18"/>
      <c r="IEJ4" s="18"/>
      <c r="IEK4" s="18"/>
      <c r="IEL4" s="18"/>
      <c r="IEM4" s="18"/>
      <c r="IEN4" s="18"/>
      <c r="IEO4" s="18"/>
      <c r="IEP4" s="18"/>
      <c r="IEQ4" s="18"/>
      <c r="IER4" s="18"/>
      <c r="IES4" s="18"/>
      <c r="IET4" s="18"/>
      <c r="IEU4" s="18"/>
      <c r="IEV4" s="18"/>
      <c r="IEW4" s="18"/>
      <c r="IEX4" s="18"/>
      <c r="IEY4" s="18"/>
      <c r="IEZ4" s="18"/>
      <c r="IFA4" s="18"/>
      <c r="IFB4" s="18"/>
      <c r="IFC4" s="18"/>
      <c r="IFD4" s="18"/>
      <c r="IFE4" s="18"/>
      <c r="IFF4" s="18"/>
      <c r="IFG4" s="18"/>
      <c r="IFH4" s="18"/>
      <c r="IFI4" s="18"/>
      <c r="IFJ4" s="18"/>
      <c r="IFK4" s="18"/>
      <c r="IFL4" s="18"/>
      <c r="IFM4" s="18"/>
      <c r="IFN4" s="18"/>
      <c r="IFO4" s="18"/>
      <c r="IFP4" s="18"/>
      <c r="IFQ4" s="18"/>
      <c r="IFR4" s="18"/>
      <c r="IFS4" s="18"/>
      <c r="IFT4" s="18"/>
      <c r="IFU4" s="18"/>
      <c r="IFV4" s="18"/>
      <c r="IFW4" s="18"/>
      <c r="IFX4" s="18"/>
      <c r="IFY4" s="18"/>
      <c r="IFZ4" s="18"/>
      <c r="IGA4" s="18"/>
      <c r="IGB4" s="18"/>
      <c r="IGC4" s="18"/>
      <c r="IGD4" s="18"/>
      <c r="IGE4" s="18"/>
      <c r="IGF4" s="18"/>
      <c r="IGG4" s="18"/>
      <c r="IGH4" s="18"/>
      <c r="IGI4" s="18"/>
      <c r="IGJ4" s="18"/>
      <c r="IGK4" s="18"/>
      <c r="IGL4" s="18"/>
      <c r="IGM4" s="18"/>
      <c r="IGN4" s="18"/>
      <c r="IGO4" s="18"/>
      <c r="IGP4" s="18"/>
      <c r="IGQ4" s="18"/>
      <c r="IGR4" s="18"/>
      <c r="IGS4" s="18"/>
      <c r="IGT4" s="18"/>
      <c r="IGU4" s="18"/>
      <c r="IGV4" s="18"/>
      <c r="IGW4" s="18"/>
      <c r="IGX4" s="18"/>
      <c r="IGY4" s="18"/>
      <c r="IGZ4" s="18"/>
      <c r="IHA4" s="18"/>
      <c r="IHB4" s="18"/>
      <c r="IHC4" s="18"/>
      <c r="IHD4" s="18"/>
      <c r="IHE4" s="18"/>
      <c r="IHF4" s="18"/>
      <c r="IHG4" s="18"/>
      <c r="IHH4" s="18"/>
      <c r="IHI4" s="18"/>
      <c r="IHJ4" s="18"/>
      <c r="IHK4" s="18"/>
      <c r="IHL4" s="18"/>
      <c r="IHM4" s="18"/>
      <c r="IHN4" s="18"/>
      <c r="IHO4" s="18"/>
      <c r="IHP4" s="18"/>
      <c r="IHQ4" s="18"/>
      <c r="IHR4" s="18"/>
      <c r="IHS4" s="18"/>
      <c r="IHT4" s="18"/>
      <c r="IHU4" s="18"/>
      <c r="IHV4" s="18"/>
      <c r="IHW4" s="18"/>
      <c r="IHX4" s="18"/>
      <c r="IHY4" s="18"/>
      <c r="IHZ4" s="18"/>
      <c r="IIA4" s="18"/>
      <c r="IIB4" s="18"/>
      <c r="IIC4" s="18"/>
      <c r="IID4" s="18"/>
      <c r="IIE4" s="18"/>
      <c r="IIF4" s="18"/>
      <c r="IIG4" s="18"/>
      <c r="IIH4" s="18"/>
      <c r="III4" s="18"/>
      <c r="IIJ4" s="18"/>
      <c r="IIK4" s="18"/>
      <c r="IIL4" s="18"/>
      <c r="IIM4" s="18"/>
      <c r="IIN4" s="18"/>
      <c r="IIO4" s="18"/>
      <c r="IIP4" s="18"/>
      <c r="IIQ4" s="18"/>
      <c r="IIR4" s="18"/>
      <c r="IIS4" s="18"/>
      <c r="IIT4" s="18"/>
      <c r="IIU4" s="18"/>
      <c r="IIV4" s="18"/>
      <c r="IIW4" s="18"/>
      <c r="IIX4" s="18"/>
      <c r="IIY4" s="18"/>
      <c r="IIZ4" s="18"/>
      <c r="IJA4" s="18"/>
      <c r="IJB4" s="18"/>
      <c r="IJC4" s="18"/>
      <c r="IJD4" s="18"/>
      <c r="IJE4" s="18"/>
      <c r="IJF4" s="18"/>
      <c r="IJG4" s="18"/>
      <c r="IJH4" s="18"/>
      <c r="IJI4" s="18"/>
      <c r="IJJ4" s="18"/>
      <c r="IJK4" s="18"/>
      <c r="IJL4" s="18"/>
      <c r="IJM4" s="18"/>
      <c r="IJN4" s="18"/>
      <c r="IJO4" s="18"/>
      <c r="IJP4" s="18"/>
      <c r="IJQ4" s="18"/>
      <c r="IJR4" s="18"/>
      <c r="IJS4" s="18"/>
      <c r="IJT4" s="18"/>
      <c r="IJU4" s="18"/>
      <c r="IJV4" s="18"/>
      <c r="IJW4" s="18"/>
      <c r="IJX4" s="18"/>
      <c r="IJY4" s="18"/>
      <c r="IJZ4" s="18"/>
      <c r="IKA4" s="18"/>
      <c r="IKB4" s="18"/>
      <c r="IKC4" s="18"/>
      <c r="IKD4" s="18"/>
      <c r="IKE4" s="18"/>
      <c r="IKF4" s="18"/>
      <c r="IKG4" s="18"/>
      <c r="IKH4" s="18"/>
      <c r="IKI4" s="18"/>
      <c r="IKJ4" s="18"/>
      <c r="IKK4" s="18"/>
      <c r="IKL4" s="18"/>
      <c r="IKM4" s="18"/>
      <c r="IKN4" s="18"/>
      <c r="IKO4" s="18"/>
      <c r="IKP4" s="18"/>
      <c r="IKQ4" s="18"/>
      <c r="IKR4" s="18"/>
      <c r="IKS4" s="18"/>
      <c r="IKT4" s="18"/>
      <c r="IKU4" s="18"/>
      <c r="IKV4" s="18"/>
      <c r="IKW4" s="18"/>
      <c r="IKX4" s="18"/>
      <c r="IKY4" s="18"/>
      <c r="IKZ4" s="18"/>
      <c r="ILA4" s="18"/>
      <c r="ILB4" s="18"/>
      <c r="ILC4" s="18"/>
      <c r="ILD4" s="18"/>
      <c r="ILE4" s="18"/>
      <c r="ILF4" s="18"/>
      <c r="ILG4" s="18"/>
      <c r="ILH4" s="18"/>
      <c r="ILI4" s="18"/>
      <c r="ILJ4" s="18"/>
      <c r="ILK4" s="18"/>
      <c r="ILL4" s="18"/>
      <c r="ILM4" s="18"/>
      <c r="ILN4" s="18"/>
      <c r="ILO4" s="18"/>
      <c r="ILP4" s="18"/>
      <c r="ILQ4" s="18"/>
      <c r="ILR4" s="18"/>
      <c r="ILS4" s="18"/>
      <c r="ILT4" s="18"/>
      <c r="ILU4" s="18"/>
      <c r="ILV4" s="18"/>
      <c r="ILW4" s="18"/>
      <c r="ILX4" s="18"/>
      <c r="ILY4" s="18"/>
      <c r="ILZ4" s="18"/>
      <c r="IMA4" s="18"/>
      <c r="IMB4" s="18"/>
      <c r="IMC4" s="18"/>
      <c r="IMD4" s="18"/>
      <c r="IME4" s="18"/>
      <c r="IMF4" s="18"/>
      <c r="IMG4" s="18"/>
      <c r="IMH4" s="18"/>
      <c r="IMI4" s="18"/>
      <c r="IMJ4" s="18"/>
      <c r="IMK4" s="18"/>
      <c r="IML4" s="18"/>
      <c r="IMM4" s="18"/>
      <c r="IMN4" s="18"/>
      <c r="IMO4" s="18"/>
      <c r="IMP4" s="18"/>
      <c r="IMQ4" s="18"/>
      <c r="IMR4" s="18"/>
      <c r="IMS4" s="18"/>
      <c r="IMT4" s="18"/>
      <c r="IMU4" s="18"/>
      <c r="IMV4" s="18"/>
      <c r="IMW4" s="18"/>
      <c r="IMX4" s="18"/>
      <c r="IMY4" s="18"/>
      <c r="IMZ4" s="18"/>
      <c r="INA4" s="18"/>
      <c r="INB4" s="18"/>
      <c r="INC4" s="18"/>
      <c r="IND4" s="18"/>
      <c r="INE4" s="18"/>
      <c r="INF4" s="18"/>
      <c r="ING4" s="18"/>
      <c r="INH4" s="18"/>
      <c r="INI4" s="18"/>
      <c r="INJ4" s="18"/>
      <c r="INK4" s="18"/>
      <c r="INL4" s="18"/>
      <c r="INM4" s="18"/>
      <c r="INN4" s="18"/>
      <c r="INO4" s="18"/>
      <c r="INP4" s="18"/>
      <c r="INQ4" s="18"/>
      <c r="INR4" s="18"/>
      <c r="INS4" s="18"/>
      <c r="INT4" s="18"/>
      <c r="INU4" s="18"/>
      <c r="INV4" s="18"/>
      <c r="INW4" s="18"/>
      <c r="INX4" s="18"/>
      <c r="INY4" s="18"/>
      <c r="INZ4" s="18"/>
      <c r="IOA4" s="18"/>
      <c r="IOB4" s="18"/>
      <c r="IOC4" s="18"/>
      <c r="IOD4" s="18"/>
      <c r="IOE4" s="18"/>
      <c r="IOF4" s="18"/>
      <c r="IOG4" s="18"/>
      <c r="IOH4" s="18"/>
      <c r="IOI4" s="18"/>
      <c r="IOJ4" s="18"/>
      <c r="IOK4" s="18"/>
      <c r="IOL4" s="18"/>
      <c r="IOM4" s="18"/>
      <c r="ION4" s="18"/>
      <c r="IOO4" s="18"/>
      <c r="IOP4" s="18"/>
      <c r="IOQ4" s="18"/>
      <c r="IOR4" s="18"/>
      <c r="IOS4" s="18"/>
      <c r="IOT4" s="18"/>
      <c r="IOU4" s="18"/>
      <c r="IOV4" s="18"/>
      <c r="IOW4" s="18"/>
      <c r="IOX4" s="18"/>
      <c r="IOY4" s="18"/>
      <c r="IOZ4" s="18"/>
      <c r="IPA4" s="18"/>
      <c r="IPB4" s="18"/>
      <c r="IPC4" s="18"/>
      <c r="IPD4" s="18"/>
      <c r="IPE4" s="18"/>
      <c r="IPF4" s="18"/>
      <c r="IPG4" s="18"/>
      <c r="IPH4" s="18"/>
      <c r="IPI4" s="18"/>
      <c r="IPJ4" s="18"/>
      <c r="IPK4" s="18"/>
      <c r="IPL4" s="18"/>
      <c r="IPM4" s="18"/>
      <c r="IPN4" s="18"/>
      <c r="IPO4" s="18"/>
      <c r="IPP4" s="18"/>
      <c r="IPQ4" s="18"/>
      <c r="IPR4" s="18"/>
      <c r="IPS4" s="18"/>
      <c r="IPT4" s="18"/>
      <c r="IPU4" s="18"/>
      <c r="IPV4" s="18"/>
      <c r="IPW4" s="18"/>
      <c r="IPX4" s="18"/>
      <c r="IPY4" s="18"/>
      <c r="IPZ4" s="18"/>
      <c r="IQA4" s="18"/>
      <c r="IQB4" s="18"/>
      <c r="IQC4" s="18"/>
      <c r="IQD4" s="18"/>
      <c r="IQE4" s="18"/>
      <c r="IQF4" s="18"/>
      <c r="IQG4" s="18"/>
      <c r="IQH4" s="18"/>
      <c r="IQI4" s="18"/>
      <c r="IQJ4" s="18"/>
      <c r="IQK4" s="18"/>
      <c r="IQL4" s="18"/>
      <c r="IQM4" s="18"/>
      <c r="IQN4" s="18"/>
      <c r="IQO4" s="18"/>
      <c r="IQP4" s="18"/>
      <c r="IQQ4" s="18"/>
      <c r="IQR4" s="18"/>
      <c r="IQS4" s="18"/>
      <c r="IQT4" s="18"/>
      <c r="IQU4" s="18"/>
      <c r="IQV4" s="18"/>
      <c r="IQW4" s="18"/>
      <c r="IQX4" s="18"/>
      <c r="IQY4" s="18"/>
      <c r="IQZ4" s="18"/>
      <c r="IRA4" s="18"/>
      <c r="IRB4" s="18"/>
      <c r="IRC4" s="18"/>
      <c r="IRD4" s="18"/>
      <c r="IRE4" s="18"/>
      <c r="IRF4" s="18"/>
      <c r="IRG4" s="18"/>
      <c r="IRH4" s="18"/>
      <c r="IRI4" s="18"/>
      <c r="IRJ4" s="18"/>
      <c r="IRK4" s="18"/>
      <c r="IRL4" s="18"/>
      <c r="IRM4" s="18"/>
      <c r="IRN4" s="18"/>
      <c r="IRO4" s="18"/>
      <c r="IRP4" s="18"/>
      <c r="IRQ4" s="18"/>
      <c r="IRR4" s="18"/>
      <c r="IRS4" s="18"/>
      <c r="IRT4" s="18"/>
      <c r="IRU4" s="18"/>
      <c r="IRV4" s="18"/>
      <c r="IRW4" s="18"/>
      <c r="IRX4" s="18"/>
      <c r="IRY4" s="18"/>
      <c r="IRZ4" s="18"/>
      <c r="ISA4" s="18"/>
      <c r="ISB4" s="18"/>
      <c r="ISC4" s="18"/>
      <c r="ISD4" s="18"/>
      <c r="ISE4" s="18"/>
      <c r="ISF4" s="18"/>
      <c r="ISG4" s="18"/>
      <c r="ISH4" s="18"/>
      <c r="ISI4" s="18"/>
      <c r="ISJ4" s="18"/>
      <c r="ISK4" s="18"/>
      <c r="ISL4" s="18"/>
      <c r="ISM4" s="18"/>
      <c r="ISN4" s="18"/>
      <c r="ISO4" s="18"/>
      <c r="ISP4" s="18"/>
      <c r="ISQ4" s="18"/>
      <c r="ISR4" s="18"/>
      <c r="ISS4" s="18"/>
      <c r="IST4" s="18"/>
      <c r="ISU4" s="18"/>
      <c r="ISV4" s="18"/>
      <c r="ISW4" s="18"/>
      <c r="ISX4" s="18"/>
      <c r="ISY4" s="18"/>
      <c r="ISZ4" s="18"/>
      <c r="ITA4" s="18"/>
      <c r="ITB4" s="18"/>
      <c r="ITC4" s="18"/>
      <c r="ITD4" s="18"/>
      <c r="ITE4" s="18"/>
      <c r="ITF4" s="18"/>
      <c r="ITG4" s="18"/>
      <c r="ITH4" s="18"/>
      <c r="ITI4" s="18"/>
      <c r="ITJ4" s="18"/>
      <c r="ITK4" s="18"/>
      <c r="ITL4" s="18"/>
      <c r="ITM4" s="18"/>
      <c r="ITN4" s="18"/>
      <c r="ITO4" s="18"/>
      <c r="ITP4" s="18"/>
      <c r="ITQ4" s="18"/>
      <c r="ITR4" s="18"/>
      <c r="ITS4" s="18"/>
      <c r="ITT4" s="18"/>
      <c r="ITU4" s="18"/>
      <c r="ITV4" s="18"/>
      <c r="ITW4" s="18"/>
      <c r="ITX4" s="18"/>
      <c r="ITY4" s="18"/>
      <c r="ITZ4" s="18"/>
      <c r="IUA4" s="18"/>
      <c r="IUB4" s="18"/>
      <c r="IUC4" s="18"/>
      <c r="IUD4" s="18"/>
      <c r="IUE4" s="18"/>
      <c r="IUF4" s="18"/>
      <c r="IUG4" s="18"/>
      <c r="IUH4" s="18"/>
      <c r="IUI4" s="18"/>
      <c r="IUJ4" s="18"/>
      <c r="IUK4" s="18"/>
      <c r="IUL4" s="18"/>
      <c r="IUM4" s="18"/>
      <c r="IUN4" s="18"/>
      <c r="IUO4" s="18"/>
      <c r="IUP4" s="18"/>
      <c r="IUQ4" s="18"/>
      <c r="IUR4" s="18"/>
      <c r="IUS4" s="18"/>
      <c r="IUT4" s="18"/>
      <c r="IUU4" s="18"/>
      <c r="IUV4" s="18"/>
      <c r="IUW4" s="18"/>
      <c r="IUX4" s="18"/>
      <c r="IUY4" s="18"/>
      <c r="IUZ4" s="18"/>
      <c r="IVA4" s="18"/>
      <c r="IVB4" s="18"/>
      <c r="IVC4" s="18"/>
      <c r="IVD4" s="18"/>
      <c r="IVE4" s="18"/>
      <c r="IVF4" s="18"/>
      <c r="IVG4" s="18"/>
      <c r="IVH4" s="18"/>
      <c r="IVI4" s="18"/>
      <c r="IVJ4" s="18"/>
      <c r="IVK4" s="18"/>
      <c r="IVL4" s="18"/>
      <c r="IVM4" s="18"/>
      <c r="IVN4" s="18"/>
      <c r="IVO4" s="18"/>
      <c r="IVP4" s="18"/>
      <c r="IVQ4" s="18"/>
      <c r="IVR4" s="18"/>
      <c r="IVS4" s="18"/>
      <c r="IVT4" s="18"/>
      <c r="IVU4" s="18"/>
      <c r="IVV4" s="18"/>
      <c r="IVW4" s="18"/>
      <c r="IVX4" s="18"/>
      <c r="IVY4" s="18"/>
      <c r="IVZ4" s="18"/>
      <c r="IWA4" s="18"/>
      <c r="IWB4" s="18"/>
      <c r="IWC4" s="18"/>
      <c r="IWD4" s="18"/>
      <c r="IWE4" s="18"/>
      <c r="IWF4" s="18"/>
      <c r="IWG4" s="18"/>
      <c r="IWH4" s="18"/>
      <c r="IWI4" s="18"/>
      <c r="IWJ4" s="18"/>
      <c r="IWK4" s="18"/>
      <c r="IWL4" s="18"/>
      <c r="IWM4" s="18"/>
      <c r="IWN4" s="18"/>
      <c r="IWO4" s="18"/>
      <c r="IWP4" s="18"/>
      <c r="IWQ4" s="18"/>
      <c r="IWR4" s="18"/>
      <c r="IWS4" s="18"/>
      <c r="IWT4" s="18"/>
      <c r="IWU4" s="18"/>
      <c r="IWV4" s="18"/>
      <c r="IWW4" s="18"/>
      <c r="IWX4" s="18"/>
      <c r="IWY4" s="18"/>
      <c r="IWZ4" s="18"/>
      <c r="IXA4" s="18"/>
      <c r="IXB4" s="18"/>
      <c r="IXC4" s="18"/>
      <c r="IXD4" s="18"/>
      <c r="IXE4" s="18"/>
      <c r="IXF4" s="18"/>
      <c r="IXG4" s="18"/>
      <c r="IXH4" s="18"/>
      <c r="IXI4" s="18"/>
      <c r="IXJ4" s="18"/>
      <c r="IXK4" s="18"/>
      <c r="IXL4" s="18"/>
      <c r="IXM4" s="18"/>
      <c r="IXN4" s="18"/>
      <c r="IXO4" s="18"/>
      <c r="IXP4" s="18"/>
      <c r="IXQ4" s="18"/>
      <c r="IXR4" s="18"/>
      <c r="IXS4" s="18"/>
      <c r="IXT4" s="18"/>
      <c r="IXU4" s="18"/>
      <c r="IXV4" s="18"/>
      <c r="IXW4" s="18"/>
      <c r="IXX4" s="18"/>
      <c r="IXY4" s="18"/>
      <c r="IXZ4" s="18"/>
      <c r="IYA4" s="18"/>
      <c r="IYB4" s="18"/>
      <c r="IYC4" s="18"/>
      <c r="IYD4" s="18"/>
      <c r="IYE4" s="18"/>
      <c r="IYF4" s="18"/>
      <c r="IYG4" s="18"/>
      <c r="IYH4" s="18"/>
      <c r="IYI4" s="18"/>
      <c r="IYJ4" s="18"/>
      <c r="IYK4" s="18"/>
      <c r="IYL4" s="18"/>
      <c r="IYM4" s="18"/>
      <c r="IYN4" s="18"/>
      <c r="IYO4" s="18"/>
      <c r="IYP4" s="18"/>
      <c r="IYQ4" s="18"/>
      <c r="IYR4" s="18"/>
      <c r="IYS4" s="18"/>
      <c r="IYT4" s="18"/>
      <c r="IYU4" s="18"/>
      <c r="IYV4" s="18"/>
      <c r="IYW4" s="18"/>
      <c r="IYX4" s="18"/>
      <c r="IYY4" s="18"/>
      <c r="IYZ4" s="18"/>
      <c r="IZA4" s="18"/>
      <c r="IZB4" s="18"/>
      <c r="IZC4" s="18"/>
      <c r="IZD4" s="18"/>
      <c r="IZE4" s="18"/>
      <c r="IZF4" s="18"/>
      <c r="IZG4" s="18"/>
      <c r="IZH4" s="18"/>
      <c r="IZI4" s="18"/>
      <c r="IZJ4" s="18"/>
      <c r="IZK4" s="18"/>
      <c r="IZL4" s="18"/>
      <c r="IZM4" s="18"/>
      <c r="IZN4" s="18"/>
      <c r="IZO4" s="18"/>
      <c r="IZP4" s="18"/>
      <c r="IZQ4" s="18"/>
      <c r="IZR4" s="18"/>
      <c r="IZS4" s="18"/>
      <c r="IZT4" s="18"/>
      <c r="IZU4" s="18"/>
      <c r="IZV4" s="18"/>
      <c r="IZW4" s="18"/>
      <c r="IZX4" s="18"/>
      <c r="IZY4" s="18"/>
      <c r="IZZ4" s="18"/>
      <c r="JAA4" s="18"/>
      <c r="JAB4" s="18"/>
      <c r="JAC4" s="18"/>
      <c r="JAD4" s="18"/>
      <c r="JAE4" s="18"/>
      <c r="JAF4" s="18"/>
      <c r="JAG4" s="18"/>
      <c r="JAH4" s="18"/>
      <c r="JAI4" s="18"/>
      <c r="JAJ4" s="18"/>
      <c r="JAK4" s="18"/>
      <c r="JAL4" s="18"/>
      <c r="JAM4" s="18"/>
      <c r="JAN4" s="18"/>
      <c r="JAO4" s="18"/>
      <c r="JAP4" s="18"/>
      <c r="JAQ4" s="18"/>
      <c r="JAR4" s="18"/>
      <c r="JAS4" s="18"/>
      <c r="JAT4" s="18"/>
      <c r="JAU4" s="18"/>
      <c r="JAV4" s="18"/>
      <c r="JAW4" s="18"/>
      <c r="JAX4" s="18"/>
      <c r="JAY4" s="18"/>
      <c r="JAZ4" s="18"/>
      <c r="JBA4" s="18"/>
      <c r="JBB4" s="18"/>
      <c r="JBC4" s="18"/>
      <c r="JBD4" s="18"/>
      <c r="JBE4" s="18"/>
      <c r="JBF4" s="18"/>
      <c r="JBG4" s="18"/>
      <c r="JBH4" s="18"/>
      <c r="JBI4" s="18"/>
      <c r="JBJ4" s="18"/>
      <c r="JBK4" s="18"/>
      <c r="JBL4" s="18"/>
      <c r="JBM4" s="18"/>
      <c r="JBN4" s="18"/>
      <c r="JBO4" s="18"/>
      <c r="JBP4" s="18"/>
      <c r="JBQ4" s="18"/>
      <c r="JBR4" s="18"/>
      <c r="JBS4" s="18"/>
      <c r="JBT4" s="18"/>
      <c r="JBU4" s="18"/>
      <c r="JBV4" s="18"/>
      <c r="JBW4" s="18"/>
      <c r="JBX4" s="18"/>
      <c r="JBY4" s="18"/>
      <c r="JBZ4" s="18"/>
      <c r="JCA4" s="18"/>
      <c r="JCB4" s="18"/>
      <c r="JCC4" s="18"/>
      <c r="JCD4" s="18"/>
      <c r="JCE4" s="18"/>
      <c r="JCF4" s="18"/>
      <c r="JCG4" s="18"/>
      <c r="JCH4" s="18"/>
      <c r="JCI4" s="18"/>
      <c r="JCJ4" s="18"/>
      <c r="JCK4" s="18"/>
      <c r="JCL4" s="18"/>
      <c r="JCM4" s="18"/>
      <c r="JCN4" s="18"/>
      <c r="JCO4" s="18"/>
      <c r="JCP4" s="18"/>
      <c r="JCQ4" s="18"/>
      <c r="JCR4" s="18"/>
      <c r="JCS4" s="18"/>
      <c r="JCT4" s="18"/>
      <c r="JCU4" s="18"/>
      <c r="JCV4" s="18"/>
      <c r="JCW4" s="18"/>
      <c r="JCX4" s="18"/>
      <c r="JCY4" s="18"/>
      <c r="JCZ4" s="18"/>
      <c r="JDA4" s="18"/>
      <c r="JDB4" s="18"/>
      <c r="JDC4" s="18"/>
      <c r="JDD4" s="18"/>
      <c r="JDE4" s="18"/>
      <c r="JDF4" s="18"/>
      <c r="JDG4" s="18"/>
      <c r="JDH4" s="18"/>
      <c r="JDI4" s="18"/>
      <c r="JDJ4" s="18"/>
      <c r="JDK4" s="18"/>
      <c r="JDL4" s="18"/>
      <c r="JDM4" s="18"/>
      <c r="JDN4" s="18"/>
      <c r="JDO4" s="18"/>
      <c r="JDP4" s="18"/>
      <c r="JDQ4" s="18"/>
      <c r="JDR4" s="18"/>
      <c r="JDS4" s="18"/>
      <c r="JDT4" s="18"/>
      <c r="JDU4" s="18"/>
      <c r="JDV4" s="18"/>
      <c r="JDW4" s="18"/>
      <c r="JDX4" s="18"/>
      <c r="JDY4" s="18"/>
      <c r="JDZ4" s="18"/>
      <c r="JEA4" s="18"/>
      <c r="JEB4" s="18"/>
      <c r="JEC4" s="18"/>
      <c r="JED4" s="18"/>
      <c r="JEE4" s="18"/>
      <c r="JEF4" s="18"/>
      <c r="JEG4" s="18"/>
      <c r="JEH4" s="18"/>
      <c r="JEI4" s="18"/>
      <c r="JEJ4" s="18"/>
      <c r="JEK4" s="18"/>
      <c r="JEL4" s="18"/>
      <c r="JEM4" s="18"/>
      <c r="JEN4" s="18"/>
      <c r="JEO4" s="18"/>
      <c r="JEP4" s="18"/>
      <c r="JEQ4" s="18"/>
      <c r="JER4" s="18"/>
      <c r="JES4" s="18"/>
      <c r="JET4" s="18"/>
      <c r="JEU4" s="18"/>
      <c r="JEV4" s="18"/>
      <c r="JEW4" s="18"/>
      <c r="JEX4" s="18"/>
      <c r="JEY4" s="18"/>
      <c r="JEZ4" s="18"/>
      <c r="JFA4" s="18"/>
      <c r="JFB4" s="18"/>
      <c r="JFC4" s="18"/>
      <c r="JFD4" s="18"/>
      <c r="JFE4" s="18"/>
      <c r="JFF4" s="18"/>
      <c r="JFG4" s="18"/>
      <c r="JFH4" s="18"/>
      <c r="JFI4" s="18"/>
      <c r="JFJ4" s="18"/>
      <c r="JFK4" s="18"/>
      <c r="JFL4" s="18"/>
      <c r="JFM4" s="18"/>
      <c r="JFN4" s="18"/>
      <c r="JFO4" s="18"/>
      <c r="JFP4" s="18"/>
      <c r="JFQ4" s="18"/>
      <c r="JFR4" s="18"/>
      <c r="JFS4" s="18"/>
      <c r="JFT4" s="18"/>
      <c r="JFU4" s="18"/>
      <c r="JFV4" s="18"/>
      <c r="JFW4" s="18"/>
      <c r="JFX4" s="18"/>
      <c r="JFY4" s="18"/>
      <c r="JFZ4" s="18"/>
      <c r="JGA4" s="18"/>
      <c r="JGB4" s="18"/>
      <c r="JGC4" s="18"/>
      <c r="JGD4" s="18"/>
      <c r="JGE4" s="18"/>
      <c r="JGF4" s="18"/>
      <c r="JGG4" s="18"/>
      <c r="JGH4" s="18"/>
      <c r="JGI4" s="18"/>
      <c r="JGJ4" s="18"/>
      <c r="JGK4" s="18"/>
      <c r="JGL4" s="18"/>
      <c r="JGM4" s="18"/>
      <c r="JGN4" s="18"/>
      <c r="JGO4" s="18"/>
      <c r="JGP4" s="18"/>
      <c r="JGQ4" s="18"/>
      <c r="JGR4" s="18"/>
      <c r="JGS4" s="18"/>
      <c r="JGT4" s="18"/>
      <c r="JGU4" s="18"/>
      <c r="JGV4" s="18"/>
      <c r="JGW4" s="18"/>
      <c r="JGX4" s="18"/>
      <c r="JGY4" s="18"/>
      <c r="JGZ4" s="18"/>
      <c r="JHA4" s="18"/>
      <c r="JHB4" s="18"/>
      <c r="JHC4" s="18"/>
      <c r="JHD4" s="18"/>
      <c r="JHE4" s="18"/>
      <c r="JHF4" s="18"/>
      <c r="JHG4" s="18"/>
      <c r="JHH4" s="18"/>
      <c r="JHI4" s="18"/>
      <c r="JHJ4" s="18"/>
      <c r="JHK4" s="18"/>
      <c r="JHL4" s="18"/>
      <c r="JHM4" s="18"/>
      <c r="JHN4" s="18"/>
      <c r="JHO4" s="18"/>
      <c r="JHP4" s="18"/>
      <c r="JHQ4" s="18"/>
      <c r="JHR4" s="18"/>
      <c r="JHS4" s="18"/>
      <c r="JHT4" s="18"/>
      <c r="JHU4" s="18"/>
      <c r="JHV4" s="18"/>
      <c r="JHW4" s="18"/>
      <c r="JHX4" s="18"/>
      <c r="JHY4" s="18"/>
      <c r="JHZ4" s="18"/>
      <c r="JIA4" s="18"/>
      <c r="JIB4" s="18"/>
      <c r="JIC4" s="18"/>
      <c r="JID4" s="18"/>
      <c r="JIE4" s="18"/>
      <c r="JIF4" s="18"/>
      <c r="JIG4" s="18"/>
      <c r="JIH4" s="18"/>
      <c r="JII4" s="18"/>
      <c r="JIJ4" s="18"/>
      <c r="JIK4" s="18"/>
      <c r="JIL4" s="18"/>
      <c r="JIM4" s="18"/>
      <c r="JIN4" s="18"/>
      <c r="JIO4" s="18"/>
      <c r="JIP4" s="18"/>
      <c r="JIQ4" s="18"/>
      <c r="JIR4" s="18"/>
      <c r="JIS4" s="18"/>
      <c r="JIT4" s="18"/>
      <c r="JIU4" s="18"/>
      <c r="JIV4" s="18"/>
      <c r="JIW4" s="18"/>
      <c r="JIX4" s="18"/>
      <c r="JIY4" s="18"/>
      <c r="JIZ4" s="18"/>
      <c r="JJA4" s="18"/>
      <c r="JJB4" s="18"/>
      <c r="JJC4" s="18"/>
      <c r="JJD4" s="18"/>
      <c r="JJE4" s="18"/>
      <c r="JJF4" s="18"/>
      <c r="JJG4" s="18"/>
      <c r="JJH4" s="18"/>
      <c r="JJI4" s="18"/>
      <c r="JJJ4" s="18"/>
      <c r="JJK4" s="18"/>
      <c r="JJL4" s="18"/>
      <c r="JJM4" s="18"/>
      <c r="JJN4" s="18"/>
      <c r="JJO4" s="18"/>
      <c r="JJP4" s="18"/>
      <c r="JJQ4" s="18"/>
      <c r="JJR4" s="18"/>
      <c r="JJS4" s="18"/>
      <c r="JJT4" s="18"/>
      <c r="JJU4" s="18"/>
      <c r="JJV4" s="18"/>
      <c r="JJW4" s="18"/>
      <c r="JJX4" s="18"/>
      <c r="JJY4" s="18"/>
      <c r="JJZ4" s="18"/>
      <c r="JKA4" s="18"/>
      <c r="JKB4" s="18"/>
      <c r="JKC4" s="18"/>
      <c r="JKD4" s="18"/>
      <c r="JKE4" s="18"/>
      <c r="JKF4" s="18"/>
      <c r="JKG4" s="18"/>
      <c r="JKH4" s="18"/>
      <c r="JKI4" s="18"/>
      <c r="JKJ4" s="18"/>
      <c r="JKK4" s="18"/>
      <c r="JKL4" s="18"/>
      <c r="JKM4" s="18"/>
      <c r="JKN4" s="18"/>
      <c r="JKO4" s="18"/>
      <c r="JKP4" s="18"/>
      <c r="JKQ4" s="18"/>
      <c r="JKR4" s="18"/>
      <c r="JKS4" s="18"/>
      <c r="JKT4" s="18"/>
      <c r="JKU4" s="18"/>
      <c r="JKV4" s="18"/>
      <c r="JKW4" s="18"/>
      <c r="JKX4" s="18"/>
      <c r="JKY4" s="18"/>
      <c r="JKZ4" s="18"/>
      <c r="JLA4" s="18"/>
      <c r="JLB4" s="18"/>
      <c r="JLC4" s="18"/>
      <c r="JLD4" s="18"/>
      <c r="JLE4" s="18"/>
      <c r="JLF4" s="18"/>
      <c r="JLG4" s="18"/>
      <c r="JLH4" s="18"/>
      <c r="JLI4" s="18"/>
      <c r="JLJ4" s="18"/>
      <c r="JLK4" s="18"/>
      <c r="JLL4" s="18"/>
      <c r="JLM4" s="18"/>
      <c r="JLN4" s="18"/>
      <c r="JLO4" s="18"/>
      <c r="JLP4" s="18"/>
      <c r="JLQ4" s="18"/>
      <c r="JLR4" s="18"/>
      <c r="JLS4" s="18"/>
      <c r="JLT4" s="18"/>
      <c r="JLU4" s="18"/>
      <c r="JLV4" s="18"/>
      <c r="JLW4" s="18"/>
      <c r="JLX4" s="18"/>
      <c r="JLY4" s="18"/>
      <c r="JLZ4" s="18"/>
      <c r="JMA4" s="18"/>
      <c r="JMB4" s="18"/>
      <c r="JMC4" s="18"/>
      <c r="JMD4" s="18"/>
      <c r="JME4" s="18"/>
      <c r="JMF4" s="18"/>
      <c r="JMG4" s="18"/>
      <c r="JMH4" s="18"/>
      <c r="JMI4" s="18"/>
      <c r="JMJ4" s="18"/>
      <c r="JMK4" s="18"/>
      <c r="JML4" s="18"/>
      <c r="JMM4" s="18"/>
      <c r="JMN4" s="18"/>
      <c r="JMO4" s="18"/>
      <c r="JMP4" s="18"/>
      <c r="JMQ4" s="18"/>
      <c r="JMR4" s="18"/>
      <c r="JMS4" s="18"/>
      <c r="JMT4" s="18"/>
      <c r="JMU4" s="18"/>
      <c r="JMV4" s="18"/>
      <c r="JMW4" s="18"/>
      <c r="JMX4" s="18"/>
      <c r="JMY4" s="18"/>
      <c r="JMZ4" s="18"/>
      <c r="JNA4" s="18"/>
      <c r="JNB4" s="18"/>
      <c r="JNC4" s="18"/>
      <c r="JND4" s="18"/>
      <c r="JNE4" s="18"/>
      <c r="JNF4" s="18"/>
      <c r="JNG4" s="18"/>
      <c r="JNH4" s="18"/>
      <c r="JNI4" s="18"/>
      <c r="JNJ4" s="18"/>
      <c r="JNK4" s="18"/>
      <c r="JNL4" s="18"/>
      <c r="JNM4" s="18"/>
      <c r="JNN4" s="18"/>
      <c r="JNO4" s="18"/>
      <c r="JNP4" s="18"/>
      <c r="JNQ4" s="18"/>
      <c r="JNR4" s="18"/>
      <c r="JNS4" s="18"/>
      <c r="JNT4" s="18"/>
      <c r="JNU4" s="18"/>
      <c r="JNV4" s="18"/>
      <c r="JNW4" s="18"/>
      <c r="JNX4" s="18"/>
      <c r="JNY4" s="18"/>
      <c r="JNZ4" s="18"/>
      <c r="JOA4" s="18"/>
      <c r="JOB4" s="18"/>
      <c r="JOC4" s="18"/>
      <c r="JOD4" s="18"/>
      <c r="JOE4" s="18"/>
      <c r="JOF4" s="18"/>
      <c r="JOG4" s="18"/>
      <c r="JOH4" s="18"/>
      <c r="JOI4" s="18"/>
      <c r="JOJ4" s="18"/>
      <c r="JOK4" s="18"/>
      <c r="JOL4" s="18"/>
      <c r="JOM4" s="18"/>
      <c r="JON4" s="18"/>
      <c r="JOO4" s="18"/>
      <c r="JOP4" s="18"/>
      <c r="JOQ4" s="18"/>
      <c r="JOR4" s="18"/>
      <c r="JOS4" s="18"/>
      <c r="JOT4" s="18"/>
      <c r="JOU4" s="18"/>
      <c r="JOV4" s="18"/>
      <c r="JOW4" s="18"/>
      <c r="JOX4" s="18"/>
      <c r="JOY4" s="18"/>
      <c r="JOZ4" s="18"/>
      <c r="JPA4" s="18"/>
      <c r="JPB4" s="18"/>
      <c r="JPC4" s="18"/>
      <c r="JPD4" s="18"/>
      <c r="JPE4" s="18"/>
      <c r="JPF4" s="18"/>
      <c r="JPG4" s="18"/>
      <c r="JPH4" s="18"/>
      <c r="JPI4" s="18"/>
      <c r="JPJ4" s="18"/>
      <c r="JPK4" s="18"/>
      <c r="JPL4" s="18"/>
      <c r="JPM4" s="18"/>
      <c r="JPN4" s="18"/>
      <c r="JPO4" s="18"/>
      <c r="JPP4" s="18"/>
      <c r="JPQ4" s="18"/>
      <c r="JPR4" s="18"/>
      <c r="JPS4" s="18"/>
      <c r="JPT4" s="18"/>
      <c r="JPU4" s="18"/>
      <c r="JPV4" s="18"/>
      <c r="JPW4" s="18"/>
      <c r="JPX4" s="18"/>
      <c r="JPY4" s="18"/>
      <c r="JPZ4" s="18"/>
      <c r="JQA4" s="18"/>
      <c r="JQB4" s="18"/>
      <c r="JQC4" s="18"/>
      <c r="JQD4" s="18"/>
      <c r="JQE4" s="18"/>
      <c r="JQF4" s="18"/>
      <c r="JQG4" s="18"/>
      <c r="JQH4" s="18"/>
      <c r="JQI4" s="18"/>
      <c r="JQJ4" s="18"/>
      <c r="JQK4" s="18"/>
      <c r="JQL4" s="18"/>
      <c r="JQM4" s="18"/>
      <c r="JQN4" s="18"/>
      <c r="JQO4" s="18"/>
      <c r="JQP4" s="18"/>
      <c r="JQQ4" s="18"/>
      <c r="JQR4" s="18"/>
      <c r="JQS4" s="18"/>
      <c r="JQT4" s="18"/>
      <c r="JQU4" s="18"/>
      <c r="JQV4" s="18"/>
      <c r="JQW4" s="18"/>
      <c r="JQX4" s="18"/>
      <c r="JQY4" s="18"/>
      <c r="JQZ4" s="18"/>
      <c r="JRA4" s="18"/>
      <c r="JRB4" s="18"/>
      <c r="JRC4" s="18"/>
      <c r="JRD4" s="18"/>
      <c r="JRE4" s="18"/>
      <c r="JRF4" s="18"/>
      <c r="JRG4" s="18"/>
      <c r="JRH4" s="18"/>
      <c r="JRI4" s="18"/>
      <c r="JRJ4" s="18"/>
      <c r="JRK4" s="18"/>
      <c r="JRL4" s="18"/>
      <c r="JRM4" s="18"/>
      <c r="JRN4" s="18"/>
      <c r="JRO4" s="18"/>
      <c r="JRP4" s="18"/>
      <c r="JRQ4" s="18"/>
      <c r="JRR4" s="18"/>
      <c r="JRS4" s="18"/>
      <c r="JRT4" s="18"/>
      <c r="JRU4" s="18"/>
      <c r="JRV4" s="18"/>
      <c r="JRW4" s="18"/>
      <c r="JRX4" s="18"/>
      <c r="JRY4" s="18"/>
      <c r="JRZ4" s="18"/>
      <c r="JSA4" s="18"/>
      <c r="JSB4" s="18"/>
      <c r="JSC4" s="18"/>
      <c r="JSD4" s="18"/>
      <c r="JSE4" s="18"/>
      <c r="JSF4" s="18"/>
      <c r="JSG4" s="18"/>
      <c r="JSH4" s="18"/>
      <c r="JSI4" s="18"/>
      <c r="JSJ4" s="18"/>
      <c r="JSK4" s="18"/>
      <c r="JSL4" s="18"/>
      <c r="JSM4" s="18"/>
      <c r="JSN4" s="18"/>
      <c r="JSO4" s="18"/>
      <c r="JSP4" s="18"/>
      <c r="JSQ4" s="18"/>
      <c r="JSR4" s="18"/>
      <c r="JSS4" s="18"/>
      <c r="JST4" s="18"/>
      <c r="JSU4" s="18"/>
      <c r="JSV4" s="18"/>
      <c r="JSW4" s="18"/>
      <c r="JSX4" s="18"/>
      <c r="JSY4" s="18"/>
      <c r="JSZ4" s="18"/>
      <c r="JTA4" s="18"/>
      <c r="JTB4" s="18"/>
      <c r="JTC4" s="18"/>
      <c r="JTD4" s="18"/>
      <c r="JTE4" s="18"/>
      <c r="JTF4" s="18"/>
      <c r="JTG4" s="18"/>
      <c r="JTH4" s="18"/>
      <c r="JTI4" s="18"/>
      <c r="JTJ4" s="18"/>
      <c r="JTK4" s="18"/>
      <c r="JTL4" s="18"/>
      <c r="JTM4" s="18"/>
      <c r="JTN4" s="18"/>
      <c r="JTO4" s="18"/>
      <c r="JTP4" s="18"/>
      <c r="JTQ4" s="18"/>
      <c r="JTR4" s="18"/>
      <c r="JTS4" s="18"/>
      <c r="JTT4" s="18"/>
      <c r="JTU4" s="18"/>
      <c r="JTV4" s="18"/>
      <c r="JTW4" s="18"/>
      <c r="JTX4" s="18"/>
      <c r="JTY4" s="18"/>
      <c r="JTZ4" s="18"/>
      <c r="JUA4" s="18"/>
      <c r="JUB4" s="18"/>
      <c r="JUC4" s="18"/>
      <c r="JUD4" s="18"/>
      <c r="JUE4" s="18"/>
      <c r="JUF4" s="18"/>
      <c r="JUG4" s="18"/>
      <c r="JUH4" s="18"/>
      <c r="JUI4" s="18"/>
      <c r="JUJ4" s="18"/>
      <c r="JUK4" s="18"/>
      <c r="JUL4" s="18"/>
      <c r="JUM4" s="18"/>
      <c r="JUN4" s="18"/>
      <c r="JUO4" s="18"/>
      <c r="JUP4" s="18"/>
      <c r="JUQ4" s="18"/>
      <c r="JUR4" s="18"/>
      <c r="JUS4" s="18"/>
      <c r="JUT4" s="18"/>
      <c r="JUU4" s="18"/>
      <c r="JUV4" s="18"/>
      <c r="JUW4" s="18"/>
      <c r="JUX4" s="18"/>
      <c r="JUY4" s="18"/>
      <c r="JUZ4" s="18"/>
      <c r="JVA4" s="18"/>
      <c r="JVB4" s="18"/>
      <c r="JVC4" s="18"/>
      <c r="JVD4" s="18"/>
      <c r="JVE4" s="18"/>
      <c r="JVF4" s="18"/>
      <c r="JVG4" s="18"/>
      <c r="JVH4" s="18"/>
      <c r="JVI4" s="18"/>
      <c r="JVJ4" s="18"/>
      <c r="JVK4" s="18"/>
      <c r="JVL4" s="18"/>
      <c r="JVM4" s="18"/>
      <c r="JVN4" s="18"/>
      <c r="JVO4" s="18"/>
      <c r="JVP4" s="18"/>
      <c r="JVQ4" s="18"/>
      <c r="JVR4" s="18"/>
      <c r="JVS4" s="18"/>
      <c r="JVT4" s="18"/>
      <c r="JVU4" s="18"/>
      <c r="JVV4" s="18"/>
      <c r="JVW4" s="18"/>
      <c r="JVX4" s="18"/>
      <c r="JVY4" s="18"/>
      <c r="JVZ4" s="18"/>
      <c r="JWA4" s="18"/>
      <c r="JWB4" s="18"/>
      <c r="JWC4" s="18"/>
      <c r="JWD4" s="18"/>
      <c r="JWE4" s="18"/>
      <c r="JWF4" s="18"/>
      <c r="JWG4" s="18"/>
      <c r="JWH4" s="18"/>
      <c r="JWI4" s="18"/>
      <c r="JWJ4" s="18"/>
      <c r="JWK4" s="18"/>
      <c r="JWL4" s="18"/>
      <c r="JWM4" s="18"/>
      <c r="JWN4" s="18"/>
      <c r="JWO4" s="18"/>
      <c r="JWP4" s="18"/>
      <c r="JWQ4" s="18"/>
      <c r="JWR4" s="18"/>
      <c r="JWS4" s="18"/>
      <c r="JWT4" s="18"/>
      <c r="JWU4" s="18"/>
      <c r="JWV4" s="18"/>
      <c r="JWW4" s="18"/>
      <c r="JWX4" s="18"/>
      <c r="JWY4" s="18"/>
      <c r="JWZ4" s="18"/>
      <c r="JXA4" s="18"/>
      <c r="JXB4" s="18"/>
      <c r="JXC4" s="18"/>
      <c r="JXD4" s="18"/>
      <c r="JXE4" s="18"/>
      <c r="JXF4" s="18"/>
      <c r="JXG4" s="18"/>
      <c r="JXH4" s="18"/>
      <c r="JXI4" s="18"/>
      <c r="JXJ4" s="18"/>
      <c r="JXK4" s="18"/>
      <c r="JXL4" s="18"/>
      <c r="JXM4" s="18"/>
      <c r="JXN4" s="18"/>
      <c r="JXO4" s="18"/>
      <c r="JXP4" s="18"/>
      <c r="JXQ4" s="18"/>
      <c r="JXR4" s="18"/>
      <c r="JXS4" s="18"/>
      <c r="JXT4" s="18"/>
      <c r="JXU4" s="18"/>
      <c r="JXV4" s="18"/>
      <c r="JXW4" s="18"/>
      <c r="JXX4" s="18"/>
      <c r="JXY4" s="18"/>
      <c r="JXZ4" s="18"/>
      <c r="JYA4" s="18"/>
      <c r="JYB4" s="18"/>
      <c r="JYC4" s="18"/>
      <c r="JYD4" s="18"/>
      <c r="JYE4" s="18"/>
      <c r="JYF4" s="18"/>
      <c r="JYG4" s="18"/>
      <c r="JYH4" s="18"/>
      <c r="JYI4" s="18"/>
      <c r="JYJ4" s="18"/>
      <c r="JYK4" s="18"/>
      <c r="JYL4" s="18"/>
      <c r="JYM4" s="18"/>
      <c r="JYN4" s="18"/>
      <c r="JYO4" s="18"/>
      <c r="JYP4" s="18"/>
      <c r="JYQ4" s="18"/>
      <c r="JYR4" s="18"/>
      <c r="JYS4" s="18"/>
      <c r="JYT4" s="18"/>
      <c r="JYU4" s="18"/>
      <c r="JYV4" s="18"/>
      <c r="JYW4" s="18"/>
      <c r="JYX4" s="18"/>
      <c r="JYY4" s="18"/>
      <c r="JYZ4" s="18"/>
      <c r="JZA4" s="18"/>
      <c r="JZB4" s="18"/>
      <c r="JZC4" s="18"/>
      <c r="JZD4" s="18"/>
      <c r="JZE4" s="18"/>
      <c r="JZF4" s="18"/>
      <c r="JZG4" s="18"/>
      <c r="JZH4" s="18"/>
      <c r="JZI4" s="18"/>
      <c r="JZJ4" s="18"/>
      <c r="JZK4" s="18"/>
      <c r="JZL4" s="18"/>
      <c r="JZM4" s="18"/>
      <c r="JZN4" s="18"/>
      <c r="JZO4" s="18"/>
      <c r="JZP4" s="18"/>
      <c r="JZQ4" s="18"/>
      <c r="JZR4" s="18"/>
      <c r="JZS4" s="18"/>
      <c r="JZT4" s="18"/>
      <c r="JZU4" s="18"/>
      <c r="JZV4" s="18"/>
      <c r="JZW4" s="18"/>
      <c r="JZX4" s="18"/>
      <c r="JZY4" s="18"/>
      <c r="JZZ4" s="18"/>
      <c r="KAA4" s="18"/>
      <c r="KAB4" s="18"/>
      <c r="KAC4" s="18"/>
      <c r="KAD4" s="18"/>
      <c r="KAE4" s="18"/>
      <c r="KAF4" s="18"/>
      <c r="KAG4" s="18"/>
      <c r="KAH4" s="18"/>
      <c r="KAI4" s="18"/>
      <c r="KAJ4" s="18"/>
      <c r="KAK4" s="18"/>
      <c r="KAL4" s="18"/>
      <c r="KAM4" s="18"/>
      <c r="KAN4" s="18"/>
      <c r="KAO4" s="18"/>
      <c r="KAP4" s="18"/>
      <c r="KAQ4" s="18"/>
      <c r="KAR4" s="18"/>
      <c r="KAS4" s="18"/>
      <c r="KAT4" s="18"/>
      <c r="KAU4" s="18"/>
      <c r="KAV4" s="18"/>
      <c r="KAW4" s="18"/>
      <c r="KAX4" s="18"/>
      <c r="KAY4" s="18"/>
      <c r="KAZ4" s="18"/>
      <c r="KBA4" s="18"/>
      <c r="KBB4" s="18"/>
      <c r="KBC4" s="18"/>
      <c r="KBD4" s="18"/>
      <c r="KBE4" s="18"/>
      <c r="KBF4" s="18"/>
      <c r="KBG4" s="18"/>
      <c r="KBH4" s="18"/>
      <c r="KBI4" s="18"/>
      <c r="KBJ4" s="18"/>
      <c r="KBK4" s="18"/>
      <c r="KBL4" s="18"/>
      <c r="KBM4" s="18"/>
      <c r="KBN4" s="18"/>
      <c r="KBO4" s="18"/>
      <c r="KBP4" s="18"/>
      <c r="KBQ4" s="18"/>
      <c r="KBR4" s="18"/>
      <c r="KBS4" s="18"/>
      <c r="KBT4" s="18"/>
      <c r="KBU4" s="18"/>
      <c r="KBV4" s="18"/>
      <c r="KBW4" s="18"/>
      <c r="KBX4" s="18"/>
      <c r="KBY4" s="18"/>
      <c r="KBZ4" s="18"/>
      <c r="KCA4" s="18"/>
      <c r="KCB4" s="18"/>
      <c r="KCC4" s="18"/>
      <c r="KCD4" s="18"/>
      <c r="KCE4" s="18"/>
      <c r="KCF4" s="18"/>
      <c r="KCG4" s="18"/>
      <c r="KCH4" s="18"/>
      <c r="KCI4" s="18"/>
      <c r="KCJ4" s="18"/>
      <c r="KCK4" s="18"/>
      <c r="KCL4" s="18"/>
      <c r="KCM4" s="18"/>
      <c r="KCN4" s="18"/>
      <c r="KCO4" s="18"/>
      <c r="KCP4" s="18"/>
      <c r="KCQ4" s="18"/>
      <c r="KCR4" s="18"/>
      <c r="KCS4" s="18"/>
      <c r="KCT4" s="18"/>
      <c r="KCU4" s="18"/>
      <c r="KCV4" s="18"/>
      <c r="KCW4" s="18"/>
      <c r="KCX4" s="18"/>
      <c r="KCY4" s="18"/>
      <c r="KCZ4" s="18"/>
      <c r="KDA4" s="18"/>
      <c r="KDB4" s="18"/>
      <c r="KDC4" s="18"/>
      <c r="KDD4" s="18"/>
      <c r="KDE4" s="18"/>
      <c r="KDF4" s="18"/>
      <c r="KDG4" s="18"/>
      <c r="KDH4" s="18"/>
      <c r="KDI4" s="18"/>
      <c r="KDJ4" s="18"/>
      <c r="KDK4" s="18"/>
      <c r="KDL4" s="18"/>
      <c r="KDM4" s="18"/>
      <c r="KDN4" s="18"/>
      <c r="KDO4" s="18"/>
      <c r="KDP4" s="18"/>
      <c r="KDQ4" s="18"/>
      <c r="KDR4" s="18"/>
      <c r="KDS4" s="18"/>
      <c r="KDT4" s="18"/>
      <c r="KDU4" s="18"/>
      <c r="KDV4" s="18"/>
      <c r="KDW4" s="18"/>
      <c r="KDX4" s="18"/>
      <c r="KDY4" s="18"/>
      <c r="KDZ4" s="18"/>
      <c r="KEA4" s="18"/>
      <c r="KEB4" s="18"/>
      <c r="KEC4" s="18"/>
      <c r="KED4" s="18"/>
      <c r="KEE4" s="18"/>
      <c r="KEF4" s="18"/>
      <c r="KEG4" s="18"/>
      <c r="KEH4" s="18"/>
      <c r="KEI4" s="18"/>
      <c r="KEJ4" s="18"/>
      <c r="KEK4" s="18"/>
      <c r="KEL4" s="18"/>
      <c r="KEM4" s="18"/>
      <c r="KEN4" s="18"/>
      <c r="KEO4" s="18"/>
      <c r="KEP4" s="18"/>
      <c r="KEQ4" s="18"/>
      <c r="KER4" s="18"/>
      <c r="KES4" s="18"/>
      <c r="KET4" s="18"/>
      <c r="KEU4" s="18"/>
      <c r="KEV4" s="18"/>
      <c r="KEW4" s="18"/>
      <c r="KEX4" s="18"/>
      <c r="KEY4" s="18"/>
      <c r="KEZ4" s="18"/>
      <c r="KFA4" s="18"/>
      <c r="KFB4" s="18"/>
      <c r="KFC4" s="18"/>
      <c r="KFD4" s="18"/>
      <c r="KFE4" s="18"/>
      <c r="KFF4" s="18"/>
      <c r="KFG4" s="18"/>
      <c r="KFH4" s="18"/>
      <c r="KFI4" s="18"/>
      <c r="KFJ4" s="18"/>
      <c r="KFK4" s="18"/>
      <c r="KFL4" s="18"/>
      <c r="KFM4" s="18"/>
      <c r="KFN4" s="18"/>
      <c r="KFO4" s="18"/>
      <c r="KFP4" s="18"/>
      <c r="KFQ4" s="18"/>
      <c r="KFR4" s="18"/>
      <c r="KFS4" s="18"/>
      <c r="KFT4" s="18"/>
      <c r="KFU4" s="18"/>
      <c r="KFV4" s="18"/>
      <c r="KFW4" s="18"/>
      <c r="KFX4" s="18"/>
      <c r="KFY4" s="18"/>
      <c r="KFZ4" s="18"/>
      <c r="KGA4" s="18"/>
      <c r="KGB4" s="18"/>
      <c r="KGC4" s="18"/>
      <c r="KGD4" s="18"/>
      <c r="KGE4" s="18"/>
      <c r="KGF4" s="18"/>
      <c r="KGG4" s="18"/>
      <c r="KGH4" s="18"/>
      <c r="KGI4" s="18"/>
      <c r="KGJ4" s="18"/>
      <c r="KGK4" s="18"/>
      <c r="KGL4" s="18"/>
      <c r="KGM4" s="18"/>
      <c r="KGN4" s="18"/>
      <c r="KGO4" s="18"/>
      <c r="KGP4" s="18"/>
      <c r="KGQ4" s="18"/>
      <c r="KGR4" s="18"/>
      <c r="KGS4" s="18"/>
      <c r="KGT4" s="18"/>
      <c r="KGU4" s="18"/>
      <c r="KGV4" s="18"/>
      <c r="KGW4" s="18"/>
      <c r="KGX4" s="18"/>
      <c r="KGY4" s="18"/>
      <c r="KGZ4" s="18"/>
      <c r="KHA4" s="18"/>
      <c r="KHB4" s="18"/>
      <c r="KHC4" s="18"/>
      <c r="KHD4" s="18"/>
      <c r="KHE4" s="18"/>
      <c r="KHF4" s="18"/>
      <c r="KHG4" s="18"/>
      <c r="KHH4" s="18"/>
      <c r="KHI4" s="18"/>
      <c r="KHJ4" s="18"/>
      <c r="KHK4" s="18"/>
      <c r="KHL4" s="18"/>
      <c r="KHM4" s="18"/>
      <c r="KHN4" s="18"/>
      <c r="KHO4" s="18"/>
      <c r="KHP4" s="18"/>
      <c r="KHQ4" s="18"/>
      <c r="KHR4" s="18"/>
      <c r="KHS4" s="18"/>
      <c r="KHT4" s="18"/>
      <c r="KHU4" s="18"/>
      <c r="KHV4" s="18"/>
      <c r="KHW4" s="18"/>
      <c r="KHX4" s="18"/>
      <c r="KHY4" s="18"/>
      <c r="KHZ4" s="18"/>
      <c r="KIA4" s="18"/>
      <c r="KIB4" s="18"/>
      <c r="KIC4" s="18"/>
      <c r="KID4" s="18"/>
      <c r="KIE4" s="18"/>
      <c r="KIF4" s="18"/>
      <c r="KIG4" s="18"/>
      <c r="KIH4" s="18"/>
      <c r="KII4" s="18"/>
      <c r="KIJ4" s="18"/>
      <c r="KIK4" s="18"/>
      <c r="KIL4" s="18"/>
      <c r="KIM4" s="18"/>
      <c r="KIN4" s="18"/>
      <c r="KIO4" s="18"/>
      <c r="KIP4" s="18"/>
      <c r="KIQ4" s="18"/>
      <c r="KIR4" s="18"/>
      <c r="KIS4" s="18"/>
      <c r="KIT4" s="18"/>
      <c r="KIU4" s="18"/>
      <c r="KIV4" s="18"/>
      <c r="KIW4" s="18"/>
      <c r="KIX4" s="18"/>
      <c r="KIY4" s="18"/>
      <c r="KIZ4" s="18"/>
      <c r="KJA4" s="18"/>
      <c r="KJB4" s="18"/>
      <c r="KJC4" s="18"/>
      <c r="KJD4" s="18"/>
      <c r="KJE4" s="18"/>
      <c r="KJF4" s="18"/>
      <c r="KJG4" s="18"/>
      <c r="KJH4" s="18"/>
      <c r="KJI4" s="18"/>
      <c r="KJJ4" s="18"/>
      <c r="KJK4" s="18"/>
      <c r="KJL4" s="18"/>
      <c r="KJM4" s="18"/>
      <c r="KJN4" s="18"/>
      <c r="KJO4" s="18"/>
      <c r="KJP4" s="18"/>
      <c r="KJQ4" s="18"/>
      <c r="KJR4" s="18"/>
      <c r="KJS4" s="18"/>
      <c r="KJT4" s="18"/>
      <c r="KJU4" s="18"/>
      <c r="KJV4" s="18"/>
      <c r="KJW4" s="18"/>
      <c r="KJX4" s="18"/>
      <c r="KJY4" s="18"/>
      <c r="KJZ4" s="18"/>
      <c r="KKA4" s="18"/>
      <c r="KKB4" s="18"/>
      <c r="KKC4" s="18"/>
      <c r="KKD4" s="18"/>
      <c r="KKE4" s="18"/>
      <c r="KKF4" s="18"/>
      <c r="KKG4" s="18"/>
      <c r="KKH4" s="18"/>
      <c r="KKI4" s="18"/>
      <c r="KKJ4" s="18"/>
      <c r="KKK4" s="18"/>
      <c r="KKL4" s="18"/>
      <c r="KKM4" s="18"/>
      <c r="KKN4" s="18"/>
      <c r="KKO4" s="18"/>
      <c r="KKP4" s="18"/>
      <c r="KKQ4" s="18"/>
      <c r="KKR4" s="18"/>
      <c r="KKS4" s="18"/>
      <c r="KKT4" s="18"/>
      <c r="KKU4" s="18"/>
      <c r="KKV4" s="18"/>
      <c r="KKW4" s="18"/>
      <c r="KKX4" s="18"/>
      <c r="KKY4" s="18"/>
      <c r="KKZ4" s="18"/>
      <c r="KLA4" s="18"/>
      <c r="KLB4" s="18"/>
      <c r="KLC4" s="18"/>
      <c r="KLD4" s="18"/>
      <c r="KLE4" s="18"/>
      <c r="KLF4" s="18"/>
      <c r="KLG4" s="18"/>
      <c r="KLH4" s="18"/>
      <c r="KLI4" s="18"/>
      <c r="KLJ4" s="18"/>
      <c r="KLK4" s="18"/>
      <c r="KLL4" s="18"/>
      <c r="KLM4" s="18"/>
      <c r="KLN4" s="18"/>
      <c r="KLO4" s="18"/>
      <c r="KLP4" s="18"/>
      <c r="KLQ4" s="18"/>
      <c r="KLR4" s="18"/>
      <c r="KLS4" s="18"/>
      <c r="KLT4" s="18"/>
      <c r="KLU4" s="18"/>
      <c r="KLV4" s="18"/>
      <c r="KLW4" s="18"/>
      <c r="KLX4" s="18"/>
      <c r="KLY4" s="18"/>
      <c r="KLZ4" s="18"/>
      <c r="KMA4" s="18"/>
      <c r="KMB4" s="18"/>
      <c r="KMC4" s="18"/>
      <c r="KMD4" s="18"/>
      <c r="KME4" s="18"/>
      <c r="KMF4" s="18"/>
      <c r="KMG4" s="18"/>
      <c r="KMH4" s="18"/>
      <c r="KMI4" s="18"/>
      <c r="KMJ4" s="18"/>
      <c r="KMK4" s="18"/>
      <c r="KML4" s="18"/>
      <c r="KMM4" s="18"/>
      <c r="KMN4" s="18"/>
      <c r="KMO4" s="18"/>
      <c r="KMP4" s="18"/>
      <c r="KMQ4" s="18"/>
      <c r="KMR4" s="18"/>
      <c r="KMS4" s="18"/>
      <c r="KMT4" s="18"/>
      <c r="KMU4" s="18"/>
      <c r="KMV4" s="18"/>
      <c r="KMW4" s="18"/>
      <c r="KMX4" s="18"/>
      <c r="KMY4" s="18"/>
      <c r="KMZ4" s="18"/>
      <c r="KNA4" s="18"/>
      <c r="KNB4" s="18"/>
      <c r="KNC4" s="18"/>
      <c r="KND4" s="18"/>
      <c r="KNE4" s="18"/>
      <c r="KNF4" s="18"/>
      <c r="KNG4" s="18"/>
      <c r="KNH4" s="18"/>
      <c r="KNI4" s="18"/>
      <c r="KNJ4" s="18"/>
      <c r="KNK4" s="18"/>
      <c r="KNL4" s="18"/>
      <c r="KNM4" s="18"/>
      <c r="KNN4" s="18"/>
      <c r="KNO4" s="18"/>
      <c r="KNP4" s="18"/>
      <c r="KNQ4" s="18"/>
      <c r="KNR4" s="18"/>
      <c r="KNS4" s="18"/>
      <c r="KNT4" s="18"/>
      <c r="KNU4" s="18"/>
      <c r="KNV4" s="18"/>
      <c r="KNW4" s="18"/>
      <c r="KNX4" s="18"/>
      <c r="KNY4" s="18"/>
      <c r="KNZ4" s="18"/>
      <c r="KOA4" s="18"/>
      <c r="KOB4" s="18"/>
      <c r="KOC4" s="18"/>
      <c r="KOD4" s="18"/>
      <c r="KOE4" s="18"/>
      <c r="KOF4" s="18"/>
      <c r="KOG4" s="18"/>
      <c r="KOH4" s="18"/>
      <c r="KOI4" s="18"/>
      <c r="KOJ4" s="18"/>
      <c r="KOK4" s="18"/>
      <c r="KOL4" s="18"/>
      <c r="KOM4" s="18"/>
      <c r="KON4" s="18"/>
      <c r="KOO4" s="18"/>
      <c r="KOP4" s="18"/>
      <c r="KOQ4" s="18"/>
      <c r="KOR4" s="18"/>
      <c r="KOS4" s="18"/>
      <c r="KOT4" s="18"/>
      <c r="KOU4" s="18"/>
      <c r="KOV4" s="18"/>
      <c r="KOW4" s="18"/>
      <c r="KOX4" s="18"/>
      <c r="KOY4" s="18"/>
      <c r="KOZ4" s="18"/>
      <c r="KPA4" s="18"/>
      <c r="KPB4" s="18"/>
      <c r="KPC4" s="18"/>
      <c r="KPD4" s="18"/>
      <c r="KPE4" s="18"/>
      <c r="KPF4" s="18"/>
      <c r="KPG4" s="18"/>
      <c r="KPH4" s="18"/>
      <c r="KPI4" s="18"/>
      <c r="KPJ4" s="18"/>
      <c r="KPK4" s="18"/>
      <c r="KPL4" s="18"/>
      <c r="KPM4" s="18"/>
      <c r="KPN4" s="18"/>
      <c r="KPO4" s="18"/>
      <c r="KPP4" s="18"/>
      <c r="KPQ4" s="18"/>
      <c r="KPR4" s="18"/>
      <c r="KPS4" s="18"/>
      <c r="KPT4" s="18"/>
      <c r="KPU4" s="18"/>
      <c r="KPV4" s="18"/>
      <c r="KPW4" s="18"/>
      <c r="KPX4" s="18"/>
      <c r="KPY4" s="18"/>
      <c r="KPZ4" s="18"/>
      <c r="KQA4" s="18"/>
      <c r="KQB4" s="18"/>
      <c r="KQC4" s="18"/>
      <c r="KQD4" s="18"/>
      <c r="KQE4" s="18"/>
      <c r="KQF4" s="18"/>
      <c r="KQG4" s="18"/>
      <c r="KQH4" s="18"/>
      <c r="KQI4" s="18"/>
      <c r="KQJ4" s="18"/>
      <c r="KQK4" s="18"/>
      <c r="KQL4" s="18"/>
      <c r="KQM4" s="18"/>
      <c r="KQN4" s="18"/>
      <c r="KQO4" s="18"/>
      <c r="KQP4" s="18"/>
      <c r="KQQ4" s="18"/>
      <c r="KQR4" s="18"/>
      <c r="KQS4" s="18"/>
      <c r="KQT4" s="18"/>
      <c r="KQU4" s="18"/>
      <c r="KQV4" s="18"/>
      <c r="KQW4" s="18"/>
      <c r="KQX4" s="18"/>
      <c r="KQY4" s="18"/>
      <c r="KQZ4" s="18"/>
      <c r="KRA4" s="18"/>
      <c r="KRB4" s="18"/>
      <c r="KRC4" s="18"/>
      <c r="KRD4" s="18"/>
      <c r="KRE4" s="18"/>
      <c r="KRF4" s="18"/>
      <c r="KRG4" s="18"/>
      <c r="KRH4" s="18"/>
      <c r="KRI4" s="18"/>
      <c r="KRJ4" s="18"/>
      <c r="KRK4" s="18"/>
      <c r="KRL4" s="18"/>
      <c r="KRM4" s="18"/>
      <c r="KRN4" s="18"/>
      <c r="KRO4" s="18"/>
      <c r="KRP4" s="18"/>
      <c r="KRQ4" s="18"/>
      <c r="KRR4" s="18"/>
      <c r="KRS4" s="18"/>
      <c r="KRT4" s="18"/>
      <c r="KRU4" s="18"/>
      <c r="KRV4" s="18"/>
      <c r="KRW4" s="18"/>
      <c r="KRX4" s="18"/>
      <c r="KRY4" s="18"/>
      <c r="KRZ4" s="18"/>
      <c r="KSA4" s="18"/>
      <c r="KSB4" s="18"/>
      <c r="KSC4" s="18"/>
      <c r="KSD4" s="18"/>
      <c r="KSE4" s="18"/>
      <c r="KSF4" s="18"/>
      <c r="KSG4" s="18"/>
      <c r="KSH4" s="18"/>
      <c r="KSI4" s="18"/>
      <c r="KSJ4" s="18"/>
      <c r="KSK4" s="18"/>
      <c r="KSL4" s="18"/>
      <c r="KSM4" s="18"/>
      <c r="KSN4" s="18"/>
      <c r="KSO4" s="18"/>
      <c r="KSP4" s="18"/>
      <c r="KSQ4" s="18"/>
      <c r="KSR4" s="18"/>
      <c r="KSS4" s="18"/>
      <c r="KST4" s="18"/>
      <c r="KSU4" s="18"/>
      <c r="KSV4" s="18"/>
      <c r="KSW4" s="18"/>
      <c r="KSX4" s="18"/>
      <c r="KSY4" s="18"/>
      <c r="KSZ4" s="18"/>
      <c r="KTA4" s="18"/>
      <c r="KTB4" s="18"/>
      <c r="KTC4" s="18"/>
      <c r="KTD4" s="18"/>
      <c r="KTE4" s="18"/>
      <c r="KTF4" s="18"/>
      <c r="KTG4" s="18"/>
      <c r="KTH4" s="18"/>
      <c r="KTI4" s="18"/>
      <c r="KTJ4" s="18"/>
      <c r="KTK4" s="18"/>
      <c r="KTL4" s="18"/>
      <c r="KTM4" s="18"/>
      <c r="KTN4" s="18"/>
      <c r="KTO4" s="18"/>
      <c r="KTP4" s="18"/>
      <c r="KTQ4" s="18"/>
      <c r="KTR4" s="18"/>
      <c r="KTS4" s="18"/>
      <c r="KTT4" s="18"/>
      <c r="KTU4" s="18"/>
      <c r="KTV4" s="18"/>
      <c r="KTW4" s="18"/>
      <c r="KTX4" s="18"/>
      <c r="KTY4" s="18"/>
      <c r="KTZ4" s="18"/>
      <c r="KUA4" s="18"/>
      <c r="KUB4" s="18"/>
      <c r="KUC4" s="18"/>
      <c r="KUD4" s="18"/>
      <c r="KUE4" s="18"/>
      <c r="KUF4" s="18"/>
      <c r="KUG4" s="18"/>
      <c r="KUH4" s="18"/>
      <c r="KUI4" s="18"/>
      <c r="KUJ4" s="18"/>
      <c r="KUK4" s="18"/>
      <c r="KUL4" s="18"/>
      <c r="KUM4" s="18"/>
      <c r="KUN4" s="18"/>
      <c r="KUO4" s="18"/>
      <c r="KUP4" s="18"/>
      <c r="KUQ4" s="18"/>
      <c r="KUR4" s="18"/>
      <c r="KUS4" s="18"/>
      <c r="KUT4" s="18"/>
      <c r="KUU4" s="18"/>
      <c r="KUV4" s="18"/>
      <c r="KUW4" s="18"/>
      <c r="KUX4" s="18"/>
      <c r="KUY4" s="18"/>
      <c r="KUZ4" s="18"/>
      <c r="KVA4" s="18"/>
      <c r="KVB4" s="18"/>
      <c r="KVC4" s="18"/>
      <c r="KVD4" s="18"/>
      <c r="KVE4" s="18"/>
      <c r="KVF4" s="18"/>
      <c r="KVG4" s="18"/>
      <c r="KVH4" s="18"/>
      <c r="KVI4" s="18"/>
      <c r="KVJ4" s="18"/>
      <c r="KVK4" s="18"/>
      <c r="KVL4" s="18"/>
      <c r="KVM4" s="18"/>
      <c r="KVN4" s="18"/>
      <c r="KVO4" s="18"/>
      <c r="KVP4" s="18"/>
      <c r="KVQ4" s="18"/>
      <c r="KVR4" s="18"/>
      <c r="KVS4" s="18"/>
      <c r="KVT4" s="18"/>
      <c r="KVU4" s="18"/>
      <c r="KVV4" s="18"/>
      <c r="KVW4" s="18"/>
      <c r="KVX4" s="18"/>
      <c r="KVY4" s="18"/>
      <c r="KVZ4" s="18"/>
      <c r="KWA4" s="18"/>
      <c r="KWB4" s="18"/>
      <c r="KWC4" s="18"/>
      <c r="KWD4" s="18"/>
      <c r="KWE4" s="18"/>
      <c r="KWF4" s="18"/>
      <c r="KWG4" s="18"/>
      <c r="KWH4" s="18"/>
      <c r="KWI4" s="18"/>
      <c r="KWJ4" s="18"/>
      <c r="KWK4" s="18"/>
      <c r="KWL4" s="18"/>
      <c r="KWM4" s="18"/>
      <c r="KWN4" s="18"/>
      <c r="KWO4" s="18"/>
      <c r="KWP4" s="18"/>
      <c r="KWQ4" s="18"/>
      <c r="KWR4" s="18"/>
      <c r="KWS4" s="18"/>
      <c r="KWT4" s="18"/>
      <c r="KWU4" s="18"/>
      <c r="KWV4" s="18"/>
      <c r="KWW4" s="18"/>
      <c r="KWX4" s="18"/>
      <c r="KWY4" s="18"/>
      <c r="KWZ4" s="18"/>
      <c r="KXA4" s="18"/>
      <c r="KXB4" s="18"/>
      <c r="KXC4" s="18"/>
      <c r="KXD4" s="18"/>
      <c r="KXE4" s="18"/>
      <c r="KXF4" s="18"/>
      <c r="KXG4" s="18"/>
      <c r="KXH4" s="18"/>
      <c r="KXI4" s="18"/>
      <c r="KXJ4" s="18"/>
      <c r="KXK4" s="18"/>
      <c r="KXL4" s="18"/>
      <c r="KXM4" s="18"/>
      <c r="KXN4" s="18"/>
      <c r="KXO4" s="18"/>
      <c r="KXP4" s="18"/>
      <c r="KXQ4" s="18"/>
      <c r="KXR4" s="18"/>
      <c r="KXS4" s="18"/>
      <c r="KXT4" s="18"/>
      <c r="KXU4" s="18"/>
      <c r="KXV4" s="18"/>
      <c r="KXW4" s="18"/>
      <c r="KXX4" s="18"/>
      <c r="KXY4" s="18"/>
      <c r="KXZ4" s="18"/>
      <c r="KYA4" s="18"/>
      <c r="KYB4" s="18"/>
      <c r="KYC4" s="18"/>
      <c r="KYD4" s="18"/>
      <c r="KYE4" s="18"/>
      <c r="KYF4" s="18"/>
      <c r="KYG4" s="18"/>
      <c r="KYH4" s="18"/>
      <c r="KYI4" s="18"/>
      <c r="KYJ4" s="18"/>
      <c r="KYK4" s="18"/>
      <c r="KYL4" s="18"/>
      <c r="KYM4" s="18"/>
      <c r="KYN4" s="18"/>
      <c r="KYO4" s="18"/>
      <c r="KYP4" s="18"/>
      <c r="KYQ4" s="18"/>
      <c r="KYR4" s="18"/>
      <c r="KYS4" s="18"/>
      <c r="KYT4" s="18"/>
      <c r="KYU4" s="18"/>
      <c r="KYV4" s="18"/>
      <c r="KYW4" s="18"/>
      <c r="KYX4" s="18"/>
      <c r="KYY4" s="18"/>
      <c r="KYZ4" s="18"/>
      <c r="KZA4" s="18"/>
      <c r="KZB4" s="18"/>
      <c r="KZC4" s="18"/>
      <c r="KZD4" s="18"/>
      <c r="KZE4" s="18"/>
      <c r="KZF4" s="18"/>
      <c r="KZG4" s="18"/>
      <c r="KZH4" s="18"/>
      <c r="KZI4" s="18"/>
      <c r="KZJ4" s="18"/>
      <c r="KZK4" s="18"/>
      <c r="KZL4" s="18"/>
      <c r="KZM4" s="18"/>
      <c r="KZN4" s="18"/>
      <c r="KZO4" s="18"/>
      <c r="KZP4" s="18"/>
      <c r="KZQ4" s="18"/>
      <c r="KZR4" s="18"/>
      <c r="KZS4" s="18"/>
      <c r="KZT4" s="18"/>
      <c r="KZU4" s="18"/>
      <c r="KZV4" s="18"/>
      <c r="KZW4" s="18"/>
      <c r="KZX4" s="18"/>
      <c r="KZY4" s="18"/>
      <c r="KZZ4" s="18"/>
      <c r="LAA4" s="18"/>
      <c r="LAB4" s="18"/>
      <c r="LAC4" s="18"/>
      <c r="LAD4" s="18"/>
      <c r="LAE4" s="18"/>
      <c r="LAF4" s="18"/>
      <c r="LAG4" s="18"/>
      <c r="LAH4" s="18"/>
      <c r="LAI4" s="18"/>
      <c r="LAJ4" s="18"/>
      <c r="LAK4" s="18"/>
      <c r="LAL4" s="18"/>
      <c r="LAM4" s="18"/>
      <c r="LAN4" s="18"/>
      <c r="LAO4" s="18"/>
      <c r="LAP4" s="18"/>
      <c r="LAQ4" s="18"/>
      <c r="LAR4" s="18"/>
      <c r="LAS4" s="18"/>
      <c r="LAT4" s="18"/>
      <c r="LAU4" s="18"/>
      <c r="LAV4" s="18"/>
      <c r="LAW4" s="18"/>
      <c r="LAX4" s="18"/>
      <c r="LAY4" s="18"/>
      <c r="LAZ4" s="18"/>
      <c r="LBA4" s="18"/>
      <c r="LBB4" s="18"/>
      <c r="LBC4" s="18"/>
      <c r="LBD4" s="18"/>
      <c r="LBE4" s="18"/>
      <c r="LBF4" s="18"/>
      <c r="LBG4" s="18"/>
      <c r="LBH4" s="18"/>
      <c r="LBI4" s="18"/>
      <c r="LBJ4" s="18"/>
      <c r="LBK4" s="18"/>
      <c r="LBL4" s="18"/>
      <c r="LBM4" s="18"/>
      <c r="LBN4" s="18"/>
      <c r="LBO4" s="18"/>
      <c r="LBP4" s="18"/>
      <c r="LBQ4" s="18"/>
      <c r="LBR4" s="18"/>
      <c r="LBS4" s="18"/>
      <c r="LBT4" s="18"/>
      <c r="LBU4" s="18"/>
      <c r="LBV4" s="18"/>
      <c r="LBW4" s="18"/>
      <c r="LBX4" s="18"/>
      <c r="LBY4" s="18"/>
      <c r="LBZ4" s="18"/>
      <c r="LCA4" s="18"/>
      <c r="LCB4" s="18"/>
      <c r="LCC4" s="18"/>
      <c r="LCD4" s="18"/>
      <c r="LCE4" s="18"/>
      <c r="LCF4" s="18"/>
      <c r="LCG4" s="18"/>
      <c r="LCH4" s="18"/>
      <c r="LCI4" s="18"/>
      <c r="LCJ4" s="18"/>
      <c r="LCK4" s="18"/>
      <c r="LCL4" s="18"/>
      <c r="LCM4" s="18"/>
      <c r="LCN4" s="18"/>
      <c r="LCO4" s="18"/>
      <c r="LCP4" s="18"/>
      <c r="LCQ4" s="18"/>
      <c r="LCR4" s="18"/>
      <c r="LCS4" s="18"/>
      <c r="LCT4" s="18"/>
      <c r="LCU4" s="18"/>
      <c r="LCV4" s="18"/>
      <c r="LCW4" s="18"/>
      <c r="LCX4" s="18"/>
      <c r="LCY4" s="18"/>
      <c r="LCZ4" s="18"/>
      <c r="LDA4" s="18"/>
      <c r="LDB4" s="18"/>
      <c r="LDC4" s="18"/>
      <c r="LDD4" s="18"/>
      <c r="LDE4" s="18"/>
      <c r="LDF4" s="18"/>
      <c r="LDG4" s="18"/>
      <c r="LDH4" s="18"/>
      <c r="LDI4" s="18"/>
      <c r="LDJ4" s="18"/>
      <c r="LDK4" s="18"/>
      <c r="LDL4" s="18"/>
      <c r="LDM4" s="18"/>
      <c r="LDN4" s="18"/>
      <c r="LDO4" s="18"/>
      <c r="LDP4" s="18"/>
      <c r="LDQ4" s="18"/>
      <c r="LDR4" s="18"/>
      <c r="LDS4" s="18"/>
      <c r="LDT4" s="18"/>
      <c r="LDU4" s="18"/>
      <c r="LDV4" s="18"/>
      <c r="LDW4" s="18"/>
      <c r="LDX4" s="18"/>
      <c r="LDY4" s="18"/>
      <c r="LDZ4" s="18"/>
      <c r="LEA4" s="18"/>
      <c r="LEB4" s="18"/>
      <c r="LEC4" s="18"/>
      <c r="LED4" s="18"/>
      <c r="LEE4" s="18"/>
      <c r="LEF4" s="18"/>
      <c r="LEG4" s="18"/>
      <c r="LEH4" s="18"/>
      <c r="LEI4" s="18"/>
      <c r="LEJ4" s="18"/>
      <c r="LEK4" s="18"/>
      <c r="LEL4" s="18"/>
      <c r="LEM4" s="18"/>
      <c r="LEN4" s="18"/>
      <c r="LEO4" s="18"/>
      <c r="LEP4" s="18"/>
      <c r="LEQ4" s="18"/>
      <c r="LER4" s="18"/>
      <c r="LES4" s="18"/>
      <c r="LET4" s="18"/>
      <c r="LEU4" s="18"/>
      <c r="LEV4" s="18"/>
      <c r="LEW4" s="18"/>
      <c r="LEX4" s="18"/>
      <c r="LEY4" s="18"/>
      <c r="LEZ4" s="18"/>
      <c r="LFA4" s="18"/>
      <c r="LFB4" s="18"/>
      <c r="LFC4" s="18"/>
      <c r="LFD4" s="18"/>
      <c r="LFE4" s="18"/>
      <c r="LFF4" s="18"/>
      <c r="LFG4" s="18"/>
      <c r="LFH4" s="18"/>
      <c r="LFI4" s="18"/>
      <c r="LFJ4" s="18"/>
      <c r="LFK4" s="18"/>
      <c r="LFL4" s="18"/>
      <c r="LFM4" s="18"/>
      <c r="LFN4" s="18"/>
      <c r="LFO4" s="18"/>
      <c r="LFP4" s="18"/>
      <c r="LFQ4" s="18"/>
      <c r="LFR4" s="18"/>
      <c r="LFS4" s="18"/>
      <c r="LFT4" s="18"/>
      <c r="LFU4" s="18"/>
      <c r="LFV4" s="18"/>
      <c r="LFW4" s="18"/>
      <c r="LFX4" s="18"/>
      <c r="LFY4" s="18"/>
      <c r="LFZ4" s="18"/>
      <c r="LGA4" s="18"/>
      <c r="LGB4" s="18"/>
      <c r="LGC4" s="18"/>
      <c r="LGD4" s="18"/>
      <c r="LGE4" s="18"/>
      <c r="LGF4" s="18"/>
      <c r="LGG4" s="18"/>
      <c r="LGH4" s="18"/>
      <c r="LGI4" s="18"/>
      <c r="LGJ4" s="18"/>
      <c r="LGK4" s="18"/>
      <c r="LGL4" s="18"/>
      <c r="LGM4" s="18"/>
      <c r="LGN4" s="18"/>
      <c r="LGO4" s="18"/>
      <c r="LGP4" s="18"/>
      <c r="LGQ4" s="18"/>
      <c r="LGR4" s="18"/>
      <c r="LGS4" s="18"/>
      <c r="LGT4" s="18"/>
      <c r="LGU4" s="18"/>
      <c r="LGV4" s="18"/>
      <c r="LGW4" s="18"/>
      <c r="LGX4" s="18"/>
      <c r="LGY4" s="18"/>
      <c r="LGZ4" s="18"/>
      <c r="LHA4" s="18"/>
      <c r="LHB4" s="18"/>
      <c r="LHC4" s="18"/>
      <c r="LHD4" s="18"/>
      <c r="LHE4" s="18"/>
      <c r="LHF4" s="18"/>
      <c r="LHG4" s="18"/>
      <c r="LHH4" s="18"/>
      <c r="LHI4" s="18"/>
      <c r="LHJ4" s="18"/>
      <c r="LHK4" s="18"/>
      <c r="LHL4" s="18"/>
      <c r="LHM4" s="18"/>
      <c r="LHN4" s="18"/>
      <c r="LHO4" s="18"/>
      <c r="LHP4" s="18"/>
      <c r="LHQ4" s="18"/>
      <c r="LHR4" s="18"/>
      <c r="LHS4" s="18"/>
      <c r="LHT4" s="18"/>
      <c r="LHU4" s="18"/>
      <c r="LHV4" s="18"/>
      <c r="LHW4" s="18"/>
      <c r="LHX4" s="18"/>
      <c r="LHY4" s="18"/>
      <c r="LHZ4" s="18"/>
      <c r="LIA4" s="18"/>
      <c r="LIB4" s="18"/>
      <c r="LIC4" s="18"/>
      <c r="LID4" s="18"/>
      <c r="LIE4" s="18"/>
      <c r="LIF4" s="18"/>
      <c r="LIG4" s="18"/>
      <c r="LIH4" s="18"/>
      <c r="LII4" s="18"/>
      <c r="LIJ4" s="18"/>
      <c r="LIK4" s="18"/>
      <c r="LIL4" s="18"/>
      <c r="LIM4" s="18"/>
      <c r="LIN4" s="18"/>
      <c r="LIO4" s="18"/>
      <c r="LIP4" s="18"/>
      <c r="LIQ4" s="18"/>
      <c r="LIR4" s="18"/>
      <c r="LIS4" s="18"/>
      <c r="LIT4" s="18"/>
      <c r="LIU4" s="18"/>
      <c r="LIV4" s="18"/>
      <c r="LIW4" s="18"/>
      <c r="LIX4" s="18"/>
      <c r="LIY4" s="18"/>
      <c r="LIZ4" s="18"/>
      <c r="LJA4" s="18"/>
      <c r="LJB4" s="18"/>
      <c r="LJC4" s="18"/>
      <c r="LJD4" s="18"/>
      <c r="LJE4" s="18"/>
      <c r="LJF4" s="18"/>
      <c r="LJG4" s="18"/>
      <c r="LJH4" s="18"/>
      <c r="LJI4" s="18"/>
      <c r="LJJ4" s="18"/>
      <c r="LJK4" s="18"/>
      <c r="LJL4" s="18"/>
      <c r="LJM4" s="18"/>
      <c r="LJN4" s="18"/>
      <c r="LJO4" s="18"/>
      <c r="LJP4" s="18"/>
      <c r="LJQ4" s="18"/>
      <c r="LJR4" s="18"/>
      <c r="LJS4" s="18"/>
      <c r="LJT4" s="18"/>
      <c r="LJU4" s="18"/>
      <c r="LJV4" s="18"/>
      <c r="LJW4" s="18"/>
      <c r="LJX4" s="18"/>
      <c r="LJY4" s="18"/>
      <c r="LJZ4" s="18"/>
      <c r="LKA4" s="18"/>
      <c r="LKB4" s="18"/>
      <c r="LKC4" s="18"/>
      <c r="LKD4" s="18"/>
      <c r="LKE4" s="18"/>
      <c r="LKF4" s="18"/>
      <c r="LKG4" s="18"/>
      <c r="LKH4" s="18"/>
      <c r="LKI4" s="18"/>
      <c r="LKJ4" s="18"/>
      <c r="LKK4" s="18"/>
      <c r="LKL4" s="18"/>
      <c r="LKM4" s="18"/>
      <c r="LKN4" s="18"/>
      <c r="LKO4" s="18"/>
      <c r="LKP4" s="18"/>
      <c r="LKQ4" s="18"/>
      <c r="LKR4" s="18"/>
      <c r="LKS4" s="18"/>
      <c r="LKT4" s="18"/>
      <c r="LKU4" s="18"/>
      <c r="LKV4" s="18"/>
      <c r="LKW4" s="18"/>
      <c r="LKX4" s="18"/>
      <c r="LKY4" s="18"/>
      <c r="LKZ4" s="18"/>
      <c r="LLA4" s="18"/>
      <c r="LLB4" s="18"/>
      <c r="LLC4" s="18"/>
      <c r="LLD4" s="18"/>
      <c r="LLE4" s="18"/>
      <c r="LLF4" s="18"/>
      <c r="LLG4" s="18"/>
      <c r="LLH4" s="18"/>
      <c r="LLI4" s="18"/>
      <c r="LLJ4" s="18"/>
      <c r="LLK4" s="18"/>
      <c r="LLL4" s="18"/>
      <c r="LLM4" s="18"/>
      <c r="LLN4" s="18"/>
      <c r="LLO4" s="18"/>
      <c r="LLP4" s="18"/>
      <c r="LLQ4" s="18"/>
      <c r="LLR4" s="18"/>
      <c r="LLS4" s="18"/>
      <c r="LLT4" s="18"/>
      <c r="LLU4" s="18"/>
      <c r="LLV4" s="18"/>
      <c r="LLW4" s="18"/>
      <c r="LLX4" s="18"/>
      <c r="LLY4" s="18"/>
      <c r="LLZ4" s="18"/>
      <c r="LMA4" s="18"/>
      <c r="LMB4" s="18"/>
      <c r="LMC4" s="18"/>
      <c r="LMD4" s="18"/>
      <c r="LME4" s="18"/>
      <c r="LMF4" s="18"/>
      <c r="LMG4" s="18"/>
      <c r="LMH4" s="18"/>
      <c r="LMI4" s="18"/>
      <c r="LMJ4" s="18"/>
      <c r="LMK4" s="18"/>
      <c r="LML4" s="18"/>
      <c r="LMM4" s="18"/>
      <c r="LMN4" s="18"/>
      <c r="LMO4" s="18"/>
      <c r="LMP4" s="18"/>
      <c r="LMQ4" s="18"/>
      <c r="LMR4" s="18"/>
      <c r="LMS4" s="18"/>
      <c r="LMT4" s="18"/>
      <c r="LMU4" s="18"/>
      <c r="LMV4" s="18"/>
      <c r="LMW4" s="18"/>
      <c r="LMX4" s="18"/>
      <c r="LMY4" s="18"/>
      <c r="LMZ4" s="18"/>
      <c r="LNA4" s="18"/>
      <c r="LNB4" s="18"/>
      <c r="LNC4" s="18"/>
      <c r="LND4" s="18"/>
      <c r="LNE4" s="18"/>
      <c r="LNF4" s="18"/>
      <c r="LNG4" s="18"/>
      <c r="LNH4" s="18"/>
      <c r="LNI4" s="18"/>
      <c r="LNJ4" s="18"/>
      <c r="LNK4" s="18"/>
      <c r="LNL4" s="18"/>
      <c r="LNM4" s="18"/>
      <c r="LNN4" s="18"/>
      <c r="LNO4" s="18"/>
      <c r="LNP4" s="18"/>
      <c r="LNQ4" s="18"/>
      <c r="LNR4" s="18"/>
      <c r="LNS4" s="18"/>
      <c r="LNT4" s="18"/>
      <c r="LNU4" s="18"/>
      <c r="LNV4" s="18"/>
      <c r="LNW4" s="18"/>
      <c r="LNX4" s="18"/>
      <c r="LNY4" s="18"/>
      <c r="LNZ4" s="18"/>
      <c r="LOA4" s="18"/>
      <c r="LOB4" s="18"/>
      <c r="LOC4" s="18"/>
      <c r="LOD4" s="18"/>
      <c r="LOE4" s="18"/>
      <c r="LOF4" s="18"/>
      <c r="LOG4" s="18"/>
      <c r="LOH4" s="18"/>
      <c r="LOI4" s="18"/>
      <c r="LOJ4" s="18"/>
      <c r="LOK4" s="18"/>
      <c r="LOL4" s="18"/>
      <c r="LOM4" s="18"/>
      <c r="LON4" s="18"/>
      <c r="LOO4" s="18"/>
      <c r="LOP4" s="18"/>
      <c r="LOQ4" s="18"/>
      <c r="LOR4" s="18"/>
      <c r="LOS4" s="18"/>
      <c r="LOT4" s="18"/>
      <c r="LOU4" s="18"/>
      <c r="LOV4" s="18"/>
      <c r="LOW4" s="18"/>
      <c r="LOX4" s="18"/>
      <c r="LOY4" s="18"/>
      <c r="LOZ4" s="18"/>
      <c r="LPA4" s="18"/>
      <c r="LPB4" s="18"/>
      <c r="LPC4" s="18"/>
      <c r="LPD4" s="18"/>
      <c r="LPE4" s="18"/>
      <c r="LPF4" s="18"/>
      <c r="LPG4" s="18"/>
      <c r="LPH4" s="18"/>
      <c r="LPI4" s="18"/>
      <c r="LPJ4" s="18"/>
      <c r="LPK4" s="18"/>
      <c r="LPL4" s="18"/>
      <c r="LPM4" s="18"/>
      <c r="LPN4" s="18"/>
      <c r="LPO4" s="18"/>
      <c r="LPP4" s="18"/>
      <c r="LPQ4" s="18"/>
      <c r="LPR4" s="18"/>
      <c r="LPS4" s="18"/>
      <c r="LPT4" s="18"/>
      <c r="LPU4" s="18"/>
      <c r="LPV4" s="18"/>
      <c r="LPW4" s="18"/>
      <c r="LPX4" s="18"/>
      <c r="LPY4" s="18"/>
      <c r="LPZ4" s="18"/>
      <c r="LQA4" s="18"/>
      <c r="LQB4" s="18"/>
      <c r="LQC4" s="18"/>
      <c r="LQD4" s="18"/>
      <c r="LQE4" s="18"/>
      <c r="LQF4" s="18"/>
      <c r="LQG4" s="18"/>
      <c r="LQH4" s="18"/>
      <c r="LQI4" s="18"/>
      <c r="LQJ4" s="18"/>
      <c r="LQK4" s="18"/>
      <c r="LQL4" s="18"/>
      <c r="LQM4" s="18"/>
      <c r="LQN4" s="18"/>
      <c r="LQO4" s="18"/>
      <c r="LQP4" s="18"/>
      <c r="LQQ4" s="18"/>
      <c r="LQR4" s="18"/>
      <c r="LQS4" s="18"/>
      <c r="LQT4" s="18"/>
      <c r="LQU4" s="18"/>
      <c r="LQV4" s="18"/>
      <c r="LQW4" s="18"/>
      <c r="LQX4" s="18"/>
      <c r="LQY4" s="18"/>
      <c r="LQZ4" s="18"/>
      <c r="LRA4" s="18"/>
      <c r="LRB4" s="18"/>
      <c r="LRC4" s="18"/>
      <c r="LRD4" s="18"/>
      <c r="LRE4" s="18"/>
      <c r="LRF4" s="18"/>
      <c r="LRG4" s="18"/>
      <c r="LRH4" s="18"/>
      <c r="LRI4" s="18"/>
      <c r="LRJ4" s="18"/>
      <c r="LRK4" s="18"/>
      <c r="LRL4" s="18"/>
      <c r="LRM4" s="18"/>
      <c r="LRN4" s="18"/>
      <c r="LRO4" s="18"/>
      <c r="LRP4" s="18"/>
      <c r="LRQ4" s="18"/>
      <c r="LRR4" s="18"/>
      <c r="LRS4" s="18"/>
      <c r="LRT4" s="18"/>
      <c r="LRU4" s="18"/>
      <c r="LRV4" s="18"/>
      <c r="LRW4" s="18"/>
      <c r="LRX4" s="18"/>
      <c r="LRY4" s="18"/>
      <c r="LRZ4" s="18"/>
      <c r="LSA4" s="18"/>
      <c r="LSB4" s="18"/>
      <c r="LSC4" s="18"/>
      <c r="LSD4" s="18"/>
      <c r="LSE4" s="18"/>
      <c r="LSF4" s="18"/>
      <c r="LSG4" s="18"/>
      <c r="LSH4" s="18"/>
      <c r="LSI4" s="18"/>
      <c r="LSJ4" s="18"/>
      <c r="LSK4" s="18"/>
      <c r="LSL4" s="18"/>
      <c r="LSM4" s="18"/>
      <c r="LSN4" s="18"/>
      <c r="LSO4" s="18"/>
      <c r="LSP4" s="18"/>
      <c r="LSQ4" s="18"/>
      <c r="LSR4" s="18"/>
      <c r="LSS4" s="18"/>
      <c r="LST4" s="18"/>
      <c r="LSU4" s="18"/>
      <c r="LSV4" s="18"/>
      <c r="LSW4" s="18"/>
      <c r="LSX4" s="18"/>
      <c r="LSY4" s="18"/>
      <c r="LSZ4" s="18"/>
      <c r="LTA4" s="18"/>
      <c r="LTB4" s="18"/>
      <c r="LTC4" s="18"/>
      <c r="LTD4" s="18"/>
      <c r="LTE4" s="18"/>
      <c r="LTF4" s="18"/>
      <c r="LTG4" s="18"/>
      <c r="LTH4" s="18"/>
      <c r="LTI4" s="18"/>
      <c r="LTJ4" s="18"/>
      <c r="LTK4" s="18"/>
      <c r="LTL4" s="18"/>
      <c r="LTM4" s="18"/>
      <c r="LTN4" s="18"/>
      <c r="LTO4" s="18"/>
      <c r="LTP4" s="18"/>
      <c r="LTQ4" s="18"/>
      <c r="LTR4" s="18"/>
      <c r="LTS4" s="18"/>
      <c r="LTT4" s="18"/>
      <c r="LTU4" s="18"/>
      <c r="LTV4" s="18"/>
      <c r="LTW4" s="18"/>
      <c r="LTX4" s="18"/>
      <c r="LTY4" s="18"/>
      <c r="LTZ4" s="18"/>
      <c r="LUA4" s="18"/>
      <c r="LUB4" s="18"/>
      <c r="LUC4" s="18"/>
      <c r="LUD4" s="18"/>
      <c r="LUE4" s="18"/>
      <c r="LUF4" s="18"/>
      <c r="LUG4" s="18"/>
      <c r="LUH4" s="18"/>
      <c r="LUI4" s="18"/>
      <c r="LUJ4" s="18"/>
      <c r="LUK4" s="18"/>
      <c r="LUL4" s="18"/>
      <c r="LUM4" s="18"/>
      <c r="LUN4" s="18"/>
      <c r="LUO4" s="18"/>
      <c r="LUP4" s="18"/>
      <c r="LUQ4" s="18"/>
      <c r="LUR4" s="18"/>
      <c r="LUS4" s="18"/>
      <c r="LUT4" s="18"/>
      <c r="LUU4" s="18"/>
      <c r="LUV4" s="18"/>
      <c r="LUW4" s="18"/>
      <c r="LUX4" s="18"/>
      <c r="LUY4" s="18"/>
      <c r="LUZ4" s="18"/>
      <c r="LVA4" s="18"/>
      <c r="LVB4" s="18"/>
      <c r="LVC4" s="18"/>
      <c r="LVD4" s="18"/>
      <c r="LVE4" s="18"/>
      <c r="LVF4" s="18"/>
      <c r="LVG4" s="18"/>
      <c r="LVH4" s="18"/>
      <c r="LVI4" s="18"/>
      <c r="LVJ4" s="18"/>
      <c r="LVK4" s="18"/>
      <c r="LVL4" s="18"/>
      <c r="LVM4" s="18"/>
      <c r="LVN4" s="18"/>
      <c r="LVO4" s="18"/>
      <c r="LVP4" s="18"/>
      <c r="LVQ4" s="18"/>
      <c r="LVR4" s="18"/>
      <c r="LVS4" s="18"/>
      <c r="LVT4" s="18"/>
      <c r="LVU4" s="18"/>
      <c r="LVV4" s="18"/>
      <c r="LVW4" s="18"/>
      <c r="LVX4" s="18"/>
      <c r="LVY4" s="18"/>
      <c r="LVZ4" s="18"/>
      <c r="LWA4" s="18"/>
      <c r="LWB4" s="18"/>
      <c r="LWC4" s="18"/>
      <c r="LWD4" s="18"/>
      <c r="LWE4" s="18"/>
      <c r="LWF4" s="18"/>
      <c r="LWG4" s="18"/>
      <c r="LWH4" s="18"/>
      <c r="LWI4" s="18"/>
      <c r="LWJ4" s="18"/>
      <c r="LWK4" s="18"/>
      <c r="LWL4" s="18"/>
      <c r="LWM4" s="18"/>
      <c r="LWN4" s="18"/>
      <c r="LWO4" s="18"/>
      <c r="LWP4" s="18"/>
      <c r="LWQ4" s="18"/>
      <c r="LWR4" s="18"/>
      <c r="LWS4" s="18"/>
      <c r="LWT4" s="18"/>
      <c r="LWU4" s="18"/>
      <c r="LWV4" s="18"/>
      <c r="LWW4" s="18"/>
      <c r="LWX4" s="18"/>
      <c r="LWY4" s="18"/>
      <c r="LWZ4" s="18"/>
      <c r="LXA4" s="18"/>
      <c r="LXB4" s="18"/>
      <c r="LXC4" s="18"/>
      <c r="LXD4" s="18"/>
      <c r="LXE4" s="18"/>
      <c r="LXF4" s="18"/>
      <c r="LXG4" s="18"/>
      <c r="LXH4" s="18"/>
      <c r="LXI4" s="18"/>
      <c r="LXJ4" s="18"/>
      <c r="LXK4" s="18"/>
      <c r="LXL4" s="18"/>
      <c r="LXM4" s="18"/>
      <c r="LXN4" s="18"/>
      <c r="LXO4" s="18"/>
      <c r="LXP4" s="18"/>
      <c r="LXQ4" s="18"/>
      <c r="LXR4" s="18"/>
      <c r="LXS4" s="18"/>
      <c r="LXT4" s="18"/>
      <c r="LXU4" s="18"/>
      <c r="LXV4" s="18"/>
      <c r="LXW4" s="18"/>
      <c r="LXX4" s="18"/>
      <c r="LXY4" s="18"/>
      <c r="LXZ4" s="18"/>
      <c r="LYA4" s="18"/>
      <c r="LYB4" s="18"/>
      <c r="LYC4" s="18"/>
      <c r="LYD4" s="18"/>
      <c r="LYE4" s="18"/>
      <c r="LYF4" s="18"/>
      <c r="LYG4" s="18"/>
      <c r="LYH4" s="18"/>
      <c r="LYI4" s="18"/>
      <c r="LYJ4" s="18"/>
      <c r="LYK4" s="18"/>
      <c r="LYL4" s="18"/>
      <c r="LYM4" s="18"/>
      <c r="LYN4" s="18"/>
      <c r="LYO4" s="18"/>
      <c r="LYP4" s="18"/>
      <c r="LYQ4" s="18"/>
      <c r="LYR4" s="18"/>
      <c r="LYS4" s="18"/>
      <c r="LYT4" s="18"/>
      <c r="LYU4" s="18"/>
      <c r="LYV4" s="18"/>
      <c r="LYW4" s="18"/>
      <c r="LYX4" s="18"/>
      <c r="LYY4" s="18"/>
      <c r="LYZ4" s="18"/>
      <c r="LZA4" s="18"/>
      <c r="LZB4" s="18"/>
      <c r="LZC4" s="18"/>
      <c r="LZD4" s="18"/>
      <c r="LZE4" s="18"/>
      <c r="LZF4" s="18"/>
      <c r="LZG4" s="18"/>
      <c r="LZH4" s="18"/>
      <c r="LZI4" s="18"/>
      <c r="LZJ4" s="18"/>
      <c r="LZK4" s="18"/>
      <c r="LZL4" s="18"/>
      <c r="LZM4" s="18"/>
      <c r="LZN4" s="18"/>
      <c r="LZO4" s="18"/>
      <c r="LZP4" s="18"/>
      <c r="LZQ4" s="18"/>
      <c r="LZR4" s="18"/>
      <c r="LZS4" s="18"/>
      <c r="LZT4" s="18"/>
      <c r="LZU4" s="18"/>
      <c r="LZV4" s="18"/>
      <c r="LZW4" s="18"/>
      <c r="LZX4" s="18"/>
      <c r="LZY4" s="18"/>
      <c r="LZZ4" s="18"/>
      <c r="MAA4" s="18"/>
      <c r="MAB4" s="18"/>
      <c r="MAC4" s="18"/>
      <c r="MAD4" s="18"/>
      <c r="MAE4" s="18"/>
      <c r="MAF4" s="18"/>
      <c r="MAG4" s="18"/>
      <c r="MAH4" s="18"/>
      <c r="MAI4" s="18"/>
      <c r="MAJ4" s="18"/>
      <c r="MAK4" s="18"/>
      <c r="MAL4" s="18"/>
      <c r="MAM4" s="18"/>
      <c r="MAN4" s="18"/>
      <c r="MAO4" s="18"/>
      <c r="MAP4" s="18"/>
      <c r="MAQ4" s="18"/>
      <c r="MAR4" s="18"/>
      <c r="MAS4" s="18"/>
      <c r="MAT4" s="18"/>
      <c r="MAU4" s="18"/>
      <c r="MAV4" s="18"/>
      <c r="MAW4" s="18"/>
      <c r="MAX4" s="18"/>
      <c r="MAY4" s="18"/>
      <c r="MAZ4" s="18"/>
      <c r="MBA4" s="18"/>
      <c r="MBB4" s="18"/>
      <c r="MBC4" s="18"/>
      <c r="MBD4" s="18"/>
      <c r="MBE4" s="18"/>
      <c r="MBF4" s="18"/>
      <c r="MBG4" s="18"/>
      <c r="MBH4" s="18"/>
      <c r="MBI4" s="18"/>
      <c r="MBJ4" s="18"/>
      <c r="MBK4" s="18"/>
      <c r="MBL4" s="18"/>
      <c r="MBM4" s="18"/>
      <c r="MBN4" s="18"/>
      <c r="MBO4" s="18"/>
      <c r="MBP4" s="18"/>
      <c r="MBQ4" s="18"/>
      <c r="MBR4" s="18"/>
      <c r="MBS4" s="18"/>
      <c r="MBT4" s="18"/>
      <c r="MBU4" s="18"/>
      <c r="MBV4" s="18"/>
      <c r="MBW4" s="18"/>
      <c r="MBX4" s="18"/>
      <c r="MBY4" s="18"/>
      <c r="MBZ4" s="18"/>
      <c r="MCA4" s="18"/>
      <c r="MCB4" s="18"/>
      <c r="MCC4" s="18"/>
      <c r="MCD4" s="18"/>
      <c r="MCE4" s="18"/>
      <c r="MCF4" s="18"/>
      <c r="MCG4" s="18"/>
      <c r="MCH4" s="18"/>
      <c r="MCI4" s="18"/>
      <c r="MCJ4" s="18"/>
      <c r="MCK4" s="18"/>
      <c r="MCL4" s="18"/>
      <c r="MCM4" s="18"/>
      <c r="MCN4" s="18"/>
      <c r="MCO4" s="18"/>
      <c r="MCP4" s="18"/>
      <c r="MCQ4" s="18"/>
      <c r="MCR4" s="18"/>
      <c r="MCS4" s="18"/>
      <c r="MCT4" s="18"/>
      <c r="MCU4" s="18"/>
      <c r="MCV4" s="18"/>
      <c r="MCW4" s="18"/>
      <c r="MCX4" s="18"/>
      <c r="MCY4" s="18"/>
      <c r="MCZ4" s="18"/>
      <c r="MDA4" s="18"/>
      <c r="MDB4" s="18"/>
      <c r="MDC4" s="18"/>
      <c r="MDD4" s="18"/>
      <c r="MDE4" s="18"/>
      <c r="MDF4" s="18"/>
      <c r="MDG4" s="18"/>
      <c r="MDH4" s="18"/>
      <c r="MDI4" s="18"/>
      <c r="MDJ4" s="18"/>
      <c r="MDK4" s="18"/>
      <c r="MDL4" s="18"/>
      <c r="MDM4" s="18"/>
      <c r="MDN4" s="18"/>
      <c r="MDO4" s="18"/>
      <c r="MDP4" s="18"/>
      <c r="MDQ4" s="18"/>
      <c r="MDR4" s="18"/>
      <c r="MDS4" s="18"/>
      <c r="MDT4" s="18"/>
      <c r="MDU4" s="18"/>
      <c r="MDV4" s="18"/>
      <c r="MDW4" s="18"/>
      <c r="MDX4" s="18"/>
      <c r="MDY4" s="18"/>
      <c r="MDZ4" s="18"/>
      <c r="MEA4" s="18"/>
      <c r="MEB4" s="18"/>
      <c r="MEC4" s="18"/>
      <c r="MED4" s="18"/>
      <c r="MEE4" s="18"/>
      <c r="MEF4" s="18"/>
      <c r="MEG4" s="18"/>
      <c r="MEH4" s="18"/>
      <c r="MEI4" s="18"/>
      <c r="MEJ4" s="18"/>
      <c r="MEK4" s="18"/>
      <c r="MEL4" s="18"/>
      <c r="MEM4" s="18"/>
      <c r="MEN4" s="18"/>
      <c r="MEO4" s="18"/>
      <c r="MEP4" s="18"/>
      <c r="MEQ4" s="18"/>
      <c r="MER4" s="18"/>
      <c r="MES4" s="18"/>
      <c r="MET4" s="18"/>
      <c r="MEU4" s="18"/>
      <c r="MEV4" s="18"/>
      <c r="MEW4" s="18"/>
      <c r="MEX4" s="18"/>
      <c r="MEY4" s="18"/>
      <c r="MEZ4" s="18"/>
      <c r="MFA4" s="18"/>
      <c r="MFB4" s="18"/>
      <c r="MFC4" s="18"/>
      <c r="MFD4" s="18"/>
      <c r="MFE4" s="18"/>
      <c r="MFF4" s="18"/>
      <c r="MFG4" s="18"/>
      <c r="MFH4" s="18"/>
      <c r="MFI4" s="18"/>
      <c r="MFJ4" s="18"/>
      <c r="MFK4" s="18"/>
      <c r="MFL4" s="18"/>
      <c r="MFM4" s="18"/>
      <c r="MFN4" s="18"/>
      <c r="MFO4" s="18"/>
      <c r="MFP4" s="18"/>
      <c r="MFQ4" s="18"/>
      <c r="MFR4" s="18"/>
      <c r="MFS4" s="18"/>
      <c r="MFT4" s="18"/>
      <c r="MFU4" s="18"/>
      <c r="MFV4" s="18"/>
      <c r="MFW4" s="18"/>
      <c r="MFX4" s="18"/>
      <c r="MFY4" s="18"/>
      <c r="MFZ4" s="18"/>
      <c r="MGA4" s="18"/>
      <c r="MGB4" s="18"/>
      <c r="MGC4" s="18"/>
      <c r="MGD4" s="18"/>
      <c r="MGE4" s="18"/>
      <c r="MGF4" s="18"/>
      <c r="MGG4" s="18"/>
      <c r="MGH4" s="18"/>
      <c r="MGI4" s="18"/>
      <c r="MGJ4" s="18"/>
      <c r="MGK4" s="18"/>
      <c r="MGL4" s="18"/>
      <c r="MGM4" s="18"/>
      <c r="MGN4" s="18"/>
      <c r="MGO4" s="18"/>
      <c r="MGP4" s="18"/>
      <c r="MGQ4" s="18"/>
      <c r="MGR4" s="18"/>
      <c r="MGS4" s="18"/>
      <c r="MGT4" s="18"/>
      <c r="MGU4" s="18"/>
      <c r="MGV4" s="18"/>
      <c r="MGW4" s="18"/>
      <c r="MGX4" s="18"/>
      <c r="MGY4" s="18"/>
      <c r="MGZ4" s="18"/>
      <c r="MHA4" s="18"/>
      <c r="MHB4" s="18"/>
      <c r="MHC4" s="18"/>
      <c r="MHD4" s="18"/>
      <c r="MHE4" s="18"/>
      <c r="MHF4" s="18"/>
      <c r="MHG4" s="18"/>
      <c r="MHH4" s="18"/>
      <c r="MHI4" s="18"/>
      <c r="MHJ4" s="18"/>
      <c r="MHK4" s="18"/>
      <c r="MHL4" s="18"/>
      <c r="MHM4" s="18"/>
      <c r="MHN4" s="18"/>
      <c r="MHO4" s="18"/>
      <c r="MHP4" s="18"/>
      <c r="MHQ4" s="18"/>
      <c r="MHR4" s="18"/>
      <c r="MHS4" s="18"/>
      <c r="MHT4" s="18"/>
      <c r="MHU4" s="18"/>
      <c r="MHV4" s="18"/>
      <c r="MHW4" s="18"/>
      <c r="MHX4" s="18"/>
      <c r="MHY4" s="18"/>
      <c r="MHZ4" s="18"/>
      <c r="MIA4" s="18"/>
      <c r="MIB4" s="18"/>
      <c r="MIC4" s="18"/>
      <c r="MID4" s="18"/>
      <c r="MIE4" s="18"/>
      <c r="MIF4" s="18"/>
      <c r="MIG4" s="18"/>
      <c r="MIH4" s="18"/>
      <c r="MII4" s="18"/>
      <c r="MIJ4" s="18"/>
      <c r="MIK4" s="18"/>
      <c r="MIL4" s="18"/>
      <c r="MIM4" s="18"/>
      <c r="MIN4" s="18"/>
      <c r="MIO4" s="18"/>
      <c r="MIP4" s="18"/>
      <c r="MIQ4" s="18"/>
      <c r="MIR4" s="18"/>
      <c r="MIS4" s="18"/>
      <c r="MIT4" s="18"/>
      <c r="MIU4" s="18"/>
      <c r="MIV4" s="18"/>
      <c r="MIW4" s="18"/>
      <c r="MIX4" s="18"/>
      <c r="MIY4" s="18"/>
      <c r="MIZ4" s="18"/>
      <c r="MJA4" s="18"/>
      <c r="MJB4" s="18"/>
      <c r="MJC4" s="18"/>
      <c r="MJD4" s="18"/>
      <c r="MJE4" s="18"/>
      <c r="MJF4" s="18"/>
      <c r="MJG4" s="18"/>
      <c r="MJH4" s="18"/>
      <c r="MJI4" s="18"/>
      <c r="MJJ4" s="18"/>
      <c r="MJK4" s="18"/>
      <c r="MJL4" s="18"/>
      <c r="MJM4" s="18"/>
      <c r="MJN4" s="18"/>
      <c r="MJO4" s="18"/>
      <c r="MJP4" s="18"/>
      <c r="MJQ4" s="18"/>
      <c r="MJR4" s="18"/>
      <c r="MJS4" s="18"/>
      <c r="MJT4" s="18"/>
      <c r="MJU4" s="18"/>
      <c r="MJV4" s="18"/>
      <c r="MJW4" s="18"/>
      <c r="MJX4" s="18"/>
      <c r="MJY4" s="18"/>
      <c r="MJZ4" s="18"/>
      <c r="MKA4" s="18"/>
      <c r="MKB4" s="18"/>
      <c r="MKC4" s="18"/>
      <c r="MKD4" s="18"/>
      <c r="MKE4" s="18"/>
      <c r="MKF4" s="18"/>
      <c r="MKG4" s="18"/>
      <c r="MKH4" s="18"/>
      <c r="MKI4" s="18"/>
      <c r="MKJ4" s="18"/>
      <c r="MKK4" s="18"/>
      <c r="MKL4" s="18"/>
      <c r="MKM4" s="18"/>
      <c r="MKN4" s="18"/>
      <c r="MKO4" s="18"/>
      <c r="MKP4" s="18"/>
      <c r="MKQ4" s="18"/>
      <c r="MKR4" s="18"/>
      <c r="MKS4" s="18"/>
      <c r="MKT4" s="18"/>
      <c r="MKU4" s="18"/>
      <c r="MKV4" s="18"/>
      <c r="MKW4" s="18"/>
      <c r="MKX4" s="18"/>
      <c r="MKY4" s="18"/>
      <c r="MKZ4" s="18"/>
      <c r="MLA4" s="18"/>
      <c r="MLB4" s="18"/>
      <c r="MLC4" s="18"/>
      <c r="MLD4" s="18"/>
      <c r="MLE4" s="18"/>
      <c r="MLF4" s="18"/>
      <c r="MLG4" s="18"/>
      <c r="MLH4" s="18"/>
      <c r="MLI4" s="18"/>
      <c r="MLJ4" s="18"/>
      <c r="MLK4" s="18"/>
      <c r="MLL4" s="18"/>
      <c r="MLM4" s="18"/>
      <c r="MLN4" s="18"/>
      <c r="MLO4" s="18"/>
      <c r="MLP4" s="18"/>
      <c r="MLQ4" s="18"/>
      <c r="MLR4" s="18"/>
      <c r="MLS4" s="18"/>
      <c r="MLT4" s="18"/>
      <c r="MLU4" s="18"/>
      <c r="MLV4" s="18"/>
      <c r="MLW4" s="18"/>
      <c r="MLX4" s="18"/>
      <c r="MLY4" s="18"/>
      <c r="MLZ4" s="18"/>
      <c r="MMA4" s="18"/>
      <c r="MMB4" s="18"/>
      <c r="MMC4" s="18"/>
      <c r="MMD4" s="18"/>
      <c r="MME4" s="18"/>
      <c r="MMF4" s="18"/>
      <c r="MMG4" s="18"/>
      <c r="MMH4" s="18"/>
      <c r="MMI4" s="18"/>
      <c r="MMJ4" s="18"/>
      <c r="MMK4" s="18"/>
      <c r="MML4" s="18"/>
      <c r="MMM4" s="18"/>
      <c r="MMN4" s="18"/>
      <c r="MMO4" s="18"/>
      <c r="MMP4" s="18"/>
      <c r="MMQ4" s="18"/>
      <c r="MMR4" s="18"/>
      <c r="MMS4" s="18"/>
      <c r="MMT4" s="18"/>
      <c r="MMU4" s="18"/>
      <c r="MMV4" s="18"/>
      <c r="MMW4" s="18"/>
      <c r="MMX4" s="18"/>
      <c r="MMY4" s="18"/>
      <c r="MMZ4" s="18"/>
      <c r="MNA4" s="18"/>
      <c r="MNB4" s="18"/>
      <c r="MNC4" s="18"/>
      <c r="MND4" s="18"/>
      <c r="MNE4" s="18"/>
      <c r="MNF4" s="18"/>
      <c r="MNG4" s="18"/>
      <c r="MNH4" s="18"/>
      <c r="MNI4" s="18"/>
      <c r="MNJ4" s="18"/>
      <c r="MNK4" s="18"/>
      <c r="MNL4" s="18"/>
      <c r="MNM4" s="18"/>
      <c r="MNN4" s="18"/>
      <c r="MNO4" s="18"/>
      <c r="MNP4" s="18"/>
      <c r="MNQ4" s="18"/>
      <c r="MNR4" s="18"/>
      <c r="MNS4" s="18"/>
      <c r="MNT4" s="18"/>
      <c r="MNU4" s="18"/>
      <c r="MNV4" s="18"/>
      <c r="MNW4" s="18"/>
      <c r="MNX4" s="18"/>
      <c r="MNY4" s="18"/>
      <c r="MNZ4" s="18"/>
      <c r="MOA4" s="18"/>
      <c r="MOB4" s="18"/>
      <c r="MOC4" s="18"/>
      <c r="MOD4" s="18"/>
      <c r="MOE4" s="18"/>
      <c r="MOF4" s="18"/>
      <c r="MOG4" s="18"/>
      <c r="MOH4" s="18"/>
      <c r="MOI4" s="18"/>
      <c r="MOJ4" s="18"/>
      <c r="MOK4" s="18"/>
      <c r="MOL4" s="18"/>
      <c r="MOM4" s="18"/>
      <c r="MON4" s="18"/>
      <c r="MOO4" s="18"/>
      <c r="MOP4" s="18"/>
      <c r="MOQ4" s="18"/>
      <c r="MOR4" s="18"/>
      <c r="MOS4" s="18"/>
      <c r="MOT4" s="18"/>
      <c r="MOU4" s="18"/>
      <c r="MOV4" s="18"/>
      <c r="MOW4" s="18"/>
      <c r="MOX4" s="18"/>
      <c r="MOY4" s="18"/>
      <c r="MOZ4" s="18"/>
      <c r="MPA4" s="18"/>
      <c r="MPB4" s="18"/>
      <c r="MPC4" s="18"/>
      <c r="MPD4" s="18"/>
      <c r="MPE4" s="18"/>
      <c r="MPF4" s="18"/>
      <c r="MPG4" s="18"/>
      <c r="MPH4" s="18"/>
      <c r="MPI4" s="18"/>
      <c r="MPJ4" s="18"/>
      <c r="MPK4" s="18"/>
      <c r="MPL4" s="18"/>
      <c r="MPM4" s="18"/>
      <c r="MPN4" s="18"/>
      <c r="MPO4" s="18"/>
      <c r="MPP4" s="18"/>
      <c r="MPQ4" s="18"/>
      <c r="MPR4" s="18"/>
      <c r="MPS4" s="18"/>
      <c r="MPT4" s="18"/>
      <c r="MPU4" s="18"/>
      <c r="MPV4" s="18"/>
      <c r="MPW4" s="18"/>
      <c r="MPX4" s="18"/>
      <c r="MPY4" s="18"/>
      <c r="MPZ4" s="18"/>
      <c r="MQA4" s="18"/>
      <c r="MQB4" s="18"/>
      <c r="MQC4" s="18"/>
      <c r="MQD4" s="18"/>
      <c r="MQE4" s="18"/>
      <c r="MQF4" s="18"/>
      <c r="MQG4" s="18"/>
      <c r="MQH4" s="18"/>
      <c r="MQI4" s="18"/>
      <c r="MQJ4" s="18"/>
      <c r="MQK4" s="18"/>
      <c r="MQL4" s="18"/>
      <c r="MQM4" s="18"/>
      <c r="MQN4" s="18"/>
      <c r="MQO4" s="18"/>
      <c r="MQP4" s="18"/>
      <c r="MQQ4" s="18"/>
      <c r="MQR4" s="18"/>
      <c r="MQS4" s="18"/>
      <c r="MQT4" s="18"/>
      <c r="MQU4" s="18"/>
      <c r="MQV4" s="18"/>
      <c r="MQW4" s="18"/>
      <c r="MQX4" s="18"/>
      <c r="MQY4" s="18"/>
      <c r="MQZ4" s="18"/>
      <c r="MRA4" s="18"/>
      <c r="MRB4" s="18"/>
      <c r="MRC4" s="18"/>
      <c r="MRD4" s="18"/>
      <c r="MRE4" s="18"/>
      <c r="MRF4" s="18"/>
      <c r="MRG4" s="18"/>
      <c r="MRH4" s="18"/>
      <c r="MRI4" s="18"/>
      <c r="MRJ4" s="18"/>
      <c r="MRK4" s="18"/>
      <c r="MRL4" s="18"/>
      <c r="MRM4" s="18"/>
      <c r="MRN4" s="18"/>
      <c r="MRO4" s="18"/>
      <c r="MRP4" s="18"/>
      <c r="MRQ4" s="18"/>
      <c r="MRR4" s="18"/>
      <c r="MRS4" s="18"/>
      <c r="MRT4" s="18"/>
      <c r="MRU4" s="18"/>
      <c r="MRV4" s="18"/>
      <c r="MRW4" s="18"/>
      <c r="MRX4" s="18"/>
      <c r="MRY4" s="18"/>
      <c r="MRZ4" s="18"/>
      <c r="MSA4" s="18"/>
      <c r="MSB4" s="18"/>
      <c r="MSC4" s="18"/>
      <c r="MSD4" s="18"/>
      <c r="MSE4" s="18"/>
      <c r="MSF4" s="18"/>
      <c r="MSG4" s="18"/>
      <c r="MSH4" s="18"/>
      <c r="MSI4" s="18"/>
      <c r="MSJ4" s="18"/>
      <c r="MSK4" s="18"/>
      <c r="MSL4" s="18"/>
      <c r="MSM4" s="18"/>
      <c r="MSN4" s="18"/>
      <c r="MSO4" s="18"/>
      <c r="MSP4" s="18"/>
      <c r="MSQ4" s="18"/>
      <c r="MSR4" s="18"/>
      <c r="MSS4" s="18"/>
      <c r="MST4" s="18"/>
      <c r="MSU4" s="18"/>
      <c r="MSV4" s="18"/>
      <c r="MSW4" s="18"/>
      <c r="MSX4" s="18"/>
      <c r="MSY4" s="18"/>
      <c r="MSZ4" s="18"/>
      <c r="MTA4" s="18"/>
      <c r="MTB4" s="18"/>
      <c r="MTC4" s="18"/>
      <c r="MTD4" s="18"/>
      <c r="MTE4" s="18"/>
      <c r="MTF4" s="18"/>
      <c r="MTG4" s="18"/>
      <c r="MTH4" s="18"/>
      <c r="MTI4" s="18"/>
      <c r="MTJ4" s="18"/>
      <c r="MTK4" s="18"/>
      <c r="MTL4" s="18"/>
      <c r="MTM4" s="18"/>
      <c r="MTN4" s="18"/>
      <c r="MTO4" s="18"/>
      <c r="MTP4" s="18"/>
      <c r="MTQ4" s="18"/>
      <c r="MTR4" s="18"/>
      <c r="MTS4" s="18"/>
      <c r="MTT4" s="18"/>
      <c r="MTU4" s="18"/>
      <c r="MTV4" s="18"/>
      <c r="MTW4" s="18"/>
      <c r="MTX4" s="18"/>
      <c r="MTY4" s="18"/>
      <c r="MTZ4" s="18"/>
      <c r="MUA4" s="18"/>
      <c r="MUB4" s="18"/>
      <c r="MUC4" s="18"/>
      <c r="MUD4" s="18"/>
      <c r="MUE4" s="18"/>
      <c r="MUF4" s="18"/>
      <c r="MUG4" s="18"/>
      <c r="MUH4" s="18"/>
      <c r="MUI4" s="18"/>
      <c r="MUJ4" s="18"/>
      <c r="MUK4" s="18"/>
      <c r="MUL4" s="18"/>
      <c r="MUM4" s="18"/>
      <c r="MUN4" s="18"/>
      <c r="MUO4" s="18"/>
      <c r="MUP4" s="18"/>
      <c r="MUQ4" s="18"/>
      <c r="MUR4" s="18"/>
      <c r="MUS4" s="18"/>
      <c r="MUT4" s="18"/>
      <c r="MUU4" s="18"/>
      <c r="MUV4" s="18"/>
      <c r="MUW4" s="18"/>
      <c r="MUX4" s="18"/>
      <c r="MUY4" s="18"/>
      <c r="MUZ4" s="18"/>
      <c r="MVA4" s="18"/>
      <c r="MVB4" s="18"/>
      <c r="MVC4" s="18"/>
      <c r="MVD4" s="18"/>
      <c r="MVE4" s="18"/>
      <c r="MVF4" s="18"/>
      <c r="MVG4" s="18"/>
      <c r="MVH4" s="18"/>
      <c r="MVI4" s="18"/>
      <c r="MVJ4" s="18"/>
      <c r="MVK4" s="18"/>
      <c r="MVL4" s="18"/>
      <c r="MVM4" s="18"/>
      <c r="MVN4" s="18"/>
      <c r="MVO4" s="18"/>
      <c r="MVP4" s="18"/>
      <c r="MVQ4" s="18"/>
      <c r="MVR4" s="18"/>
      <c r="MVS4" s="18"/>
      <c r="MVT4" s="18"/>
      <c r="MVU4" s="18"/>
      <c r="MVV4" s="18"/>
      <c r="MVW4" s="18"/>
      <c r="MVX4" s="18"/>
      <c r="MVY4" s="18"/>
      <c r="MVZ4" s="18"/>
      <c r="MWA4" s="18"/>
      <c r="MWB4" s="18"/>
      <c r="MWC4" s="18"/>
      <c r="MWD4" s="18"/>
      <c r="MWE4" s="18"/>
      <c r="MWF4" s="18"/>
      <c r="MWG4" s="18"/>
      <c r="MWH4" s="18"/>
      <c r="MWI4" s="18"/>
      <c r="MWJ4" s="18"/>
      <c r="MWK4" s="18"/>
      <c r="MWL4" s="18"/>
      <c r="MWM4" s="18"/>
      <c r="MWN4" s="18"/>
      <c r="MWO4" s="18"/>
      <c r="MWP4" s="18"/>
      <c r="MWQ4" s="18"/>
      <c r="MWR4" s="18"/>
      <c r="MWS4" s="18"/>
      <c r="MWT4" s="18"/>
      <c r="MWU4" s="18"/>
      <c r="MWV4" s="18"/>
      <c r="MWW4" s="18"/>
      <c r="MWX4" s="18"/>
      <c r="MWY4" s="18"/>
      <c r="MWZ4" s="18"/>
      <c r="MXA4" s="18"/>
      <c r="MXB4" s="18"/>
      <c r="MXC4" s="18"/>
      <c r="MXD4" s="18"/>
      <c r="MXE4" s="18"/>
      <c r="MXF4" s="18"/>
      <c r="MXG4" s="18"/>
      <c r="MXH4" s="18"/>
      <c r="MXI4" s="18"/>
      <c r="MXJ4" s="18"/>
      <c r="MXK4" s="18"/>
      <c r="MXL4" s="18"/>
      <c r="MXM4" s="18"/>
      <c r="MXN4" s="18"/>
      <c r="MXO4" s="18"/>
      <c r="MXP4" s="18"/>
      <c r="MXQ4" s="18"/>
      <c r="MXR4" s="18"/>
      <c r="MXS4" s="18"/>
      <c r="MXT4" s="18"/>
      <c r="MXU4" s="18"/>
      <c r="MXV4" s="18"/>
      <c r="MXW4" s="18"/>
      <c r="MXX4" s="18"/>
      <c r="MXY4" s="18"/>
      <c r="MXZ4" s="18"/>
      <c r="MYA4" s="18"/>
      <c r="MYB4" s="18"/>
      <c r="MYC4" s="18"/>
      <c r="MYD4" s="18"/>
      <c r="MYE4" s="18"/>
      <c r="MYF4" s="18"/>
      <c r="MYG4" s="18"/>
      <c r="MYH4" s="18"/>
      <c r="MYI4" s="18"/>
      <c r="MYJ4" s="18"/>
      <c r="MYK4" s="18"/>
      <c r="MYL4" s="18"/>
      <c r="MYM4" s="18"/>
      <c r="MYN4" s="18"/>
      <c r="MYO4" s="18"/>
      <c r="MYP4" s="18"/>
      <c r="MYQ4" s="18"/>
      <c r="MYR4" s="18"/>
      <c r="MYS4" s="18"/>
      <c r="MYT4" s="18"/>
      <c r="MYU4" s="18"/>
      <c r="MYV4" s="18"/>
      <c r="MYW4" s="18"/>
      <c r="MYX4" s="18"/>
      <c r="MYY4" s="18"/>
      <c r="MYZ4" s="18"/>
      <c r="MZA4" s="18"/>
      <c r="MZB4" s="18"/>
      <c r="MZC4" s="18"/>
      <c r="MZD4" s="18"/>
      <c r="MZE4" s="18"/>
      <c r="MZF4" s="18"/>
      <c r="MZG4" s="18"/>
      <c r="MZH4" s="18"/>
      <c r="MZI4" s="18"/>
      <c r="MZJ4" s="18"/>
      <c r="MZK4" s="18"/>
      <c r="MZL4" s="18"/>
      <c r="MZM4" s="18"/>
      <c r="MZN4" s="18"/>
      <c r="MZO4" s="18"/>
      <c r="MZP4" s="18"/>
      <c r="MZQ4" s="18"/>
      <c r="MZR4" s="18"/>
      <c r="MZS4" s="18"/>
      <c r="MZT4" s="18"/>
      <c r="MZU4" s="18"/>
      <c r="MZV4" s="18"/>
      <c r="MZW4" s="18"/>
      <c r="MZX4" s="18"/>
      <c r="MZY4" s="18"/>
      <c r="MZZ4" s="18"/>
      <c r="NAA4" s="18"/>
      <c r="NAB4" s="18"/>
      <c r="NAC4" s="18"/>
      <c r="NAD4" s="18"/>
      <c r="NAE4" s="18"/>
      <c r="NAF4" s="18"/>
      <c r="NAG4" s="18"/>
      <c r="NAH4" s="18"/>
      <c r="NAI4" s="18"/>
      <c r="NAJ4" s="18"/>
      <c r="NAK4" s="18"/>
      <c r="NAL4" s="18"/>
      <c r="NAM4" s="18"/>
      <c r="NAN4" s="18"/>
      <c r="NAO4" s="18"/>
      <c r="NAP4" s="18"/>
      <c r="NAQ4" s="18"/>
      <c r="NAR4" s="18"/>
      <c r="NAS4" s="18"/>
      <c r="NAT4" s="18"/>
      <c r="NAU4" s="18"/>
      <c r="NAV4" s="18"/>
      <c r="NAW4" s="18"/>
      <c r="NAX4" s="18"/>
      <c r="NAY4" s="18"/>
      <c r="NAZ4" s="18"/>
      <c r="NBA4" s="18"/>
      <c r="NBB4" s="18"/>
      <c r="NBC4" s="18"/>
      <c r="NBD4" s="18"/>
      <c r="NBE4" s="18"/>
      <c r="NBF4" s="18"/>
      <c r="NBG4" s="18"/>
      <c r="NBH4" s="18"/>
      <c r="NBI4" s="18"/>
      <c r="NBJ4" s="18"/>
      <c r="NBK4" s="18"/>
      <c r="NBL4" s="18"/>
      <c r="NBM4" s="18"/>
      <c r="NBN4" s="18"/>
      <c r="NBO4" s="18"/>
      <c r="NBP4" s="18"/>
      <c r="NBQ4" s="18"/>
      <c r="NBR4" s="18"/>
      <c r="NBS4" s="18"/>
      <c r="NBT4" s="18"/>
      <c r="NBU4" s="18"/>
      <c r="NBV4" s="18"/>
      <c r="NBW4" s="18"/>
      <c r="NBX4" s="18"/>
      <c r="NBY4" s="18"/>
      <c r="NBZ4" s="18"/>
      <c r="NCA4" s="18"/>
      <c r="NCB4" s="18"/>
      <c r="NCC4" s="18"/>
      <c r="NCD4" s="18"/>
      <c r="NCE4" s="18"/>
      <c r="NCF4" s="18"/>
      <c r="NCG4" s="18"/>
      <c r="NCH4" s="18"/>
      <c r="NCI4" s="18"/>
      <c r="NCJ4" s="18"/>
      <c r="NCK4" s="18"/>
      <c r="NCL4" s="18"/>
      <c r="NCM4" s="18"/>
      <c r="NCN4" s="18"/>
      <c r="NCO4" s="18"/>
      <c r="NCP4" s="18"/>
      <c r="NCQ4" s="18"/>
      <c r="NCR4" s="18"/>
      <c r="NCS4" s="18"/>
      <c r="NCT4" s="18"/>
      <c r="NCU4" s="18"/>
      <c r="NCV4" s="18"/>
      <c r="NCW4" s="18"/>
      <c r="NCX4" s="18"/>
      <c r="NCY4" s="18"/>
      <c r="NCZ4" s="18"/>
      <c r="NDA4" s="18"/>
      <c r="NDB4" s="18"/>
      <c r="NDC4" s="18"/>
      <c r="NDD4" s="18"/>
      <c r="NDE4" s="18"/>
      <c r="NDF4" s="18"/>
      <c r="NDG4" s="18"/>
      <c r="NDH4" s="18"/>
      <c r="NDI4" s="18"/>
      <c r="NDJ4" s="18"/>
      <c r="NDK4" s="18"/>
      <c r="NDL4" s="18"/>
      <c r="NDM4" s="18"/>
      <c r="NDN4" s="18"/>
      <c r="NDO4" s="18"/>
      <c r="NDP4" s="18"/>
      <c r="NDQ4" s="18"/>
      <c r="NDR4" s="18"/>
      <c r="NDS4" s="18"/>
      <c r="NDT4" s="18"/>
      <c r="NDU4" s="18"/>
      <c r="NDV4" s="18"/>
      <c r="NDW4" s="18"/>
      <c r="NDX4" s="18"/>
      <c r="NDY4" s="18"/>
      <c r="NDZ4" s="18"/>
      <c r="NEA4" s="18"/>
      <c r="NEB4" s="18"/>
      <c r="NEC4" s="18"/>
      <c r="NED4" s="18"/>
      <c r="NEE4" s="18"/>
      <c r="NEF4" s="18"/>
      <c r="NEG4" s="18"/>
      <c r="NEH4" s="18"/>
      <c r="NEI4" s="18"/>
      <c r="NEJ4" s="18"/>
      <c r="NEK4" s="18"/>
      <c r="NEL4" s="18"/>
      <c r="NEM4" s="18"/>
      <c r="NEN4" s="18"/>
      <c r="NEO4" s="18"/>
      <c r="NEP4" s="18"/>
      <c r="NEQ4" s="18"/>
      <c r="NER4" s="18"/>
      <c r="NES4" s="18"/>
      <c r="NET4" s="18"/>
      <c r="NEU4" s="18"/>
      <c r="NEV4" s="18"/>
      <c r="NEW4" s="18"/>
      <c r="NEX4" s="18"/>
      <c r="NEY4" s="18"/>
      <c r="NEZ4" s="18"/>
      <c r="NFA4" s="18"/>
      <c r="NFB4" s="18"/>
      <c r="NFC4" s="18"/>
      <c r="NFD4" s="18"/>
      <c r="NFE4" s="18"/>
      <c r="NFF4" s="18"/>
      <c r="NFG4" s="18"/>
      <c r="NFH4" s="18"/>
      <c r="NFI4" s="18"/>
      <c r="NFJ4" s="18"/>
      <c r="NFK4" s="18"/>
      <c r="NFL4" s="18"/>
      <c r="NFM4" s="18"/>
      <c r="NFN4" s="18"/>
      <c r="NFO4" s="18"/>
      <c r="NFP4" s="18"/>
      <c r="NFQ4" s="18"/>
      <c r="NFR4" s="18"/>
      <c r="NFS4" s="18"/>
      <c r="NFT4" s="18"/>
      <c r="NFU4" s="18"/>
      <c r="NFV4" s="18"/>
      <c r="NFW4" s="18"/>
      <c r="NFX4" s="18"/>
      <c r="NFY4" s="18"/>
      <c r="NFZ4" s="18"/>
      <c r="NGA4" s="18"/>
      <c r="NGB4" s="18"/>
      <c r="NGC4" s="18"/>
      <c r="NGD4" s="18"/>
      <c r="NGE4" s="18"/>
      <c r="NGF4" s="18"/>
      <c r="NGG4" s="18"/>
      <c r="NGH4" s="18"/>
      <c r="NGI4" s="18"/>
      <c r="NGJ4" s="18"/>
      <c r="NGK4" s="18"/>
      <c r="NGL4" s="18"/>
      <c r="NGM4" s="18"/>
      <c r="NGN4" s="18"/>
      <c r="NGO4" s="18"/>
      <c r="NGP4" s="18"/>
      <c r="NGQ4" s="18"/>
      <c r="NGR4" s="18"/>
      <c r="NGS4" s="18"/>
      <c r="NGT4" s="18"/>
      <c r="NGU4" s="18"/>
      <c r="NGV4" s="18"/>
      <c r="NGW4" s="18"/>
      <c r="NGX4" s="18"/>
      <c r="NGY4" s="18"/>
      <c r="NGZ4" s="18"/>
      <c r="NHA4" s="18"/>
      <c r="NHB4" s="18"/>
      <c r="NHC4" s="18"/>
      <c r="NHD4" s="18"/>
      <c r="NHE4" s="18"/>
      <c r="NHF4" s="18"/>
      <c r="NHG4" s="18"/>
      <c r="NHH4" s="18"/>
      <c r="NHI4" s="18"/>
      <c r="NHJ4" s="18"/>
      <c r="NHK4" s="18"/>
      <c r="NHL4" s="18"/>
      <c r="NHM4" s="18"/>
      <c r="NHN4" s="18"/>
      <c r="NHO4" s="18"/>
      <c r="NHP4" s="18"/>
      <c r="NHQ4" s="18"/>
      <c r="NHR4" s="18"/>
      <c r="NHS4" s="18"/>
      <c r="NHT4" s="18"/>
      <c r="NHU4" s="18"/>
      <c r="NHV4" s="18"/>
      <c r="NHW4" s="18"/>
      <c r="NHX4" s="18"/>
      <c r="NHY4" s="18"/>
      <c r="NHZ4" s="18"/>
      <c r="NIA4" s="18"/>
      <c r="NIB4" s="18"/>
      <c r="NIC4" s="18"/>
      <c r="NID4" s="18"/>
      <c r="NIE4" s="18"/>
      <c r="NIF4" s="18"/>
      <c r="NIG4" s="18"/>
      <c r="NIH4" s="18"/>
      <c r="NII4" s="18"/>
      <c r="NIJ4" s="18"/>
      <c r="NIK4" s="18"/>
      <c r="NIL4" s="18"/>
      <c r="NIM4" s="18"/>
      <c r="NIN4" s="18"/>
      <c r="NIO4" s="18"/>
      <c r="NIP4" s="18"/>
      <c r="NIQ4" s="18"/>
      <c r="NIR4" s="18"/>
      <c r="NIS4" s="18"/>
      <c r="NIT4" s="18"/>
      <c r="NIU4" s="18"/>
      <c r="NIV4" s="18"/>
      <c r="NIW4" s="18"/>
      <c r="NIX4" s="18"/>
      <c r="NIY4" s="18"/>
      <c r="NIZ4" s="18"/>
      <c r="NJA4" s="18"/>
      <c r="NJB4" s="18"/>
      <c r="NJC4" s="18"/>
      <c r="NJD4" s="18"/>
      <c r="NJE4" s="18"/>
      <c r="NJF4" s="18"/>
      <c r="NJG4" s="18"/>
      <c r="NJH4" s="18"/>
      <c r="NJI4" s="18"/>
      <c r="NJJ4" s="18"/>
      <c r="NJK4" s="18"/>
      <c r="NJL4" s="18"/>
      <c r="NJM4" s="18"/>
      <c r="NJN4" s="18"/>
      <c r="NJO4" s="18"/>
      <c r="NJP4" s="18"/>
      <c r="NJQ4" s="18"/>
      <c r="NJR4" s="18"/>
      <c r="NJS4" s="18"/>
      <c r="NJT4" s="18"/>
      <c r="NJU4" s="18"/>
      <c r="NJV4" s="18"/>
      <c r="NJW4" s="18"/>
      <c r="NJX4" s="18"/>
      <c r="NJY4" s="18"/>
      <c r="NJZ4" s="18"/>
      <c r="NKA4" s="18"/>
      <c r="NKB4" s="18"/>
      <c r="NKC4" s="18"/>
      <c r="NKD4" s="18"/>
      <c r="NKE4" s="18"/>
      <c r="NKF4" s="18"/>
      <c r="NKG4" s="18"/>
      <c r="NKH4" s="18"/>
      <c r="NKI4" s="18"/>
      <c r="NKJ4" s="18"/>
      <c r="NKK4" s="18"/>
      <c r="NKL4" s="18"/>
      <c r="NKM4" s="18"/>
      <c r="NKN4" s="18"/>
      <c r="NKO4" s="18"/>
      <c r="NKP4" s="18"/>
      <c r="NKQ4" s="18"/>
      <c r="NKR4" s="18"/>
      <c r="NKS4" s="18"/>
      <c r="NKT4" s="18"/>
      <c r="NKU4" s="18"/>
      <c r="NKV4" s="18"/>
      <c r="NKW4" s="18"/>
      <c r="NKX4" s="18"/>
      <c r="NKY4" s="18"/>
      <c r="NKZ4" s="18"/>
      <c r="NLA4" s="18"/>
      <c r="NLB4" s="18"/>
      <c r="NLC4" s="18"/>
      <c r="NLD4" s="18"/>
      <c r="NLE4" s="18"/>
      <c r="NLF4" s="18"/>
      <c r="NLG4" s="18"/>
      <c r="NLH4" s="18"/>
      <c r="NLI4" s="18"/>
      <c r="NLJ4" s="18"/>
      <c r="NLK4" s="18"/>
      <c r="NLL4" s="18"/>
      <c r="NLM4" s="18"/>
      <c r="NLN4" s="18"/>
      <c r="NLO4" s="18"/>
      <c r="NLP4" s="18"/>
      <c r="NLQ4" s="18"/>
      <c r="NLR4" s="18"/>
      <c r="NLS4" s="18"/>
      <c r="NLT4" s="18"/>
      <c r="NLU4" s="18"/>
      <c r="NLV4" s="18"/>
      <c r="NLW4" s="18"/>
      <c r="NLX4" s="18"/>
      <c r="NLY4" s="18"/>
      <c r="NLZ4" s="18"/>
      <c r="NMA4" s="18"/>
      <c r="NMB4" s="18"/>
      <c r="NMC4" s="18"/>
      <c r="NMD4" s="18"/>
      <c r="NME4" s="18"/>
      <c r="NMF4" s="18"/>
      <c r="NMG4" s="18"/>
      <c r="NMH4" s="18"/>
      <c r="NMI4" s="18"/>
      <c r="NMJ4" s="18"/>
      <c r="NMK4" s="18"/>
      <c r="NML4" s="18"/>
      <c r="NMM4" s="18"/>
      <c r="NMN4" s="18"/>
      <c r="NMO4" s="18"/>
      <c r="NMP4" s="18"/>
      <c r="NMQ4" s="18"/>
      <c r="NMR4" s="18"/>
      <c r="NMS4" s="18"/>
      <c r="NMT4" s="18"/>
      <c r="NMU4" s="18"/>
      <c r="NMV4" s="18"/>
      <c r="NMW4" s="18"/>
      <c r="NMX4" s="18"/>
      <c r="NMY4" s="18"/>
      <c r="NMZ4" s="18"/>
      <c r="NNA4" s="18"/>
      <c r="NNB4" s="18"/>
      <c r="NNC4" s="18"/>
      <c r="NND4" s="18"/>
      <c r="NNE4" s="18"/>
      <c r="NNF4" s="18"/>
      <c r="NNG4" s="18"/>
      <c r="NNH4" s="18"/>
      <c r="NNI4" s="18"/>
      <c r="NNJ4" s="18"/>
      <c r="NNK4" s="18"/>
      <c r="NNL4" s="18"/>
      <c r="NNM4" s="18"/>
      <c r="NNN4" s="18"/>
      <c r="NNO4" s="18"/>
      <c r="NNP4" s="18"/>
      <c r="NNQ4" s="18"/>
      <c r="NNR4" s="18"/>
      <c r="NNS4" s="18"/>
      <c r="NNT4" s="18"/>
      <c r="NNU4" s="18"/>
      <c r="NNV4" s="18"/>
      <c r="NNW4" s="18"/>
      <c r="NNX4" s="18"/>
      <c r="NNY4" s="18"/>
      <c r="NNZ4" s="18"/>
      <c r="NOA4" s="18"/>
      <c r="NOB4" s="18"/>
      <c r="NOC4" s="18"/>
      <c r="NOD4" s="18"/>
      <c r="NOE4" s="18"/>
      <c r="NOF4" s="18"/>
      <c r="NOG4" s="18"/>
      <c r="NOH4" s="18"/>
      <c r="NOI4" s="18"/>
      <c r="NOJ4" s="18"/>
      <c r="NOK4" s="18"/>
      <c r="NOL4" s="18"/>
      <c r="NOM4" s="18"/>
      <c r="NON4" s="18"/>
      <c r="NOO4" s="18"/>
      <c r="NOP4" s="18"/>
      <c r="NOQ4" s="18"/>
      <c r="NOR4" s="18"/>
      <c r="NOS4" s="18"/>
      <c r="NOT4" s="18"/>
      <c r="NOU4" s="18"/>
      <c r="NOV4" s="18"/>
      <c r="NOW4" s="18"/>
      <c r="NOX4" s="18"/>
      <c r="NOY4" s="18"/>
      <c r="NOZ4" s="18"/>
      <c r="NPA4" s="18"/>
      <c r="NPB4" s="18"/>
      <c r="NPC4" s="18"/>
      <c r="NPD4" s="18"/>
      <c r="NPE4" s="18"/>
      <c r="NPF4" s="18"/>
      <c r="NPG4" s="18"/>
      <c r="NPH4" s="18"/>
      <c r="NPI4" s="18"/>
      <c r="NPJ4" s="18"/>
      <c r="NPK4" s="18"/>
      <c r="NPL4" s="18"/>
      <c r="NPM4" s="18"/>
      <c r="NPN4" s="18"/>
      <c r="NPO4" s="18"/>
      <c r="NPP4" s="18"/>
      <c r="NPQ4" s="18"/>
      <c r="NPR4" s="18"/>
      <c r="NPS4" s="18"/>
      <c r="NPT4" s="18"/>
      <c r="NPU4" s="18"/>
      <c r="NPV4" s="18"/>
      <c r="NPW4" s="18"/>
      <c r="NPX4" s="18"/>
      <c r="NPY4" s="18"/>
      <c r="NPZ4" s="18"/>
      <c r="NQA4" s="18"/>
      <c r="NQB4" s="18"/>
      <c r="NQC4" s="18"/>
      <c r="NQD4" s="18"/>
      <c r="NQE4" s="18"/>
      <c r="NQF4" s="18"/>
      <c r="NQG4" s="18"/>
      <c r="NQH4" s="18"/>
      <c r="NQI4" s="18"/>
      <c r="NQJ4" s="18"/>
      <c r="NQK4" s="18"/>
      <c r="NQL4" s="18"/>
      <c r="NQM4" s="18"/>
      <c r="NQN4" s="18"/>
      <c r="NQO4" s="18"/>
      <c r="NQP4" s="18"/>
      <c r="NQQ4" s="18"/>
      <c r="NQR4" s="18"/>
      <c r="NQS4" s="18"/>
      <c r="NQT4" s="18"/>
      <c r="NQU4" s="18"/>
      <c r="NQV4" s="18"/>
      <c r="NQW4" s="18"/>
      <c r="NQX4" s="18"/>
      <c r="NQY4" s="18"/>
      <c r="NQZ4" s="18"/>
      <c r="NRA4" s="18"/>
      <c r="NRB4" s="18"/>
      <c r="NRC4" s="18"/>
      <c r="NRD4" s="18"/>
      <c r="NRE4" s="18"/>
      <c r="NRF4" s="18"/>
      <c r="NRG4" s="18"/>
      <c r="NRH4" s="18"/>
      <c r="NRI4" s="18"/>
      <c r="NRJ4" s="18"/>
      <c r="NRK4" s="18"/>
      <c r="NRL4" s="18"/>
      <c r="NRM4" s="18"/>
      <c r="NRN4" s="18"/>
      <c r="NRO4" s="18"/>
      <c r="NRP4" s="18"/>
      <c r="NRQ4" s="18"/>
      <c r="NRR4" s="18"/>
      <c r="NRS4" s="18"/>
      <c r="NRT4" s="18"/>
      <c r="NRU4" s="18"/>
      <c r="NRV4" s="18"/>
      <c r="NRW4" s="18"/>
      <c r="NRX4" s="18"/>
      <c r="NRY4" s="18"/>
      <c r="NRZ4" s="18"/>
      <c r="NSA4" s="18"/>
      <c r="NSB4" s="18"/>
      <c r="NSC4" s="18"/>
      <c r="NSD4" s="18"/>
      <c r="NSE4" s="18"/>
      <c r="NSF4" s="18"/>
      <c r="NSG4" s="18"/>
      <c r="NSH4" s="18"/>
      <c r="NSI4" s="18"/>
      <c r="NSJ4" s="18"/>
      <c r="NSK4" s="18"/>
      <c r="NSL4" s="18"/>
      <c r="NSM4" s="18"/>
      <c r="NSN4" s="18"/>
      <c r="NSO4" s="18"/>
      <c r="NSP4" s="18"/>
      <c r="NSQ4" s="18"/>
      <c r="NSR4" s="18"/>
      <c r="NSS4" s="18"/>
      <c r="NST4" s="18"/>
      <c r="NSU4" s="18"/>
      <c r="NSV4" s="18"/>
      <c r="NSW4" s="18"/>
      <c r="NSX4" s="18"/>
      <c r="NSY4" s="18"/>
      <c r="NSZ4" s="18"/>
      <c r="NTA4" s="18"/>
      <c r="NTB4" s="18"/>
      <c r="NTC4" s="18"/>
      <c r="NTD4" s="18"/>
      <c r="NTE4" s="18"/>
      <c r="NTF4" s="18"/>
      <c r="NTG4" s="18"/>
      <c r="NTH4" s="18"/>
      <c r="NTI4" s="18"/>
      <c r="NTJ4" s="18"/>
      <c r="NTK4" s="18"/>
      <c r="NTL4" s="18"/>
      <c r="NTM4" s="18"/>
      <c r="NTN4" s="18"/>
      <c r="NTO4" s="18"/>
      <c r="NTP4" s="18"/>
      <c r="NTQ4" s="18"/>
      <c r="NTR4" s="18"/>
      <c r="NTS4" s="18"/>
      <c r="NTT4" s="18"/>
      <c r="NTU4" s="18"/>
      <c r="NTV4" s="18"/>
      <c r="NTW4" s="18"/>
      <c r="NTX4" s="18"/>
      <c r="NTY4" s="18"/>
      <c r="NTZ4" s="18"/>
      <c r="NUA4" s="18"/>
      <c r="NUB4" s="18"/>
      <c r="NUC4" s="18"/>
      <c r="NUD4" s="18"/>
      <c r="NUE4" s="18"/>
      <c r="NUF4" s="18"/>
      <c r="NUG4" s="18"/>
      <c r="NUH4" s="18"/>
      <c r="NUI4" s="18"/>
      <c r="NUJ4" s="18"/>
      <c r="NUK4" s="18"/>
      <c r="NUL4" s="18"/>
      <c r="NUM4" s="18"/>
      <c r="NUN4" s="18"/>
      <c r="NUO4" s="18"/>
      <c r="NUP4" s="18"/>
      <c r="NUQ4" s="18"/>
      <c r="NUR4" s="18"/>
      <c r="NUS4" s="18"/>
      <c r="NUT4" s="18"/>
      <c r="NUU4" s="18"/>
      <c r="NUV4" s="18"/>
      <c r="NUW4" s="18"/>
      <c r="NUX4" s="18"/>
      <c r="NUY4" s="18"/>
      <c r="NUZ4" s="18"/>
      <c r="NVA4" s="18"/>
      <c r="NVB4" s="18"/>
      <c r="NVC4" s="18"/>
      <c r="NVD4" s="18"/>
      <c r="NVE4" s="18"/>
      <c r="NVF4" s="18"/>
      <c r="NVG4" s="18"/>
      <c r="NVH4" s="18"/>
      <c r="NVI4" s="18"/>
      <c r="NVJ4" s="18"/>
      <c r="NVK4" s="18"/>
      <c r="NVL4" s="18"/>
      <c r="NVM4" s="18"/>
      <c r="NVN4" s="18"/>
      <c r="NVO4" s="18"/>
      <c r="NVP4" s="18"/>
      <c r="NVQ4" s="18"/>
      <c r="NVR4" s="18"/>
      <c r="NVS4" s="18"/>
      <c r="NVT4" s="18"/>
      <c r="NVU4" s="18"/>
      <c r="NVV4" s="18"/>
      <c r="NVW4" s="18"/>
      <c r="NVX4" s="18"/>
      <c r="NVY4" s="18"/>
      <c r="NVZ4" s="18"/>
      <c r="NWA4" s="18"/>
      <c r="NWB4" s="18"/>
      <c r="NWC4" s="18"/>
      <c r="NWD4" s="18"/>
      <c r="NWE4" s="18"/>
      <c r="NWF4" s="18"/>
      <c r="NWG4" s="18"/>
      <c r="NWH4" s="18"/>
      <c r="NWI4" s="18"/>
      <c r="NWJ4" s="18"/>
      <c r="NWK4" s="18"/>
      <c r="NWL4" s="18"/>
      <c r="NWM4" s="18"/>
      <c r="NWN4" s="18"/>
      <c r="NWO4" s="18"/>
      <c r="NWP4" s="18"/>
      <c r="NWQ4" s="18"/>
      <c r="NWR4" s="18"/>
      <c r="NWS4" s="18"/>
      <c r="NWT4" s="18"/>
      <c r="NWU4" s="18"/>
      <c r="NWV4" s="18"/>
      <c r="NWW4" s="18"/>
      <c r="NWX4" s="18"/>
      <c r="NWY4" s="18"/>
      <c r="NWZ4" s="18"/>
      <c r="NXA4" s="18"/>
      <c r="NXB4" s="18"/>
      <c r="NXC4" s="18"/>
      <c r="NXD4" s="18"/>
      <c r="NXE4" s="18"/>
      <c r="NXF4" s="18"/>
      <c r="NXG4" s="18"/>
      <c r="NXH4" s="18"/>
      <c r="NXI4" s="18"/>
      <c r="NXJ4" s="18"/>
      <c r="NXK4" s="18"/>
      <c r="NXL4" s="18"/>
      <c r="NXM4" s="18"/>
      <c r="NXN4" s="18"/>
      <c r="NXO4" s="18"/>
      <c r="NXP4" s="18"/>
      <c r="NXQ4" s="18"/>
      <c r="NXR4" s="18"/>
      <c r="NXS4" s="18"/>
      <c r="NXT4" s="18"/>
      <c r="NXU4" s="18"/>
      <c r="NXV4" s="18"/>
      <c r="NXW4" s="18"/>
      <c r="NXX4" s="18"/>
      <c r="NXY4" s="18"/>
      <c r="NXZ4" s="18"/>
      <c r="NYA4" s="18"/>
      <c r="NYB4" s="18"/>
      <c r="NYC4" s="18"/>
      <c r="NYD4" s="18"/>
      <c r="NYE4" s="18"/>
      <c r="NYF4" s="18"/>
      <c r="NYG4" s="18"/>
      <c r="NYH4" s="18"/>
      <c r="NYI4" s="18"/>
      <c r="NYJ4" s="18"/>
      <c r="NYK4" s="18"/>
      <c r="NYL4" s="18"/>
      <c r="NYM4" s="18"/>
      <c r="NYN4" s="18"/>
      <c r="NYO4" s="18"/>
      <c r="NYP4" s="18"/>
      <c r="NYQ4" s="18"/>
      <c r="NYR4" s="18"/>
      <c r="NYS4" s="18"/>
      <c r="NYT4" s="18"/>
      <c r="NYU4" s="18"/>
      <c r="NYV4" s="18"/>
      <c r="NYW4" s="18"/>
      <c r="NYX4" s="18"/>
      <c r="NYY4" s="18"/>
      <c r="NYZ4" s="18"/>
      <c r="NZA4" s="18"/>
      <c r="NZB4" s="18"/>
      <c r="NZC4" s="18"/>
      <c r="NZD4" s="18"/>
      <c r="NZE4" s="18"/>
      <c r="NZF4" s="18"/>
      <c r="NZG4" s="18"/>
      <c r="NZH4" s="18"/>
      <c r="NZI4" s="18"/>
      <c r="NZJ4" s="18"/>
      <c r="NZK4" s="18"/>
      <c r="NZL4" s="18"/>
      <c r="NZM4" s="18"/>
      <c r="NZN4" s="18"/>
      <c r="NZO4" s="18"/>
      <c r="NZP4" s="18"/>
      <c r="NZQ4" s="18"/>
      <c r="NZR4" s="18"/>
      <c r="NZS4" s="18"/>
      <c r="NZT4" s="18"/>
      <c r="NZU4" s="18"/>
      <c r="NZV4" s="18"/>
      <c r="NZW4" s="18"/>
      <c r="NZX4" s="18"/>
      <c r="NZY4" s="18"/>
      <c r="NZZ4" s="18"/>
      <c r="OAA4" s="18"/>
      <c r="OAB4" s="18"/>
      <c r="OAC4" s="18"/>
      <c r="OAD4" s="18"/>
      <c r="OAE4" s="18"/>
      <c r="OAF4" s="18"/>
      <c r="OAG4" s="18"/>
      <c r="OAH4" s="18"/>
      <c r="OAI4" s="18"/>
      <c r="OAJ4" s="18"/>
      <c r="OAK4" s="18"/>
      <c r="OAL4" s="18"/>
      <c r="OAM4" s="18"/>
      <c r="OAN4" s="18"/>
      <c r="OAO4" s="18"/>
      <c r="OAP4" s="18"/>
      <c r="OAQ4" s="18"/>
      <c r="OAR4" s="18"/>
      <c r="OAS4" s="18"/>
      <c r="OAT4" s="18"/>
      <c r="OAU4" s="18"/>
      <c r="OAV4" s="18"/>
      <c r="OAW4" s="18"/>
      <c r="OAX4" s="18"/>
      <c r="OAY4" s="18"/>
      <c r="OAZ4" s="18"/>
      <c r="OBA4" s="18"/>
      <c r="OBB4" s="18"/>
      <c r="OBC4" s="18"/>
      <c r="OBD4" s="18"/>
      <c r="OBE4" s="18"/>
      <c r="OBF4" s="18"/>
      <c r="OBG4" s="18"/>
      <c r="OBH4" s="18"/>
      <c r="OBI4" s="18"/>
      <c r="OBJ4" s="18"/>
      <c r="OBK4" s="18"/>
      <c r="OBL4" s="18"/>
      <c r="OBM4" s="18"/>
      <c r="OBN4" s="18"/>
      <c r="OBO4" s="18"/>
      <c r="OBP4" s="18"/>
      <c r="OBQ4" s="18"/>
      <c r="OBR4" s="18"/>
      <c r="OBS4" s="18"/>
      <c r="OBT4" s="18"/>
      <c r="OBU4" s="18"/>
      <c r="OBV4" s="18"/>
      <c r="OBW4" s="18"/>
      <c r="OBX4" s="18"/>
      <c r="OBY4" s="18"/>
      <c r="OBZ4" s="18"/>
      <c r="OCA4" s="18"/>
      <c r="OCB4" s="18"/>
      <c r="OCC4" s="18"/>
      <c r="OCD4" s="18"/>
      <c r="OCE4" s="18"/>
      <c r="OCF4" s="18"/>
      <c r="OCG4" s="18"/>
      <c r="OCH4" s="18"/>
      <c r="OCI4" s="18"/>
      <c r="OCJ4" s="18"/>
      <c r="OCK4" s="18"/>
      <c r="OCL4" s="18"/>
      <c r="OCM4" s="18"/>
      <c r="OCN4" s="18"/>
      <c r="OCO4" s="18"/>
      <c r="OCP4" s="18"/>
      <c r="OCQ4" s="18"/>
      <c r="OCR4" s="18"/>
      <c r="OCS4" s="18"/>
      <c r="OCT4" s="18"/>
      <c r="OCU4" s="18"/>
      <c r="OCV4" s="18"/>
      <c r="OCW4" s="18"/>
      <c r="OCX4" s="18"/>
      <c r="OCY4" s="18"/>
      <c r="OCZ4" s="18"/>
      <c r="ODA4" s="18"/>
      <c r="ODB4" s="18"/>
      <c r="ODC4" s="18"/>
      <c r="ODD4" s="18"/>
      <c r="ODE4" s="18"/>
      <c r="ODF4" s="18"/>
      <c r="ODG4" s="18"/>
      <c r="ODH4" s="18"/>
      <c r="ODI4" s="18"/>
      <c r="ODJ4" s="18"/>
      <c r="ODK4" s="18"/>
      <c r="ODL4" s="18"/>
      <c r="ODM4" s="18"/>
      <c r="ODN4" s="18"/>
      <c r="ODO4" s="18"/>
      <c r="ODP4" s="18"/>
      <c r="ODQ4" s="18"/>
      <c r="ODR4" s="18"/>
      <c r="ODS4" s="18"/>
      <c r="ODT4" s="18"/>
      <c r="ODU4" s="18"/>
      <c r="ODV4" s="18"/>
      <c r="ODW4" s="18"/>
      <c r="ODX4" s="18"/>
      <c r="ODY4" s="18"/>
      <c r="ODZ4" s="18"/>
      <c r="OEA4" s="18"/>
      <c r="OEB4" s="18"/>
      <c r="OEC4" s="18"/>
      <c r="OED4" s="18"/>
      <c r="OEE4" s="18"/>
      <c r="OEF4" s="18"/>
      <c r="OEG4" s="18"/>
      <c r="OEH4" s="18"/>
      <c r="OEI4" s="18"/>
      <c r="OEJ4" s="18"/>
      <c r="OEK4" s="18"/>
      <c r="OEL4" s="18"/>
      <c r="OEM4" s="18"/>
      <c r="OEN4" s="18"/>
      <c r="OEO4" s="18"/>
      <c r="OEP4" s="18"/>
      <c r="OEQ4" s="18"/>
      <c r="OER4" s="18"/>
      <c r="OES4" s="18"/>
      <c r="OET4" s="18"/>
      <c r="OEU4" s="18"/>
      <c r="OEV4" s="18"/>
      <c r="OEW4" s="18"/>
      <c r="OEX4" s="18"/>
      <c r="OEY4" s="18"/>
      <c r="OEZ4" s="18"/>
      <c r="OFA4" s="18"/>
      <c r="OFB4" s="18"/>
      <c r="OFC4" s="18"/>
      <c r="OFD4" s="18"/>
      <c r="OFE4" s="18"/>
      <c r="OFF4" s="18"/>
      <c r="OFG4" s="18"/>
      <c r="OFH4" s="18"/>
      <c r="OFI4" s="18"/>
      <c r="OFJ4" s="18"/>
      <c r="OFK4" s="18"/>
      <c r="OFL4" s="18"/>
      <c r="OFM4" s="18"/>
      <c r="OFN4" s="18"/>
      <c r="OFO4" s="18"/>
      <c r="OFP4" s="18"/>
      <c r="OFQ4" s="18"/>
      <c r="OFR4" s="18"/>
      <c r="OFS4" s="18"/>
      <c r="OFT4" s="18"/>
      <c r="OFU4" s="18"/>
      <c r="OFV4" s="18"/>
      <c r="OFW4" s="18"/>
      <c r="OFX4" s="18"/>
      <c r="OFY4" s="18"/>
      <c r="OFZ4" s="18"/>
      <c r="OGA4" s="18"/>
      <c r="OGB4" s="18"/>
      <c r="OGC4" s="18"/>
      <c r="OGD4" s="18"/>
      <c r="OGE4" s="18"/>
      <c r="OGF4" s="18"/>
      <c r="OGG4" s="18"/>
      <c r="OGH4" s="18"/>
      <c r="OGI4" s="18"/>
      <c r="OGJ4" s="18"/>
      <c r="OGK4" s="18"/>
      <c r="OGL4" s="18"/>
      <c r="OGM4" s="18"/>
      <c r="OGN4" s="18"/>
      <c r="OGO4" s="18"/>
      <c r="OGP4" s="18"/>
      <c r="OGQ4" s="18"/>
      <c r="OGR4" s="18"/>
      <c r="OGS4" s="18"/>
      <c r="OGT4" s="18"/>
      <c r="OGU4" s="18"/>
      <c r="OGV4" s="18"/>
      <c r="OGW4" s="18"/>
      <c r="OGX4" s="18"/>
      <c r="OGY4" s="18"/>
      <c r="OGZ4" s="18"/>
      <c r="OHA4" s="18"/>
      <c r="OHB4" s="18"/>
      <c r="OHC4" s="18"/>
      <c r="OHD4" s="18"/>
      <c r="OHE4" s="18"/>
      <c r="OHF4" s="18"/>
      <c r="OHG4" s="18"/>
      <c r="OHH4" s="18"/>
      <c r="OHI4" s="18"/>
      <c r="OHJ4" s="18"/>
      <c r="OHK4" s="18"/>
      <c r="OHL4" s="18"/>
      <c r="OHM4" s="18"/>
      <c r="OHN4" s="18"/>
      <c r="OHO4" s="18"/>
      <c r="OHP4" s="18"/>
      <c r="OHQ4" s="18"/>
      <c r="OHR4" s="18"/>
      <c r="OHS4" s="18"/>
      <c r="OHT4" s="18"/>
      <c r="OHU4" s="18"/>
      <c r="OHV4" s="18"/>
      <c r="OHW4" s="18"/>
      <c r="OHX4" s="18"/>
      <c r="OHY4" s="18"/>
      <c r="OHZ4" s="18"/>
      <c r="OIA4" s="18"/>
      <c r="OIB4" s="18"/>
      <c r="OIC4" s="18"/>
      <c r="OID4" s="18"/>
      <c r="OIE4" s="18"/>
      <c r="OIF4" s="18"/>
      <c r="OIG4" s="18"/>
      <c r="OIH4" s="18"/>
      <c r="OII4" s="18"/>
      <c r="OIJ4" s="18"/>
      <c r="OIK4" s="18"/>
      <c r="OIL4" s="18"/>
      <c r="OIM4" s="18"/>
      <c r="OIN4" s="18"/>
      <c r="OIO4" s="18"/>
      <c r="OIP4" s="18"/>
      <c r="OIQ4" s="18"/>
      <c r="OIR4" s="18"/>
      <c r="OIS4" s="18"/>
      <c r="OIT4" s="18"/>
      <c r="OIU4" s="18"/>
      <c r="OIV4" s="18"/>
      <c r="OIW4" s="18"/>
      <c r="OIX4" s="18"/>
      <c r="OIY4" s="18"/>
      <c r="OIZ4" s="18"/>
      <c r="OJA4" s="18"/>
      <c r="OJB4" s="18"/>
      <c r="OJC4" s="18"/>
      <c r="OJD4" s="18"/>
      <c r="OJE4" s="18"/>
      <c r="OJF4" s="18"/>
      <c r="OJG4" s="18"/>
      <c r="OJH4" s="18"/>
      <c r="OJI4" s="18"/>
      <c r="OJJ4" s="18"/>
      <c r="OJK4" s="18"/>
      <c r="OJL4" s="18"/>
      <c r="OJM4" s="18"/>
      <c r="OJN4" s="18"/>
      <c r="OJO4" s="18"/>
      <c r="OJP4" s="18"/>
      <c r="OJQ4" s="18"/>
      <c r="OJR4" s="18"/>
      <c r="OJS4" s="18"/>
      <c r="OJT4" s="18"/>
      <c r="OJU4" s="18"/>
      <c r="OJV4" s="18"/>
      <c r="OJW4" s="18"/>
      <c r="OJX4" s="18"/>
      <c r="OJY4" s="18"/>
      <c r="OJZ4" s="18"/>
      <c r="OKA4" s="18"/>
      <c r="OKB4" s="18"/>
      <c r="OKC4" s="18"/>
      <c r="OKD4" s="18"/>
      <c r="OKE4" s="18"/>
      <c r="OKF4" s="18"/>
      <c r="OKG4" s="18"/>
      <c r="OKH4" s="18"/>
      <c r="OKI4" s="18"/>
      <c r="OKJ4" s="18"/>
      <c r="OKK4" s="18"/>
      <c r="OKL4" s="18"/>
      <c r="OKM4" s="18"/>
      <c r="OKN4" s="18"/>
      <c r="OKO4" s="18"/>
      <c r="OKP4" s="18"/>
      <c r="OKQ4" s="18"/>
      <c r="OKR4" s="18"/>
      <c r="OKS4" s="18"/>
      <c r="OKT4" s="18"/>
      <c r="OKU4" s="18"/>
      <c r="OKV4" s="18"/>
      <c r="OKW4" s="18"/>
      <c r="OKX4" s="18"/>
      <c r="OKY4" s="18"/>
      <c r="OKZ4" s="18"/>
      <c r="OLA4" s="18"/>
      <c r="OLB4" s="18"/>
      <c r="OLC4" s="18"/>
      <c r="OLD4" s="18"/>
      <c r="OLE4" s="18"/>
      <c r="OLF4" s="18"/>
      <c r="OLG4" s="18"/>
      <c r="OLH4" s="18"/>
      <c r="OLI4" s="18"/>
      <c r="OLJ4" s="18"/>
      <c r="OLK4" s="18"/>
      <c r="OLL4" s="18"/>
      <c r="OLM4" s="18"/>
      <c r="OLN4" s="18"/>
      <c r="OLO4" s="18"/>
      <c r="OLP4" s="18"/>
      <c r="OLQ4" s="18"/>
      <c r="OLR4" s="18"/>
      <c r="OLS4" s="18"/>
      <c r="OLT4" s="18"/>
      <c r="OLU4" s="18"/>
      <c r="OLV4" s="18"/>
      <c r="OLW4" s="18"/>
      <c r="OLX4" s="18"/>
      <c r="OLY4" s="18"/>
      <c r="OLZ4" s="18"/>
      <c r="OMA4" s="18"/>
      <c r="OMB4" s="18"/>
      <c r="OMC4" s="18"/>
      <c r="OMD4" s="18"/>
      <c r="OME4" s="18"/>
      <c r="OMF4" s="18"/>
      <c r="OMG4" s="18"/>
      <c r="OMH4" s="18"/>
      <c r="OMI4" s="18"/>
      <c r="OMJ4" s="18"/>
      <c r="OMK4" s="18"/>
      <c r="OML4" s="18"/>
      <c r="OMM4" s="18"/>
      <c r="OMN4" s="18"/>
      <c r="OMO4" s="18"/>
      <c r="OMP4" s="18"/>
      <c r="OMQ4" s="18"/>
      <c r="OMR4" s="18"/>
      <c r="OMS4" s="18"/>
      <c r="OMT4" s="18"/>
      <c r="OMU4" s="18"/>
      <c r="OMV4" s="18"/>
      <c r="OMW4" s="18"/>
      <c r="OMX4" s="18"/>
      <c r="OMY4" s="18"/>
      <c r="OMZ4" s="18"/>
      <c r="ONA4" s="18"/>
      <c r="ONB4" s="18"/>
      <c r="ONC4" s="18"/>
      <c r="OND4" s="18"/>
      <c r="ONE4" s="18"/>
      <c r="ONF4" s="18"/>
      <c r="ONG4" s="18"/>
      <c r="ONH4" s="18"/>
      <c r="ONI4" s="18"/>
      <c r="ONJ4" s="18"/>
      <c r="ONK4" s="18"/>
      <c r="ONL4" s="18"/>
      <c r="ONM4" s="18"/>
      <c r="ONN4" s="18"/>
      <c r="ONO4" s="18"/>
      <c r="ONP4" s="18"/>
      <c r="ONQ4" s="18"/>
      <c r="ONR4" s="18"/>
      <c r="ONS4" s="18"/>
      <c r="ONT4" s="18"/>
      <c r="ONU4" s="18"/>
      <c r="ONV4" s="18"/>
      <c r="ONW4" s="18"/>
      <c r="ONX4" s="18"/>
      <c r="ONY4" s="18"/>
      <c r="ONZ4" s="18"/>
      <c r="OOA4" s="18"/>
      <c r="OOB4" s="18"/>
      <c r="OOC4" s="18"/>
      <c r="OOD4" s="18"/>
      <c r="OOE4" s="18"/>
      <c r="OOF4" s="18"/>
      <c r="OOG4" s="18"/>
      <c r="OOH4" s="18"/>
      <c r="OOI4" s="18"/>
      <c r="OOJ4" s="18"/>
      <c r="OOK4" s="18"/>
      <c r="OOL4" s="18"/>
      <c r="OOM4" s="18"/>
      <c r="OON4" s="18"/>
      <c r="OOO4" s="18"/>
      <c r="OOP4" s="18"/>
      <c r="OOQ4" s="18"/>
      <c r="OOR4" s="18"/>
      <c r="OOS4" s="18"/>
      <c r="OOT4" s="18"/>
      <c r="OOU4" s="18"/>
      <c r="OOV4" s="18"/>
      <c r="OOW4" s="18"/>
      <c r="OOX4" s="18"/>
      <c r="OOY4" s="18"/>
      <c r="OOZ4" s="18"/>
      <c r="OPA4" s="18"/>
      <c r="OPB4" s="18"/>
      <c r="OPC4" s="18"/>
      <c r="OPD4" s="18"/>
      <c r="OPE4" s="18"/>
      <c r="OPF4" s="18"/>
      <c r="OPG4" s="18"/>
      <c r="OPH4" s="18"/>
      <c r="OPI4" s="18"/>
      <c r="OPJ4" s="18"/>
      <c r="OPK4" s="18"/>
      <c r="OPL4" s="18"/>
      <c r="OPM4" s="18"/>
      <c r="OPN4" s="18"/>
      <c r="OPO4" s="18"/>
      <c r="OPP4" s="18"/>
      <c r="OPQ4" s="18"/>
      <c r="OPR4" s="18"/>
      <c r="OPS4" s="18"/>
      <c r="OPT4" s="18"/>
      <c r="OPU4" s="18"/>
      <c r="OPV4" s="18"/>
      <c r="OPW4" s="18"/>
      <c r="OPX4" s="18"/>
      <c r="OPY4" s="18"/>
      <c r="OPZ4" s="18"/>
      <c r="OQA4" s="18"/>
      <c r="OQB4" s="18"/>
      <c r="OQC4" s="18"/>
      <c r="OQD4" s="18"/>
      <c r="OQE4" s="18"/>
      <c r="OQF4" s="18"/>
      <c r="OQG4" s="18"/>
      <c r="OQH4" s="18"/>
      <c r="OQI4" s="18"/>
      <c r="OQJ4" s="18"/>
      <c r="OQK4" s="18"/>
      <c r="OQL4" s="18"/>
      <c r="OQM4" s="18"/>
      <c r="OQN4" s="18"/>
      <c r="OQO4" s="18"/>
      <c r="OQP4" s="18"/>
      <c r="OQQ4" s="18"/>
      <c r="OQR4" s="18"/>
      <c r="OQS4" s="18"/>
      <c r="OQT4" s="18"/>
      <c r="OQU4" s="18"/>
      <c r="OQV4" s="18"/>
      <c r="OQW4" s="18"/>
      <c r="OQX4" s="18"/>
      <c r="OQY4" s="18"/>
      <c r="OQZ4" s="18"/>
      <c r="ORA4" s="18"/>
      <c r="ORB4" s="18"/>
      <c r="ORC4" s="18"/>
      <c r="ORD4" s="18"/>
      <c r="ORE4" s="18"/>
      <c r="ORF4" s="18"/>
      <c r="ORG4" s="18"/>
      <c r="ORH4" s="18"/>
      <c r="ORI4" s="18"/>
      <c r="ORJ4" s="18"/>
      <c r="ORK4" s="18"/>
      <c r="ORL4" s="18"/>
      <c r="ORM4" s="18"/>
      <c r="ORN4" s="18"/>
      <c r="ORO4" s="18"/>
      <c r="ORP4" s="18"/>
      <c r="ORQ4" s="18"/>
      <c r="ORR4" s="18"/>
      <c r="ORS4" s="18"/>
      <c r="ORT4" s="18"/>
      <c r="ORU4" s="18"/>
      <c r="ORV4" s="18"/>
      <c r="ORW4" s="18"/>
      <c r="ORX4" s="18"/>
      <c r="ORY4" s="18"/>
      <c r="ORZ4" s="18"/>
      <c r="OSA4" s="18"/>
      <c r="OSB4" s="18"/>
      <c r="OSC4" s="18"/>
      <c r="OSD4" s="18"/>
      <c r="OSE4" s="18"/>
      <c r="OSF4" s="18"/>
      <c r="OSG4" s="18"/>
      <c r="OSH4" s="18"/>
      <c r="OSI4" s="18"/>
      <c r="OSJ4" s="18"/>
      <c r="OSK4" s="18"/>
      <c r="OSL4" s="18"/>
      <c r="OSM4" s="18"/>
      <c r="OSN4" s="18"/>
      <c r="OSO4" s="18"/>
      <c r="OSP4" s="18"/>
      <c r="OSQ4" s="18"/>
      <c r="OSR4" s="18"/>
      <c r="OSS4" s="18"/>
      <c r="OST4" s="18"/>
      <c r="OSU4" s="18"/>
      <c r="OSV4" s="18"/>
      <c r="OSW4" s="18"/>
      <c r="OSX4" s="18"/>
      <c r="OSY4" s="18"/>
      <c r="OSZ4" s="18"/>
      <c r="OTA4" s="18"/>
      <c r="OTB4" s="18"/>
      <c r="OTC4" s="18"/>
      <c r="OTD4" s="18"/>
      <c r="OTE4" s="18"/>
      <c r="OTF4" s="18"/>
      <c r="OTG4" s="18"/>
      <c r="OTH4" s="18"/>
      <c r="OTI4" s="18"/>
      <c r="OTJ4" s="18"/>
      <c r="OTK4" s="18"/>
      <c r="OTL4" s="18"/>
      <c r="OTM4" s="18"/>
      <c r="OTN4" s="18"/>
      <c r="OTO4" s="18"/>
      <c r="OTP4" s="18"/>
      <c r="OTQ4" s="18"/>
      <c r="OTR4" s="18"/>
      <c r="OTS4" s="18"/>
      <c r="OTT4" s="18"/>
      <c r="OTU4" s="18"/>
      <c r="OTV4" s="18"/>
      <c r="OTW4" s="18"/>
      <c r="OTX4" s="18"/>
      <c r="OTY4" s="18"/>
      <c r="OTZ4" s="18"/>
      <c r="OUA4" s="18"/>
      <c r="OUB4" s="18"/>
      <c r="OUC4" s="18"/>
      <c r="OUD4" s="18"/>
      <c r="OUE4" s="18"/>
      <c r="OUF4" s="18"/>
      <c r="OUG4" s="18"/>
      <c r="OUH4" s="18"/>
      <c r="OUI4" s="18"/>
      <c r="OUJ4" s="18"/>
      <c r="OUK4" s="18"/>
      <c r="OUL4" s="18"/>
      <c r="OUM4" s="18"/>
      <c r="OUN4" s="18"/>
      <c r="OUO4" s="18"/>
      <c r="OUP4" s="18"/>
      <c r="OUQ4" s="18"/>
      <c r="OUR4" s="18"/>
      <c r="OUS4" s="18"/>
      <c r="OUT4" s="18"/>
      <c r="OUU4" s="18"/>
      <c r="OUV4" s="18"/>
      <c r="OUW4" s="18"/>
      <c r="OUX4" s="18"/>
      <c r="OUY4" s="18"/>
      <c r="OUZ4" s="18"/>
      <c r="OVA4" s="18"/>
      <c r="OVB4" s="18"/>
      <c r="OVC4" s="18"/>
      <c r="OVD4" s="18"/>
      <c r="OVE4" s="18"/>
      <c r="OVF4" s="18"/>
      <c r="OVG4" s="18"/>
      <c r="OVH4" s="18"/>
      <c r="OVI4" s="18"/>
      <c r="OVJ4" s="18"/>
      <c r="OVK4" s="18"/>
      <c r="OVL4" s="18"/>
      <c r="OVM4" s="18"/>
      <c r="OVN4" s="18"/>
      <c r="OVO4" s="18"/>
      <c r="OVP4" s="18"/>
      <c r="OVQ4" s="18"/>
      <c r="OVR4" s="18"/>
      <c r="OVS4" s="18"/>
      <c r="OVT4" s="18"/>
      <c r="OVU4" s="18"/>
      <c r="OVV4" s="18"/>
      <c r="OVW4" s="18"/>
      <c r="OVX4" s="18"/>
      <c r="OVY4" s="18"/>
      <c r="OVZ4" s="18"/>
      <c r="OWA4" s="18"/>
      <c r="OWB4" s="18"/>
      <c r="OWC4" s="18"/>
      <c r="OWD4" s="18"/>
      <c r="OWE4" s="18"/>
      <c r="OWF4" s="18"/>
      <c r="OWG4" s="18"/>
      <c r="OWH4" s="18"/>
      <c r="OWI4" s="18"/>
      <c r="OWJ4" s="18"/>
      <c r="OWK4" s="18"/>
      <c r="OWL4" s="18"/>
      <c r="OWM4" s="18"/>
      <c r="OWN4" s="18"/>
      <c r="OWO4" s="18"/>
      <c r="OWP4" s="18"/>
      <c r="OWQ4" s="18"/>
      <c r="OWR4" s="18"/>
      <c r="OWS4" s="18"/>
      <c r="OWT4" s="18"/>
      <c r="OWU4" s="18"/>
      <c r="OWV4" s="18"/>
      <c r="OWW4" s="18"/>
      <c r="OWX4" s="18"/>
      <c r="OWY4" s="18"/>
      <c r="OWZ4" s="18"/>
      <c r="OXA4" s="18"/>
      <c r="OXB4" s="18"/>
      <c r="OXC4" s="18"/>
      <c r="OXD4" s="18"/>
      <c r="OXE4" s="18"/>
      <c r="OXF4" s="18"/>
      <c r="OXG4" s="18"/>
      <c r="OXH4" s="18"/>
      <c r="OXI4" s="18"/>
      <c r="OXJ4" s="18"/>
      <c r="OXK4" s="18"/>
      <c r="OXL4" s="18"/>
      <c r="OXM4" s="18"/>
      <c r="OXN4" s="18"/>
      <c r="OXO4" s="18"/>
      <c r="OXP4" s="18"/>
      <c r="OXQ4" s="18"/>
      <c r="OXR4" s="18"/>
      <c r="OXS4" s="18"/>
      <c r="OXT4" s="18"/>
      <c r="OXU4" s="18"/>
      <c r="OXV4" s="18"/>
      <c r="OXW4" s="18"/>
      <c r="OXX4" s="18"/>
      <c r="OXY4" s="18"/>
      <c r="OXZ4" s="18"/>
      <c r="OYA4" s="18"/>
      <c r="OYB4" s="18"/>
      <c r="OYC4" s="18"/>
      <c r="OYD4" s="18"/>
      <c r="OYE4" s="18"/>
      <c r="OYF4" s="18"/>
      <c r="OYG4" s="18"/>
      <c r="OYH4" s="18"/>
      <c r="OYI4" s="18"/>
      <c r="OYJ4" s="18"/>
      <c r="OYK4" s="18"/>
      <c r="OYL4" s="18"/>
      <c r="OYM4" s="18"/>
      <c r="OYN4" s="18"/>
      <c r="OYO4" s="18"/>
      <c r="OYP4" s="18"/>
      <c r="OYQ4" s="18"/>
      <c r="OYR4" s="18"/>
      <c r="OYS4" s="18"/>
      <c r="OYT4" s="18"/>
      <c r="OYU4" s="18"/>
      <c r="OYV4" s="18"/>
      <c r="OYW4" s="18"/>
      <c r="OYX4" s="18"/>
      <c r="OYY4" s="18"/>
      <c r="OYZ4" s="18"/>
      <c r="OZA4" s="18"/>
      <c r="OZB4" s="18"/>
      <c r="OZC4" s="18"/>
      <c r="OZD4" s="18"/>
      <c r="OZE4" s="18"/>
      <c r="OZF4" s="18"/>
      <c r="OZG4" s="18"/>
      <c r="OZH4" s="18"/>
      <c r="OZI4" s="18"/>
      <c r="OZJ4" s="18"/>
      <c r="OZK4" s="18"/>
      <c r="OZL4" s="18"/>
      <c r="OZM4" s="18"/>
      <c r="OZN4" s="18"/>
      <c r="OZO4" s="18"/>
      <c r="OZP4" s="18"/>
      <c r="OZQ4" s="18"/>
      <c r="OZR4" s="18"/>
      <c r="OZS4" s="18"/>
      <c r="OZT4" s="18"/>
      <c r="OZU4" s="18"/>
      <c r="OZV4" s="18"/>
      <c r="OZW4" s="18"/>
      <c r="OZX4" s="18"/>
      <c r="OZY4" s="18"/>
      <c r="OZZ4" s="18"/>
      <c r="PAA4" s="18"/>
      <c r="PAB4" s="18"/>
      <c r="PAC4" s="18"/>
      <c r="PAD4" s="18"/>
      <c r="PAE4" s="18"/>
      <c r="PAF4" s="18"/>
      <c r="PAG4" s="18"/>
      <c r="PAH4" s="18"/>
      <c r="PAI4" s="18"/>
      <c r="PAJ4" s="18"/>
      <c r="PAK4" s="18"/>
      <c r="PAL4" s="18"/>
      <c r="PAM4" s="18"/>
      <c r="PAN4" s="18"/>
      <c r="PAO4" s="18"/>
      <c r="PAP4" s="18"/>
      <c r="PAQ4" s="18"/>
      <c r="PAR4" s="18"/>
      <c r="PAS4" s="18"/>
      <c r="PAT4" s="18"/>
      <c r="PAU4" s="18"/>
      <c r="PAV4" s="18"/>
      <c r="PAW4" s="18"/>
      <c r="PAX4" s="18"/>
      <c r="PAY4" s="18"/>
      <c r="PAZ4" s="18"/>
      <c r="PBA4" s="18"/>
      <c r="PBB4" s="18"/>
      <c r="PBC4" s="18"/>
      <c r="PBD4" s="18"/>
      <c r="PBE4" s="18"/>
      <c r="PBF4" s="18"/>
      <c r="PBG4" s="18"/>
      <c r="PBH4" s="18"/>
      <c r="PBI4" s="18"/>
      <c r="PBJ4" s="18"/>
      <c r="PBK4" s="18"/>
      <c r="PBL4" s="18"/>
      <c r="PBM4" s="18"/>
      <c r="PBN4" s="18"/>
      <c r="PBO4" s="18"/>
      <c r="PBP4" s="18"/>
      <c r="PBQ4" s="18"/>
      <c r="PBR4" s="18"/>
      <c r="PBS4" s="18"/>
      <c r="PBT4" s="18"/>
      <c r="PBU4" s="18"/>
      <c r="PBV4" s="18"/>
      <c r="PBW4" s="18"/>
      <c r="PBX4" s="18"/>
      <c r="PBY4" s="18"/>
      <c r="PBZ4" s="18"/>
      <c r="PCA4" s="18"/>
      <c r="PCB4" s="18"/>
      <c r="PCC4" s="18"/>
      <c r="PCD4" s="18"/>
      <c r="PCE4" s="18"/>
      <c r="PCF4" s="18"/>
      <c r="PCG4" s="18"/>
      <c r="PCH4" s="18"/>
      <c r="PCI4" s="18"/>
      <c r="PCJ4" s="18"/>
      <c r="PCK4" s="18"/>
      <c r="PCL4" s="18"/>
      <c r="PCM4" s="18"/>
      <c r="PCN4" s="18"/>
      <c r="PCO4" s="18"/>
      <c r="PCP4" s="18"/>
      <c r="PCQ4" s="18"/>
      <c r="PCR4" s="18"/>
      <c r="PCS4" s="18"/>
      <c r="PCT4" s="18"/>
      <c r="PCU4" s="18"/>
      <c r="PCV4" s="18"/>
      <c r="PCW4" s="18"/>
      <c r="PCX4" s="18"/>
      <c r="PCY4" s="18"/>
      <c r="PCZ4" s="18"/>
      <c r="PDA4" s="18"/>
      <c r="PDB4" s="18"/>
      <c r="PDC4" s="18"/>
      <c r="PDD4" s="18"/>
      <c r="PDE4" s="18"/>
      <c r="PDF4" s="18"/>
      <c r="PDG4" s="18"/>
      <c r="PDH4" s="18"/>
      <c r="PDI4" s="18"/>
      <c r="PDJ4" s="18"/>
      <c r="PDK4" s="18"/>
      <c r="PDL4" s="18"/>
      <c r="PDM4" s="18"/>
      <c r="PDN4" s="18"/>
      <c r="PDO4" s="18"/>
      <c r="PDP4" s="18"/>
      <c r="PDQ4" s="18"/>
      <c r="PDR4" s="18"/>
      <c r="PDS4" s="18"/>
      <c r="PDT4" s="18"/>
      <c r="PDU4" s="18"/>
      <c r="PDV4" s="18"/>
      <c r="PDW4" s="18"/>
      <c r="PDX4" s="18"/>
      <c r="PDY4" s="18"/>
      <c r="PDZ4" s="18"/>
      <c r="PEA4" s="18"/>
      <c r="PEB4" s="18"/>
      <c r="PEC4" s="18"/>
      <c r="PED4" s="18"/>
      <c r="PEE4" s="18"/>
      <c r="PEF4" s="18"/>
      <c r="PEG4" s="18"/>
      <c r="PEH4" s="18"/>
      <c r="PEI4" s="18"/>
      <c r="PEJ4" s="18"/>
      <c r="PEK4" s="18"/>
      <c r="PEL4" s="18"/>
      <c r="PEM4" s="18"/>
      <c r="PEN4" s="18"/>
      <c r="PEO4" s="18"/>
      <c r="PEP4" s="18"/>
      <c r="PEQ4" s="18"/>
      <c r="PER4" s="18"/>
      <c r="PES4" s="18"/>
      <c r="PET4" s="18"/>
      <c r="PEU4" s="18"/>
      <c r="PEV4" s="18"/>
      <c r="PEW4" s="18"/>
      <c r="PEX4" s="18"/>
      <c r="PEY4" s="18"/>
      <c r="PEZ4" s="18"/>
      <c r="PFA4" s="18"/>
      <c r="PFB4" s="18"/>
      <c r="PFC4" s="18"/>
      <c r="PFD4" s="18"/>
      <c r="PFE4" s="18"/>
      <c r="PFF4" s="18"/>
      <c r="PFG4" s="18"/>
      <c r="PFH4" s="18"/>
      <c r="PFI4" s="18"/>
      <c r="PFJ4" s="18"/>
      <c r="PFK4" s="18"/>
      <c r="PFL4" s="18"/>
      <c r="PFM4" s="18"/>
      <c r="PFN4" s="18"/>
      <c r="PFO4" s="18"/>
      <c r="PFP4" s="18"/>
      <c r="PFQ4" s="18"/>
      <c r="PFR4" s="18"/>
      <c r="PFS4" s="18"/>
      <c r="PFT4" s="18"/>
      <c r="PFU4" s="18"/>
      <c r="PFV4" s="18"/>
      <c r="PFW4" s="18"/>
      <c r="PFX4" s="18"/>
      <c r="PFY4" s="18"/>
      <c r="PFZ4" s="18"/>
      <c r="PGA4" s="18"/>
      <c r="PGB4" s="18"/>
      <c r="PGC4" s="18"/>
      <c r="PGD4" s="18"/>
      <c r="PGE4" s="18"/>
      <c r="PGF4" s="18"/>
      <c r="PGG4" s="18"/>
      <c r="PGH4" s="18"/>
      <c r="PGI4" s="18"/>
      <c r="PGJ4" s="18"/>
      <c r="PGK4" s="18"/>
      <c r="PGL4" s="18"/>
      <c r="PGM4" s="18"/>
      <c r="PGN4" s="18"/>
      <c r="PGO4" s="18"/>
      <c r="PGP4" s="18"/>
      <c r="PGQ4" s="18"/>
      <c r="PGR4" s="18"/>
      <c r="PGS4" s="18"/>
      <c r="PGT4" s="18"/>
      <c r="PGU4" s="18"/>
      <c r="PGV4" s="18"/>
      <c r="PGW4" s="18"/>
      <c r="PGX4" s="18"/>
      <c r="PGY4" s="18"/>
      <c r="PGZ4" s="18"/>
      <c r="PHA4" s="18"/>
      <c r="PHB4" s="18"/>
      <c r="PHC4" s="18"/>
      <c r="PHD4" s="18"/>
      <c r="PHE4" s="18"/>
      <c r="PHF4" s="18"/>
      <c r="PHG4" s="18"/>
      <c r="PHH4" s="18"/>
      <c r="PHI4" s="18"/>
      <c r="PHJ4" s="18"/>
      <c r="PHK4" s="18"/>
      <c r="PHL4" s="18"/>
      <c r="PHM4" s="18"/>
      <c r="PHN4" s="18"/>
      <c r="PHO4" s="18"/>
      <c r="PHP4" s="18"/>
      <c r="PHQ4" s="18"/>
      <c r="PHR4" s="18"/>
      <c r="PHS4" s="18"/>
      <c r="PHT4" s="18"/>
      <c r="PHU4" s="18"/>
      <c r="PHV4" s="18"/>
      <c r="PHW4" s="18"/>
      <c r="PHX4" s="18"/>
      <c r="PHY4" s="18"/>
      <c r="PHZ4" s="18"/>
      <c r="PIA4" s="18"/>
      <c r="PIB4" s="18"/>
      <c r="PIC4" s="18"/>
      <c r="PID4" s="18"/>
      <c r="PIE4" s="18"/>
      <c r="PIF4" s="18"/>
      <c r="PIG4" s="18"/>
      <c r="PIH4" s="18"/>
      <c r="PII4" s="18"/>
      <c r="PIJ4" s="18"/>
      <c r="PIK4" s="18"/>
      <c r="PIL4" s="18"/>
      <c r="PIM4" s="18"/>
      <c r="PIN4" s="18"/>
      <c r="PIO4" s="18"/>
      <c r="PIP4" s="18"/>
      <c r="PIQ4" s="18"/>
      <c r="PIR4" s="18"/>
      <c r="PIS4" s="18"/>
      <c r="PIT4" s="18"/>
      <c r="PIU4" s="18"/>
      <c r="PIV4" s="18"/>
      <c r="PIW4" s="18"/>
      <c r="PIX4" s="18"/>
      <c r="PIY4" s="18"/>
      <c r="PIZ4" s="18"/>
      <c r="PJA4" s="18"/>
      <c r="PJB4" s="18"/>
      <c r="PJC4" s="18"/>
      <c r="PJD4" s="18"/>
      <c r="PJE4" s="18"/>
      <c r="PJF4" s="18"/>
      <c r="PJG4" s="18"/>
      <c r="PJH4" s="18"/>
      <c r="PJI4" s="18"/>
      <c r="PJJ4" s="18"/>
      <c r="PJK4" s="18"/>
      <c r="PJL4" s="18"/>
      <c r="PJM4" s="18"/>
      <c r="PJN4" s="18"/>
      <c r="PJO4" s="18"/>
      <c r="PJP4" s="18"/>
      <c r="PJQ4" s="18"/>
      <c r="PJR4" s="18"/>
      <c r="PJS4" s="18"/>
      <c r="PJT4" s="18"/>
      <c r="PJU4" s="18"/>
      <c r="PJV4" s="18"/>
      <c r="PJW4" s="18"/>
      <c r="PJX4" s="18"/>
      <c r="PJY4" s="18"/>
      <c r="PJZ4" s="18"/>
      <c r="PKA4" s="18"/>
      <c r="PKB4" s="18"/>
      <c r="PKC4" s="18"/>
      <c r="PKD4" s="18"/>
      <c r="PKE4" s="18"/>
      <c r="PKF4" s="18"/>
      <c r="PKG4" s="18"/>
      <c r="PKH4" s="18"/>
      <c r="PKI4" s="18"/>
      <c r="PKJ4" s="18"/>
      <c r="PKK4" s="18"/>
      <c r="PKL4" s="18"/>
      <c r="PKM4" s="18"/>
      <c r="PKN4" s="18"/>
      <c r="PKO4" s="18"/>
      <c r="PKP4" s="18"/>
      <c r="PKQ4" s="18"/>
      <c r="PKR4" s="18"/>
      <c r="PKS4" s="18"/>
      <c r="PKT4" s="18"/>
      <c r="PKU4" s="18"/>
      <c r="PKV4" s="18"/>
      <c r="PKW4" s="18"/>
      <c r="PKX4" s="18"/>
      <c r="PKY4" s="18"/>
      <c r="PKZ4" s="18"/>
      <c r="PLA4" s="18"/>
      <c r="PLB4" s="18"/>
      <c r="PLC4" s="18"/>
      <c r="PLD4" s="18"/>
      <c r="PLE4" s="18"/>
      <c r="PLF4" s="18"/>
      <c r="PLG4" s="18"/>
      <c r="PLH4" s="18"/>
      <c r="PLI4" s="18"/>
      <c r="PLJ4" s="18"/>
      <c r="PLK4" s="18"/>
      <c r="PLL4" s="18"/>
      <c r="PLM4" s="18"/>
      <c r="PLN4" s="18"/>
      <c r="PLO4" s="18"/>
      <c r="PLP4" s="18"/>
      <c r="PLQ4" s="18"/>
      <c r="PLR4" s="18"/>
      <c r="PLS4" s="18"/>
      <c r="PLT4" s="18"/>
      <c r="PLU4" s="18"/>
      <c r="PLV4" s="18"/>
      <c r="PLW4" s="18"/>
      <c r="PLX4" s="18"/>
      <c r="PLY4" s="18"/>
      <c r="PLZ4" s="18"/>
      <c r="PMA4" s="18"/>
      <c r="PMB4" s="18"/>
      <c r="PMC4" s="18"/>
      <c r="PMD4" s="18"/>
      <c r="PME4" s="18"/>
      <c r="PMF4" s="18"/>
      <c r="PMG4" s="18"/>
      <c r="PMH4" s="18"/>
      <c r="PMI4" s="18"/>
      <c r="PMJ4" s="18"/>
      <c r="PMK4" s="18"/>
      <c r="PML4" s="18"/>
      <c r="PMM4" s="18"/>
      <c r="PMN4" s="18"/>
      <c r="PMO4" s="18"/>
      <c r="PMP4" s="18"/>
      <c r="PMQ4" s="18"/>
      <c r="PMR4" s="18"/>
      <c r="PMS4" s="18"/>
      <c r="PMT4" s="18"/>
      <c r="PMU4" s="18"/>
      <c r="PMV4" s="18"/>
      <c r="PMW4" s="18"/>
      <c r="PMX4" s="18"/>
      <c r="PMY4" s="18"/>
      <c r="PMZ4" s="18"/>
      <c r="PNA4" s="18"/>
      <c r="PNB4" s="18"/>
      <c r="PNC4" s="18"/>
      <c r="PND4" s="18"/>
      <c r="PNE4" s="18"/>
      <c r="PNF4" s="18"/>
      <c r="PNG4" s="18"/>
      <c r="PNH4" s="18"/>
      <c r="PNI4" s="18"/>
      <c r="PNJ4" s="18"/>
      <c r="PNK4" s="18"/>
      <c r="PNL4" s="18"/>
      <c r="PNM4" s="18"/>
      <c r="PNN4" s="18"/>
      <c r="PNO4" s="18"/>
      <c r="PNP4" s="18"/>
      <c r="PNQ4" s="18"/>
      <c r="PNR4" s="18"/>
      <c r="PNS4" s="18"/>
      <c r="PNT4" s="18"/>
      <c r="PNU4" s="18"/>
      <c r="PNV4" s="18"/>
      <c r="PNW4" s="18"/>
      <c r="PNX4" s="18"/>
      <c r="PNY4" s="18"/>
      <c r="PNZ4" s="18"/>
      <c r="POA4" s="18"/>
      <c r="POB4" s="18"/>
      <c r="POC4" s="18"/>
      <c r="POD4" s="18"/>
      <c r="POE4" s="18"/>
      <c r="POF4" s="18"/>
      <c r="POG4" s="18"/>
      <c r="POH4" s="18"/>
      <c r="POI4" s="18"/>
      <c r="POJ4" s="18"/>
      <c r="POK4" s="18"/>
      <c r="POL4" s="18"/>
      <c r="POM4" s="18"/>
      <c r="PON4" s="18"/>
      <c r="POO4" s="18"/>
      <c r="POP4" s="18"/>
      <c r="POQ4" s="18"/>
      <c r="POR4" s="18"/>
      <c r="POS4" s="18"/>
      <c r="POT4" s="18"/>
      <c r="POU4" s="18"/>
      <c r="POV4" s="18"/>
      <c r="POW4" s="18"/>
      <c r="POX4" s="18"/>
      <c r="POY4" s="18"/>
      <c r="POZ4" s="18"/>
      <c r="PPA4" s="18"/>
      <c r="PPB4" s="18"/>
      <c r="PPC4" s="18"/>
      <c r="PPD4" s="18"/>
      <c r="PPE4" s="18"/>
      <c r="PPF4" s="18"/>
      <c r="PPG4" s="18"/>
      <c r="PPH4" s="18"/>
      <c r="PPI4" s="18"/>
      <c r="PPJ4" s="18"/>
      <c r="PPK4" s="18"/>
      <c r="PPL4" s="18"/>
      <c r="PPM4" s="18"/>
      <c r="PPN4" s="18"/>
      <c r="PPO4" s="18"/>
      <c r="PPP4" s="18"/>
      <c r="PPQ4" s="18"/>
      <c r="PPR4" s="18"/>
      <c r="PPS4" s="18"/>
      <c r="PPT4" s="18"/>
      <c r="PPU4" s="18"/>
      <c r="PPV4" s="18"/>
      <c r="PPW4" s="18"/>
      <c r="PPX4" s="18"/>
      <c r="PPY4" s="18"/>
      <c r="PPZ4" s="18"/>
      <c r="PQA4" s="18"/>
      <c r="PQB4" s="18"/>
      <c r="PQC4" s="18"/>
      <c r="PQD4" s="18"/>
      <c r="PQE4" s="18"/>
      <c r="PQF4" s="18"/>
      <c r="PQG4" s="18"/>
      <c r="PQH4" s="18"/>
      <c r="PQI4" s="18"/>
      <c r="PQJ4" s="18"/>
      <c r="PQK4" s="18"/>
      <c r="PQL4" s="18"/>
      <c r="PQM4" s="18"/>
      <c r="PQN4" s="18"/>
      <c r="PQO4" s="18"/>
      <c r="PQP4" s="18"/>
      <c r="PQQ4" s="18"/>
      <c r="PQR4" s="18"/>
      <c r="PQS4" s="18"/>
      <c r="PQT4" s="18"/>
      <c r="PQU4" s="18"/>
      <c r="PQV4" s="18"/>
      <c r="PQW4" s="18"/>
      <c r="PQX4" s="18"/>
      <c r="PQY4" s="18"/>
      <c r="PQZ4" s="18"/>
      <c r="PRA4" s="18"/>
      <c r="PRB4" s="18"/>
      <c r="PRC4" s="18"/>
      <c r="PRD4" s="18"/>
      <c r="PRE4" s="18"/>
      <c r="PRF4" s="18"/>
      <c r="PRG4" s="18"/>
      <c r="PRH4" s="18"/>
      <c r="PRI4" s="18"/>
      <c r="PRJ4" s="18"/>
      <c r="PRK4" s="18"/>
      <c r="PRL4" s="18"/>
      <c r="PRM4" s="18"/>
      <c r="PRN4" s="18"/>
      <c r="PRO4" s="18"/>
      <c r="PRP4" s="18"/>
      <c r="PRQ4" s="18"/>
      <c r="PRR4" s="18"/>
      <c r="PRS4" s="18"/>
      <c r="PRT4" s="18"/>
      <c r="PRU4" s="18"/>
      <c r="PRV4" s="18"/>
      <c r="PRW4" s="18"/>
      <c r="PRX4" s="18"/>
      <c r="PRY4" s="18"/>
      <c r="PRZ4" s="18"/>
      <c r="PSA4" s="18"/>
      <c r="PSB4" s="18"/>
      <c r="PSC4" s="18"/>
      <c r="PSD4" s="18"/>
      <c r="PSE4" s="18"/>
      <c r="PSF4" s="18"/>
      <c r="PSG4" s="18"/>
      <c r="PSH4" s="18"/>
      <c r="PSI4" s="18"/>
      <c r="PSJ4" s="18"/>
      <c r="PSK4" s="18"/>
      <c r="PSL4" s="18"/>
      <c r="PSM4" s="18"/>
      <c r="PSN4" s="18"/>
      <c r="PSO4" s="18"/>
      <c r="PSP4" s="18"/>
      <c r="PSQ4" s="18"/>
      <c r="PSR4" s="18"/>
      <c r="PSS4" s="18"/>
      <c r="PST4" s="18"/>
      <c r="PSU4" s="18"/>
      <c r="PSV4" s="18"/>
      <c r="PSW4" s="18"/>
      <c r="PSX4" s="18"/>
      <c r="PSY4" s="18"/>
      <c r="PSZ4" s="18"/>
      <c r="PTA4" s="18"/>
      <c r="PTB4" s="18"/>
      <c r="PTC4" s="18"/>
      <c r="PTD4" s="18"/>
      <c r="PTE4" s="18"/>
      <c r="PTF4" s="18"/>
      <c r="PTG4" s="18"/>
      <c r="PTH4" s="18"/>
      <c r="PTI4" s="18"/>
      <c r="PTJ4" s="18"/>
      <c r="PTK4" s="18"/>
      <c r="PTL4" s="18"/>
      <c r="PTM4" s="18"/>
      <c r="PTN4" s="18"/>
      <c r="PTO4" s="18"/>
      <c r="PTP4" s="18"/>
      <c r="PTQ4" s="18"/>
      <c r="PTR4" s="18"/>
      <c r="PTS4" s="18"/>
      <c r="PTT4" s="18"/>
      <c r="PTU4" s="18"/>
      <c r="PTV4" s="18"/>
      <c r="PTW4" s="18"/>
      <c r="PTX4" s="18"/>
      <c r="PTY4" s="18"/>
      <c r="PTZ4" s="18"/>
      <c r="PUA4" s="18"/>
      <c r="PUB4" s="18"/>
      <c r="PUC4" s="18"/>
      <c r="PUD4" s="18"/>
      <c r="PUE4" s="18"/>
      <c r="PUF4" s="18"/>
      <c r="PUG4" s="18"/>
      <c r="PUH4" s="18"/>
      <c r="PUI4" s="18"/>
      <c r="PUJ4" s="18"/>
      <c r="PUK4" s="18"/>
      <c r="PUL4" s="18"/>
      <c r="PUM4" s="18"/>
      <c r="PUN4" s="18"/>
      <c r="PUO4" s="18"/>
      <c r="PUP4" s="18"/>
      <c r="PUQ4" s="18"/>
      <c r="PUR4" s="18"/>
      <c r="PUS4" s="18"/>
      <c r="PUT4" s="18"/>
      <c r="PUU4" s="18"/>
      <c r="PUV4" s="18"/>
      <c r="PUW4" s="18"/>
      <c r="PUX4" s="18"/>
      <c r="PUY4" s="18"/>
      <c r="PUZ4" s="18"/>
      <c r="PVA4" s="18"/>
      <c r="PVB4" s="18"/>
      <c r="PVC4" s="18"/>
      <c r="PVD4" s="18"/>
      <c r="PVE4" s="18"/>
      <c r="PVF4" s="18"/>
      <c r="PVG4" s="18"/>
      <c r="PVH4" s="18"/>
      <c r="PVI4" s="18"/>
      <c r="PVJ4" s="18"/>
      <c r="PVK4" s="18"/>
      <c r="PVL4" s="18"/>
      <c r="PVM4" s="18"/>
      <c r="PVN4" s="18"/>
      <c r="PVO4" s="18"/>
      <c r="PVP4" s="18"/>
      <c r="PVQ4" s="18"/>
      <c r="PVR4" s="18"/>
      <c r="PVS4" s="18"/>
      <c r="PVT4" s="18"/>
      <c r="PVU4" s="18"/>
      <c r="PVV4" s="18"/>
      <c r="PVW4" s="18"/>
      <c r="PVX4" s="18"/>
      <c r="PVY4" s="18"/>
      <c r="PVZ4" s="18"/>
      <c r="PWA4" s="18"/>
      <c r="PWB4" s="18"/>
      <c r="PWC4" s="18"/>
      <c r="PWD4" s="18"/>
      <c r="PWE4" s="18"/>
      <c r="PWF4" s="18"/>
      <c r="PWG4" s="18"/>
      <c r="PWH4" s="18"/>
      <c r="PWI4" s="18"/>
      <c r="PWJ4" s="18"/>
      <c r="PWK4" s="18"/>
      <c r="PWL4" s="18"/>
      <c r="PWM4" s="18"/>
      <c r="PWN4" s="18"/>
      <c r="PWO4" s="18"/>
      <c r="PWP4" s="18"/>
      <c r="PWQ4" s="18"/>
      <c r="PWR4" s="18"/>
      <c r="PWS4" s="18"/>
      <c r="PWT4" s="18"/>
      <c r="PWU4" s="18"/>
      <c r="PWV4" s="18"/>
      <c r="PWW4" s="18"/>
      <c r="PWX4" s="18"/>
      <c r="PWY4" s="18"/>
      <c r="PWZ4" s="18"/>
      <c r="PXA4" s="18"/>
      <c r="PXB4" s="18"/>
      <c r="PXC4" s="18"/>
      <c r="PXD4" s="18"/>
      <c r="PXE4" s="18"/>
      <c r="PXF4" s="18"/>
      <c r="PXG4" s="18"/>
      <c r="PXH4" s="18"/>
      <c r="PXI4" s="18"/>
      <c r="PXJ4" s="18"/>
      <c r="PXK4" s="18"/>
      <c r="PXL4" s="18"/>
      <c r="PXM4" s="18"/>
      <c r="PXN4" s="18"/>
      <c r="PXO4" s="18"/>
      <c r="PXP4" s="18"/>
      <c r="PXQ4" s="18"/>
      <c r="PXR4" s="18"/>
      <c r="PXS4" s="18"/>
      <c r="PXT4" s="18"/>
      <c r="PXU4" s="18"/>
      <c r="PXV4" s="18"/>
      <c r="PXW4" s="18"/>
      <c r="PXX4" s="18"/>
      <c r="PXY4" s="18"/>
      <c r="PXZ4" s="18"/>
      <c r="PYA4" s="18"/>
      <c r="PYB4" s="18"/>
      <c r="PYC4" s="18"/>
      <c r="PYD4" s="18"/>
      <c r="PYE4" s="18"/>
      <c r="PYF4" s="18"/>
      <c r="PYG4" s="18"/>
      <c r="PYH4" s="18"/>
      <c r="PYI4" s="18"/>
      <c r="PYJ4" s="18"/>
      <c r="PYK4" s="18"/>
      <c r="PYL4" s="18"/>
      <c r="PYM4" s="18"/>
      <c r="PYN4" s="18"/>
      <c r="PYO4" s="18"/>
      <c r="PYP4" s="18"/>
      <c r="PYQ4" s="18"/>
      <c r="PYR4" s="18"/>
      <c r="PYS4" s="18"/>
      <c r="PYT4" s="18"/>
      <c r="PYU4" s="18"/>
      <c r="PYV4" s="18"/>
      <c r="PYW4" s="18"/>
      <c r="PYX4" s="18"/>
      <c r="PYY4" s="18"/>
      <c r="PYZ4" s="18"/>
      <c r="PZA4" s="18"/>
      <c r="PZB4" s="18"/>
      <c r="PZC4" s="18"/>
      <c r="PZD4" s="18"/>
      <c r="PZE4" s="18"/>
      <c r="PZF4" s="18"/>
      <c r="PZG4" s="18"/>
      <c r="PZH4" s="18"/>
      <c r="PZI4" s="18"/>
      <c r="PZJ4" s="18"/>
      <c r="PZK4" s="18"/>
      <c r="PZL4" s="18"/>
      <c r="PZM4" s="18"/>
      <c r="PZN4" s="18"/>
      <c r="PZO4" s="18"/>
      <c r="PZP4" s="18"/>
      <c r="PZQ4" s="18"/>
      <c r="PZR4" s="18"/>
      <c r="PZS4" s="18"/>
      <c r="PZT4" s="18"/>
      <c r="PZU4" s="18"/>
      <c r="PZV4" s="18"/>
      <c r="PZW4" s="18"/>
      <c r="PZX4" s="18"/>
      <c r="PZY4" s="18"/>
      <c r="PZZ4" s="18"/>
      <c r="QAA4" s="18"/>
      <c r="QAB4" s="18"/>
      <c r="QAC4" s="18"/>
      <c r="QAD4" s="18"/>
      <c r="QAE4" s="18"/>
      <c r="QAF4" s="18"/>
      <c r="QAG4" s="18"/>
      <c r="QAH4" s="18"/>
      <c r="QAI4" s="18"/>
      <c r="QAJ4" s="18"/>
      <c r="QAK4" s="18"/>
      <c r="QAL4" s="18"/>
      <c r="QAM4" s="18"/>
      <c r="QAN4" s="18"/>
      <c r="QAO4" s="18"/>
      <c r="QAP4" s="18"/>
      <c r="QAQ4" s="18"/>
      <c r="QAR4" s="18"/>
      <c r="QAS4" s="18"/>
      <c r="QAT4" s="18"/>
      <c r="QAU4" s="18"/>
      <c r="QAV4" s="18"/>
      <c r="QAW4" s="18"/>
      <c r="QAX4" s="18"/>
      <c r="QAY4" s="18"/>
      <c r="QAZ4" s="18"/>
      <c r="QBA4" s="18"/>
      <c r="QBB4" s="18"/>
      <c r="QBC4" s="18"/>
      <c r="QBD4" s="18"/>
      <c r="QBE4" s="18"/>
      <c r="QBF4" s="18"/>
      <c r="QBG4" s="18"/>
      <c r="QBH4" s="18"/>
      <c r="QBI4" s="18"/>
      <c r="QBJ4" s="18"/>
      <c r="QBK4" s="18"/>
      <c r="QBL4" s="18"/>
      <c r="QBM4" s="18"/>
      <c r="QBN4" s="18"/>
      <c r="QBO4" s="18"/>
      <c r="QBP4" s="18"/>
      <c r="QBQ4" s="18"/>
      <c r="QBR4" s="18"/>
      <c r="QBS4" s="18"/>
      <c r="QBT4" s="18"/>
      <c r="QBU4" s="18"/>
      <c r="QBV4" s="18"/>
      <c r="QBW4" s="18"/>
      <c r="QBX4" s="18"/>
      <c r="QBY4" s="18"/>
      <c r="QBZ4" s="18"/>
      <c r="QCA4" s="18"/>
      <c r="QCB4" s="18"/>
      <c r="QCC4" s="18"/>
      <c r="QCD4" s="18"/>
      <c r="QCE4" s="18"/>
      <c r="QCF4" s="18"/>
      <c r="QCG4" s="18"/>
      <c r="QCH4" s="18"/>
      <c r="QCI4" s="18"/>
      <c r="QCJ4" s="18"/>
      <c r="QCK4" s="18"/>
      <c r="QCL4" s="18"/>
      <c r="QCM4" s="18"/>
      <c r="QCN4" s="18"/>
      <c r="QCO4" s="18"/>
      <c r="QCP4" s="18"/>
      <c r="QCQ4" s="18"/>
      <c r="QCR4" s="18"/>
      <c r="QCS4" s="18"/>
      <c r="QCT4" s="18"/>
      <c r="QCU4" s="18"/>
      <c r="QCV4" s="18"/>
      <c r="QCW4" s="18"/>
      <c r="QCX4" s="18"/>
      <c r="QCY4" s="18"/>
      <c r="QCZ4" s="18"/>
      <c r="QDA4" s="18"/>
      <c r="QDB4" s="18"/>
      <c r="QDC4" s="18"/>
      <c r="QDD4" s="18"/>
      <c r="QDE4" s="18"/>
      <c r="QDF4" s="18"/>
      <c r="QDG4" s="18"/>
      <c r="QDH4" s="18"/>
      <c r="QDI4" s="18"/>
      <c r="QDJ4" s="18"/>
      <c r="QDK4" s="18"/>
      <c r="QDL4" s="18"/>
      <c r="QDM4" s="18"/>
      <c r="QDN4" s="18"/>
      <c r="QDO4" s="18"/>
      <c r="QDP4" s="18"/>
      <c r="QDQ4" s="18"/>
      <c r="QDR4" s="18"/>
      <c r="QDS4" s="18"/>
      <c r="QDT4" s="18"/>
      <c r="QDU4" s="18"/>
      <c r="QDV4" s="18"/>
      <c r="QDW4" s="18"/>
      <c r="QDX4" s="18"/>
      <c r="QDY4" s="18"/>
      <c r="QDZ4" s="18"/>
      <c r="QEA4" s="18"/>
      <c r="QEB4" s="18"/>
      <c r="QEC4" s="18"/>
      <c r="QED4" s="18"/>
      <c r="QEE4" s="18"/>
      <c r="QEF4" s="18"/>
      <c r="QEG4" s="18"/>
      <c r="QEH4" s="18"/>
      <c r="QEI4" s="18"/>
      <c r="QEJ4" s="18"/>
      <c r="QEK4" s="18"/>
      <c r="QEL4" s="18"/>
      <c r="QEM4" s="18"/>
      <c r="QEN4" s="18"/>
      <c r="QEO4" s="18"/>
      <c r="QEP4" s="18"/>
      <c r="QEQ4" s="18"/>
      <c r="QER4" s="18"/>
      <c r="QES4" s="18"/>
      <c r="QET4" s="18"/>
      <c r="QEU4" s="18"/>
      <c r="QEV4" s="18"/>
      <c r="QEW4" s="18"/>
      <c r="QEX4" s="18"/>
      <c r="QEY4" s="18"/>
      <c r="QEZ4" s="18"/>
      <c r="QFA4" s="18"/>
      <c r="QFB4" s="18"/>
      <c r="QFC4" s="18"/>
      <c r="QFD4" s="18"/>
      <c r="QFE4" s="18"/>
      <c r="QFF4" s="18"/>
      <c r="QFG4" s="18"/>
      <c r="QFH4" s="18"/>
      <c r="QFI4" s="18"/>
      <c r="QFJ4" s="18"/>
      <c r="QFK4" s="18"/>
      <c r="QFL4" s="18"/>
      <c r="QFM4" s="18"/>
      <c r="QFN4" s="18"/>
      <c r="QFO4" s="18"/>
      <c r="QFP4" s="18"/>
      <c r="QFQ4" s="18"/>
      <c r="QFR4" s="18"/>
      <c r="QFS4" s="18"/>
      <c r="QFT4" s="18"/>
      <c r="QFU4" s="18"/>
      <c r="QFV4" s="18"/>
      <c r="QFW4" s="18"/>
      <c r="QFX4" s="18"/>
      <c r="QFY4" s="18"/>
      <c r="QFZ4" s="18"/>
      <c r="QGA4" s="18"/>
      <c r="QGB4" s="18"/>
      <c r="QGC4" s="18"/>
      <c r="QGD4" s="18"/>
      <c r="QGE4" s="18"/>
      <c r="QGF4" s="18"/>
      <c r="QGG4" s="18"/>
      <c r="QGH4" s="18"/>
      <c r="QGI4" s="18"/>
      <c r="QGJ4" s="18"/>
      <c r="QGK4" s="18"/>
      <c r="QGL4" s="18"/>
      <c r="QGM4" s="18"/>
      <c r="QGN4" s="18"/>
      <c r="QGO4" s="18"/>
      <c r="QGP4" s="18"/>
      <c r="QGQ4" s="18"/>
      <c r="QGR4" s="18"/>
      <c r="QGS4" s="18"/>
      <c r="QGT4" s="18"/>
      <c r="QGU4" s="18"/>
      <c r="QGV4" s="18"/>
      <c r="QGW4" s="18"/>
      <c r="QGX4" s="18"/>
      <c r="QGY4" s="18"/>
      <c r="QGZ4" s="18"/>
      <c r="QHA4" s="18"/>
      <c r="QHB4" s="18"/>
      <c r="QHC4" s="18"/>
      <c r="QHD4" s="18"/>
      <c r="QHE4" s="18"/>
      <c r="QHF4" s="18"/>
      <c r="QHG4" s="18"/>
      <c r="QHH4" s="18"/>
      <c r="QHI4" s="18"/>
      <c r="QHJ4" s="18"/>
      <c r="QHK4" s="18"/>
      <c r="QHL4" s="18"/>
      <c r="QHM4" s="18"/>
      <c r="QHN4" s="18"/>
      <c r="QHO4" s="18"/>
      <c r="QHP4" s="18"/>
      <c r="QHQ4" s="18"/>
      <c r="QHR4" s="18"/>
      <c r="QHS4" s="18"/>
      <c r="QHT4" s="18"/>
      <c r="QHU4" s="18"/>
      <c r="QHV4" s="18"/>
      <c r="QHW4" s="18"/>
      <c r="QHX4" s="18"/>
      <c r="QHY4" s="18"/>
      <c r="QHZ4" s="18"/>
      <c r="QIA4" s="18"/>
      <c r="QIB4" s="18"/>
      <c r="QIC4" s="18"/>
      <c r="QID4" s="18"/>
      <c r="QIE4" s="18"/>
      <c r="QIF4" s="18"/>
      <c r="QIG4" s="18"/>
      <c r="QIH4" s="18"/>
      <c r="QII4" s="18"/>
      <c r="QIJ4" s="18"/>
      <c r="QIK4" s="18"/>
      <c r="QIL4" s="18"/>
      <c r="QIM4" s="18"/>
      <c r="QIN4" s="18"/>
      <c r="QIO4" s="18"/>
      <c r="QIP4" s="18"/>
      <c r="QIQ4" s="18"/>
      <c r="QIR4" s="18"/>
      <c r="QIS4" s="18"/>
      <c r="QIT4" s="18"/>
      <c r="QIU4" s="18"/>
      <c r="QIV4" s="18"/>
      <c r="QIW4" s="18"/>
      <c r="QIX4" s="18"/>
      <c r="QIY4" s="18"/>
      <c r="QIZ4" s="18"/>
      <c r="QJA4" s="18"/>
      <c r="QJB4" s="18"/>
      <c r="QJC4" s="18"/>
      <c r="QJD4" s="18"/>
      <c r="QJE4" s="18"/>
      <c r="QJF4" s="18"/>
      <c r="QJG4" s="18"/>
      <c r="QJH4" s="18"/>
      <c r="QJI4" s="18"/>
      <c r="QJJ4" s="18"/>
      <c r="QJK4" s="18"/>
      <c r="QJL4" s="18"/>
      <c r="QJM4" s="18"/>
      <c r="QJN4" s="18"/>
      <c r="QJO4" s="18"/>
      <c r="QJP4" s="18"/>
      <c r="QJQ4" s="18"/>
      <c r="QJR4" s="18"/>
      <c r="QJS4" s="18"/>
      <c r="QJT4" s="18"/>
      <c r="QJU4" s="18"/>
      <c r="QJV4" s="18"/>
      <c r="QJW4" s="18"/>
      <c r="QJX4" s="18"/>
      <c r="QJY4" s="18"/>
      <c r="QJZ4" s="18"/>
      <c r="QKA4" s="18"/>
      <c r="QKB4" s="18"/>
      <c r="QKC4" s="18"/>
      <c r="QKD4" s="18"/>
      <c r="QKE4" s="18"/>
      <c r="QKF4" s="18"/>
      <c r="QKG4" s="18"/>
      <c r="QKH4" s="18"/>
      <c r="QKI4" s="18"/>
      <c r="QKJ4" s="18"/>
      <c r="QKK4" s="18"/>
      <c r="QKL4" s="18"/>
      <c r="QKM4" s="18"/>
      <c r="QKN4" s="18"/>
      <c r="QKO4" s="18"/>
      <c r="QKP4" s="18"/>
      <c r="QKQ4" s="18"/>
      <c r="QKR4" s="18"/>
      <c r="QKS4" s="18"/>
      <c r="QKT4" s="18"/>
      <c r="QKU4" s="18"/>
      <c r="QKV4" s="18"/>
      <c r="QKW4" s="18"/>
      <c r="QKX4" s="18"/>
      <c r="QKY4" s="18"/>
      <c r="QKZ4" s="18"/>
      <c r="QLA4" s="18"/>
      <c r="QLB4" s="18"/>
      <c r="QLC4" s="18"/>
      <c r="QLD4" s="18"/>
      <c r="QLE4" s="18"/>
      <c r="QLF4" s="18"/>
      <c r="QLG4" s="18"/>
      <c r="QLH4" s="18"/>
      <c r="QLI4" s="18"/>
      <c r="QLJ4" s="18"/>
      <c r="QLK4" s="18"/>
      <c r="QLL4" s="18"/>
      <c r="QLM4" s="18"/>
      <c r="QLN4" s="18"/>
      <c r="QLO4" s="18"/>
      <c r="QLP4" s="18"/>
      <c r="QLQ4" s="18"/>
      <c r="QLR4" s="18"/>
      <c r="QLS4" s="18"/>
      <c r="QLT4" s="18"/>
      <c r="QLU4" s="18"/>
      <c r="QLV4" s="18"/>
      <c r="QLW4" s="18"/>
      <c r="QLX4" s="18"/>
      <c r="QLY4" s="18"/>
      <c r="QLZ4" s="18"/>
      <c r="QMA4" s="18"/>
      <c r="QMB4" s="18"/>
      <c r="QMC4" s="18"/>
      <c r="QMD4" s="18"/>
      <c r="QME4" s="18"/>
      <c r="QMF4" s="18"/>
      <c r="QMG4" s="18"/>
      <c r="QMH4" s="18"/>
      <c r="QMI4" s="18"/>
      <c r="QMJ4" s="18"/>
      <c r="QMK4" s="18"/>
      <c r="QML4" s="18"/>
      <c r="QMM4" s="18"/>
      <c r="QMN4" s="18"/>
      <c r="QMO4" s="18"/>
      <c r="QMP4" s="18"/>
      <c r="QMQ4" s="18"/>
      <c r="QMR4" s="18"/>
      <c r="QMS4" s="18"/>
      <c r="QMT4" s="18"/>
      <c r="QMU4" s="18"/>
      <c r="QMV4" s="18"/>
      <c r="QMW4" s="18"/>
      <c r="QMX4" s="18"/>
      <c r="QMY4" s="18"/>
      <c r="QMZ4" s="18"/>
      <c r="QNA4" s="18"/>
      <c r="QNB4" s="18"/>
      <c r="QNC4" s="18"/>
      <c r="QND4" s="18"/>
      <c r="QNE4" s="18"/>
      <c r="QNF4" s="18"/>
      <c r="QNG4" s="18"/>
      <c r="QNH4" s="18"/>
      <c r="QNI4" s="18"/>
      <c r="QNJ4" s="18"/>
      <c r="QNK4" s="18"/>
      <c r="QNL4" s="18"/>
      <c r="QNM4" s="18"/>
      <c r="QNN4" s="18"/>
      <c r="QNO4" s="18"/>
      <c r="QNP4" s="18"/>
      <c r="QNQ4" s="18"/>
      <c r="QNR4" s="18"/>
      <c r="QNS4" s="18"/>
      <c r="QNT4" s="18"/>
      <c r="QNU4" s="18"/>
      <c r="QNV4" s="18"/>
      <c r="QNW4" s="18"/>
      <c r="QNX4" s="18"/>
      <c r="QNY4" s="18"/>
      <c r="QNZ4" s="18"/>
      <c r="QOA4" s="18"/>
      <c r="QOB4" s="18"/>
      <c r="QOC4" s="18"/>
      <c r="QOD4" s="18"/>
      <c r="QOE4" s="18"/>
      <c r="QOF4" s="18"/>
      <c r="QOG4" s="18"/>
      <c r="QOH4" s="18"/>
      <c r="QOI4" s="18"/>
      <c r="QOJ4" s="18"/>
      <c r="QOK4" s="18"/>
      <c r="QOL4" s="18"/>
      <c r="QOM4" s="18"/>
      <c r="QON4" s="18"/>
      <c r="QOO4" s="18"/>
      <c r="QOP4" s="18"/>
      <c r="QOQ4" s="18"/>
      <c r="QOR4" s="18"/>
      <c r="QOS4" s="18"/>
      <c r="QOT4" s="18"/>
      <c r="QOU4" s="18"/>
      <c r="QOV4" s="18"/>
      <c r="QOW4" s="18"/>
      <c r="QOX4" s="18"/>
      <c r="QOY4" s="18"/>
      <c r="QOZ4" s="18"/>
      <c r="QPA4" s="18"/>
      <c r="QPB4" s="18"/>
      <c r="QPC4" s="18"/>
      <c r="QPD4" s="18"/>
      <c r="QPE4" s="18"/>
      <c r="QPF4" s="18"/>
      <c r="QPG4" s="18"/>
      <c r="QPH4" s="18"/>
      <c r="QPI4" s="18"/>
      <c r="QPJ4" s="18"/>
      <c r="QPK4" s="18"/>
      <c r="QPL4" s="18"/>
      <c r="QPM4" s="18"/>
      <c r="QPN4" s="18"/>
      <c r="QPO4" s="18"/>
      <c r="QPP4" s="18"/>
      <c r="QPQ4" s="18"/>
      <c r="QPR4" s="18"/>
      <c r="QPS4" s="18"/>
      <c r="QPT4" s="18"/>
      <c r="QPU4" s="18"/>
      <c r="QPV4" s="18"/>
      <c r="QPW4" s="18"/>
      <c r="QPX4" s="18"/>
      <c r="QPY4" s="18"/>
      <c r="QPZ4" s="18"/>
      <c r="QQA4" s="18"/>
      <c r="QQB4" s="18"/>
      <c r="QQC4" s="18"/>
      <c r="QQD4" s="18"/>
      <c r="QQE4" s="18"/>
      <c r="QQF4" s="18"/>
      <c r="QQG4" s="18"/>
      <c r="QQH4" s="18"/>
      <c r="QQI4" s="18"/>
      <c r="QQJ4" s="18"/>
      <c r="QQK4" s="18"/>
      <c r="QQL4" s="18"/>
      <c r="QQM4" s="18"/>
      <c r="QQN4" s="18"/>
      <c r="QQO4" s="18"/>
      <c r="QQP4" s="18"/>
      <c r="QQQ4" s="18"/>
      <c r="QQR4" s="18"/>
      <c r="QQS4" s="18"/>
      <c r="QQT4" s="18"/>
      <c r="QQU4" s="18"/>
      <c r="QQV4" s="18"/>
      <c r="QQW4" s="18"/>
      <c r="QQX4" s="18"/>
      <c r="QQY4" s="18"/>
      <c r="QQZ4" s="18"/>
      <c r="QRA4" s="18"/>
      <c r="QRB4" s="18"/>
      <c r="QRC4" s="18"/>
      <c r="QRD4" s="18"/>
      <c r="QRE4" s="18"/>
      <c r="QRF4" s="18"/>
      <c r="QRG4" s="18"/>
      <c r="QRH4" s="18"/>
      <c r="QRI4" s="18"/>
      <c r="QRJ4" s="18"/>
      <c r="QRK4" s="18"/>
      <c r="QRL4" s="18"/>
      <c r="QRM4" s="18"/>
      <c r="QRN4" s="18"/>
      <c r="QRO4" s="18"/>
      <c r="QRP4" s="18"/>
      <c r="QRQ4" s="18"/>
      <c r="QRR4" s="18"/>
      <c r="QRS4" s="18"/>
      <c r="QRT4" s="18"/>
      <c r="QRU4" s="18"/>
      <c r="QRV4" s="18"/>
      <c r="QRW4" s="18"/>
      <c r="QRX4" s="18"/>
      <c r="QRY4" s="18"/>
      <c r="QRZ4" s="18"/>
      <c r="QSA4" s="18"/>
      <c r="QSB4" s="18"/>
      <c r="QSC4" s="18"/>
      <c r="QSD4" s="18"/>
      <c r="QSE4" s="18"/>
      <c r="QSF4" s="18"/>
      <c r="QSG4" s="18"/>
      <c r="QSH4" s="18"/>
      <c r="QSI4" s="18"/>
      <c r="QSJ4" s="18"/>
      <c r="QSK4" s="18"/>
      <c r="QSL4" s="18"/>
      <c r="QSM4" s="18"/>
      <c r="QSN4" s="18"/>
      <c r="QSO4" s="18"/>
      <c r="QSP4" s="18"/>
      <c r="QSQ4" s="18"/>
      <c r="QSR4" s="18"/>
      <c r="QSS4" s="18"/>
      <c r="QST4" s="18"/>
      <c r="QSU4" s="18"/>
      <c r="QSV4" s="18"/>
      <c r="QSW4" s="18"/>
      <c r="QSX4" s="18"/>
      <c r="QSY4" s="18"/>
      <c r="QSZ4" s="18"/>
      <c r="QTA4" s="18"/>
      <c r="QTB4" s="18"/>
      <c r="QTC4" s="18"/>
      <c r="QTD4" s="18"/>
      <c r="QTE4" s="18"/>
      <c r="QTF4" s="18"/>
      <c r="QTG4" s="18"/>
      <c r="QTH4" s="18"/>
      <c r="QTI4" s="18"/>
      <c r="QTJ4" s="18"/>
      <c r="QTK4" s="18"/>
      <c r="QTL4" s="18"/>
      <c r="QTM4" s="18"/>
      <c r="QTN4" s="18"/>
      <c r="QTO4" s="18"/>
      <c r="QTP4" s="18"/>
      <c r="QTQ4" s="18"/>
      <c r="QTR4" s="18"/>
      <c r="QTS4" s="18"/>
      <c r="QTT4" s="18"/>
      <c r="QTU4" s="18"/>
      <c r="QTV4" s="18"/>
      <c r="QTW4" s="18"/>
      <c r="QTX4" s="18"/>
      <c r="QTY4" s="18"/>
      <c r="QTZ4" s="18"/>
      <c r="QUA4" s="18"/>
      <c r="QUB4" s="18"/>
      <c r="QUC4" s="18"/>
      <c r="QUD4" s="18"/>
      <c r="QUE4" s="18"/>
      <c r="QUF4" s="18"/>
      <c r="QUG4" s="18"/>
      <c r="QUH4" s="18"/>
      <c r="QUI4" s="18"/>
      <c r="QUJ4" s="18"/>
      <c r="QUK4" s="18"/>
      <c r="QUL4" s="18"/>
      <c r="QUM4" s="18"/>
      <c r="QUN4" s="18"/>
      <c r="QUO4" s="18"/>
      <c r="QUP4" s="18"/>
      <c r="QUQ4" s="18"/>
      <c r="QUR4" s="18"/>
      <c r="QUS4" s="18"/>
      <c r="QUT4" s="18"/>
      <c r="QUU4" s="18"/>
      <c r="QUV4" s="18"/>
      <c r="QUW4" s="18"/>
      <c r="QUX4" s="18"/>
      <c r="QUY4" s="18"/>
      <c r="QUZ4" s="18"/>
      <c r="QVA4" s="18"/>
      <c r="QVB4" s="18"/>
      <c r="QVC4" s="18"/>
      <c r="QVD4" s="18"/>
      <c r="QVE4" s="18"/>
      <c r="QVF4" s="18"/>
      <c r="QVG4" s="18"/>
      <c r="QVH4" s="18"/>
      <c r="QVI4" s="18"/>
      <c r="QVJ4" s="18"/>
      <c r="QVK4" s="18"/>
      <c r="QVL4" s="18"/>
      <c r="QVM4" s="18"/>
      <c r="QVN4" s="18"/>
      <c r="QVO4" s="18"/>
      <c r="QVP4" s="18"/>
      <c r="QVQ4" s="18"/>
      <c r="QVR4" s="18"/>
      <c r="QVS4" s="18"/>
      <c r="QVT4" s="18"/>
      <c r="QVU4" s="18"/>
      <c r="QVV4" s="18"/>
      <c r="QVW4" s="18"/>
      <c r="QVX4" s="18"/>
      <c r="QVY4" s="18"/>
      <c r="QVZ4" s="18"/>
      <c r="QWA4" s="18"/>
      <c r="QWB4" s="18"/>
      <c r="QWC4" s="18"/>
      <c r="QWD4" s="18"/>
      <c r="QWE4" s="18"/>
      <c r="QWF4" s="18"/>
      <c r="QWG4" s="18"/>
      <c r="QWH4" s="18"/>
      <c r="QWI4" s="18"/>
      <c r="QWJ4" s="18"/>
      <c r="QWK4" s="18"/>
      <c r="QWL4" s="18"/>
      <c r="QWM4" s="18"/>
      <c r="QWN4" s="18"/>
      <c r="QWO4" s="18"/>
      <c r="QWP4" s="18"/>
      <c r="QWQ4" s="18"/>
      <c r="QWR4" s="18"/>
      <c r="QWS4" s="18"/>
      <c r="QWT4" s="18"/>
      <c r="QWU4" s="18"/>
      <c r="QWV4" s="18"/>
      <c r="QWW4" s="18"/>
      <c r="QWX4" s="18"/>
      <c r="QWY4" s="18"/>
      <c r="QWZ4" s="18"/>
      <c r="QXA4" s="18"/>
      <c r="QXB4" s="18"/>
      <c r="QXC4" s="18"/>
      <c r="QXD4" s="18"/>
      <c r="QXE4" s="18"/>
      <c r="QXF4" s="18"/>
      <c r="QXG4" s="18"/>
      <c r="QXH4" s="18"/>
      <c r="QXI4" s="18"/>
      <c r="QXJ4" s="18"/>
      <c r="QXK4" s="18"/>
      <c r="QXL4" s="18"/>
      <c r="QXM4" s="18"/>
      <c r="QXN4" s="18"/>
      <c r="QXO4" s="18"/>
      <c r="QXP4" s="18"/>
      <c r="QXQ4" s="18"/>
      <c r="QXR4" s="18"/>
      <c r="QXS4" s="18"/>
      <c r="QXT4" s="18"/>
      <c r="QXU4" s="18"/>
      <c r="QXV4" s="18"/>
      <c r="QXW4" s="18"/>
      <c r="QXX4" s="18"/>
      <c r="QXY4" s="18"/>
      <c r="QXZ4" s="18"/>
      <c r="QYA4" s="18"/>
      <c r="QYB4" s="18"/>
      <c r="QYC4" s="18"/>
      <c r="QYD4" s="18"/>
      <c r="QYE4" s="18"/>
      <c r="QYF4" s="18"/>
      <c r="QYG4" s="18"/>
      <c r="QYH4" s="18"/>
      <c r="QYI4" s="18"/>
      <c r="QYJ4" s="18"/>
      <c r="QYK4" s="18"/>
      <c r="QYL4" s="18"/>
      <c r="QYM4" s="18"/>
      <c r="QYN4" s="18"/>
      <c r="QYO4" s="18"/>
      <c r="QYP4" s="18"/>
      <c r="QYQ4" s="18"/>
      <c r="QYR4" s="18"/>
      <c r="QYS4" s="18"/>
      <c r="QYT4" s="18"/>
      <c r="QYU4" s="18"/>
      <c r="QYV4" s="18"/>
      <c r="QYW4" s="18"/>
      <c r="QYX4" s="18"/>
      <c r="QYY4" s="18"/>
      <c r="QYZ4" s="18"/>
      <c r="QZA4" s="18"/>
      <c r="QZB4" s="18"/>
      <c r="QZC4" s="18"/>
      <c r="QZD4" s="18"/>
      <c r="QZE4" s="18"/>
      <c r="QZF4" s="18"/>
      <c r="QZG4" s="18"/>
      <c r="QZH4" s="18"/>
      <c r="QZI4" s="18"/>
      <c r="QZJ4" s="18"/>
      <c r="QZK4" s="18"/>
      <c r="QZL4" s="18"/>
      <c r="QZM4" s="18"/>
      <c r="QZN4" s="18"/>
      <c r="QZO4" s="18"/>
      <c r="QZP4" s="18"/>
      <c r="QZQ4" s="18"/>
      <c r="QZR4" s="18"/>
      <c r="QZS4" s="18"/>
      <c r="QZT4" s="18"/>
      <c r="QZU4" s="18"/>
      <c r="QZV4" s="18"/>
      <c r="QZW4" s="18"/>
      <c r="QZX4" s="18"/>
      <c r="QZY4" s="18"/>
      <c r="QZZ4" s="18"/>
      <c r="RAA4" s="18"/>
      <c r="RAB4" s="18"/>
      <c r="RAC4" s="18"/>
      <c r="RAD4" s="18"/>
      <c r="RAE4" s="18"/>
      <c r="RAF4" s="18"/>
      <c r="RAG4" s="18"/>
      <c r="RAH4" s="18"/>
      <c r="RAI4" s="18"/>
      <c r="RAJ4" s="18"/>
      <c r="RAK4" s="18"/>
      <c r="RAL4" s="18"/>
      <c r="RAM4" s="18"/>
      <c r="RAN4" s="18"/>
      <c r="RAO4" s="18"/>
      <c r="RAP4" s="18"/>
      <c r="RAQ4" s="18"/>
      <c r="RAR4" s="18"/>
      <c r="RAS4" s="18"/>
      <c r="RAT4" s="18"/>
      <c r="RAU4" s="18"/>
      <c r="RAV4" s="18"/>
      <c r="RAW4" s="18"/>
      <c r="RAX4" s="18"/>
      <c r="RAY4" s="18"/>
      <c r="RAZ4" s="18"/>
      <c r="RBA4" s="18"/>
      <c r="RBB4" s="18"/>
      <c r="RBC4" s="18"/>
      <c r="RBD4" s="18"/>
      <c r="RBE4" s="18"/>
      <c r="RBF4" s="18"/>
      <c r="RBG4" s="18"/>
      <c r="RBH4" s="18"/>
      <c r="RBI4" s="18"/>
      <c r="RBJ4" s="18"/>
      <c r="RBK4" s="18"/>
      <c r="RBL4" s="18"/>
      <c r="RBM4" s="18"/>
      <c r="RBN4" s="18"/>
      <c r="RBO4" s="18"/>
      <c r="RBP4" s="18"/>
      <c r="RBQ4" s="18"/>
      <c r="RBR4" s="18"/>
      <c r="RBS4" s="18"/>
      <c r="RBT4" s="18"/>
      <c r="RBU4" s="18"/>
      <c r="RBV4" s="18"/>
      <c r="RBW4" s="18"/>
      <c r="RBX4" s="18"/>
      <c r="RBY4" s="18"/>
      <c r="RBZ4" s="18"/>
      <c r="RCA4" s="18"/>
      <c r="RCB4" s="18"/>
      <c r="RCC4" s="18"/>
      <c r="RCD4" s="18"/>
      <c r="RCE4" s="18"/>
      <c r="RCF4" s="18"/>
      <c r="RCG4" s="18"/>
      <c r="RCH4" s="18"/>
      <c r="RCI4" s="18"/>
      <c r="RCJ4" s="18"/>
      <c r="RCK4" s="18"/>
      <c r="RCL4" s="18"/>
      <c r="RCM4" s="18"/>
      <c r="RCN4" s="18"/>
      <c r="RCO4" s="18"/>
      <c r="RCP4" s="18"/>
      <c r="RCQ4" s="18"/>
      <c r="RCR4" s="18"/>
      <c r="RCS4" s="18"/>
      <c r="RCT4" s="18"/>
      <c r="RCU4" s="18"/>
      <c r="RCV4" s="18"/>
      <c r="RCW4" s="18"/>
      <c r="RCX4" s="18"/>
      <c r="RCY4" s="18"/>
      <c r="RCZ4" s="18"/>
      <c r="RDA4" s="18"/>
      <c r="RDB4" s="18"/>
      <c r="RDC4" s="18"/>
      <c r="RDD4" s="18"/>
      <c r="RDE4" s="18"/>
      <c r="RDF4" s="18"/>
      <c r="RDG4" s="18"/>
      <c r="RDH4" s="18"/>
      <c r="RDI4" s="18"/>
      <c r="RDJ4" s="18"/>
      <c r="RDK4" s="18"/>
      <c r="RDL4" s="18"/>
      <c r="RDM4" s="18"/>
      <c r="RDN4" s="18"/>
      <c r="RDO4" s="18"/>
      <c r="RDP4" s="18"/>
      <c r="RDQ4" s="18"/>
      <c r="RDR4" s="18"/>
      <c r="RDS4" s="18"/>
      <c r="RDT4" s="18"/>
      <c r="RDU4" s="18"/>
      <c r="RDV4" s="18"/>
      <c r="RDW4" s="18"/>
      <c r="RDX4" s="18"/>
      <c r="RDY4" s="18"/>
      <c r="RDZ4" s="18"/>
      <c r="REA4" s="18"/>
      <c r="REB4" s="18"/>
      <c r="REC4" s="18"/>
      <c r="RED4" s="18"/>
      <c r="REE4" s="18"/>
      <c r="REF4" s="18"/>
      <c r="REG4" s="18"/>
      <c r="REH4" s="18"/>
      <c r="REI4" s="18"/>
      <c r="REJ4" s="18"/>
      <c r="REK4" s="18"/>
      <c r="REL4" s="18"/>
      <c r="REM4" s="18"/>
      <c r="REN4" s="18"/>
      <c r="REO4" s="18"/>
      <c r="REP4" s="18"/>
      <c r="REQ4" s="18"/>
      <c r="RER4" s="18"/>
      <c r="RES4" s="18"/>
      <c r="RET4" s="18"/>
      <c r="REU4" s="18"/>
      <c r="REV4" s="18"/>
      <c r="REW4" s="18"/>
      <c r="REX4" s="18"/>
      <c r="REY4" s="18"/>
      <c r="REZ4" s="18"/>
      <c r="RFA4" s="18"/>
      <c r="RFB4" s="18"/>
      <c r="RFC4" s="18"/>
      <c r="RFD4" s="18"/>
      <c r="RFE4" s="18"/>
      <c r="RFF4" s="18"/>
      <c r="RFG4" s="18"/>
      <c r="RFH4" s="18"/>
      <c r="RFI4" s="18"/>
      <c r="RFJ4" s="18"/>
      <c r="RFK4" s="18"/>
      <c r="RFL4" s="18"/>
      <c r="RFM4" s="18"/>
      <c r="RFN4" s="18"/>
      <c r="RFO4" s="18"/>
      <c r="RFP4" s="18"/>
      <c r="RFQ4" s="18"/>
      <c r="RFR4" s="18"/>
      <c r="RFS4" s="18"/>
      <c r="RFT4" s="18"/>
      <c r="RFU4" s="18"/>
      <c r="RFV4" s="18"/>
      <c r="RFW4" s="18"/>
      <c r="RFX4" s="18"/>
      <c r="RFY4" s="18"/>
      <c r="RFZ4" s="18"/>
      <c r="RGA4" s="18"/>
      <c r="RGB4" s="18"/>
      <c r="RGC4" s="18"/>
      <c r="RGD4" s="18"/>
      <c r="RGE4" s="18"/>
      <c r="RGF4" s="18"/>
      <c r="RGG4" s="18"/>
      <c r="RGH4" s="18"/>
      <c r="RGI4" s="18"/>
      <c r="RGJ4" s="18"/>
      <c r="RGK4" s="18"/>
      <c r="RGL4" s="18"/>
      <c r="RGM4" s="18"/>
      <c r="RGN4" s="18"/>
      <c r="RGO4" s="18"/>
      <c r="RGP4" s="18"/>
      <c r="RGQ4" s="18"/>
      <c r="RGR4" s="18"/>
      <c r="RGS4" s="18"/>
      <c r="RGT4" s="18"/>
      <c r="RGU4" s="18"/>
      <c r="RGV4" s="18"/>
      <c r="RGW4" s="18"/>
      <c r="RGX4" s="18"/>
      <c r="RGY4" s="18"/>
      <c r="RGZ4" s="18"/>
      <c r="RHA4" s="18"/>
      <c r="RHB4" s="18"/>
      <c r="RHC4" s="18"/>
      <c r="RHD4" s="18"/>
      <c r="RHE4" s="18"/>
      <c r="RHF4" s="18"/>
      <c r="RHG4" s="18"/>
      <c r="RHH4" s="18"/>
      <c r="RHI4" s="18"/>
      <c r="RHJ4" s="18"/>
      <c r="RHK4" s="18"/>
      <c r="RHL4" s="18"/>
      <c r="RHM4" s="18"/>
      <c r="RHN4" s="18"/>
      <c r="RHO4" s="18"/>
      <c r="RHP4" s="18"/>
      <c r="RHQ4" s="18"/>
      <c r="RHR4" s="18"/>
      <c r="RHS4" s="18"/>
      <c r="RHT4" s="18"/>
      <c r="RHU4" s="18"/>
      <c r="RHV4" s="18"/>
      <c r="RHW4" s="18"/>
      <c r="RHX4" s="18"/>
      <c r="RHY4" s="18"/>
      <c r="RHZ4" s="18"/>
      <c r="RIA4" s="18"/>
      <c r="RIB4" s="18"/>
      <c r="RIC4" s="18"/>
      <c r="RID4" s="18"/>
      <c r="RIE4" s="18"/>
      <c r="RIF4" s="18"/>
      <c r="RIG4" s="18"/>
      <c r="RIH4" s="18"/>
      <c r="RII4" s="18"/>
      <c r="RIJ4" s="18"/>
      <c r="RIK4" s="18"/>
      <c r="RIL4" s="18"/>
      <c r="RIM4" s="18"/>
      <c r="RIN4" s="18"/>
      <c r="RIO4" s="18"/>
      <c r="RIP4" s="18"/>
      <c r="RIQ4" s="18"/>
      <c r="RIR4" s="18"/>
      <c r="RIS4" s="18"/>
      <c r="RIT4" s="18"/>
      <c r="RIU4" s="18"/>
      <c r="RIV4" s="18"/>
      <c r="RIW4" s="18"/>
      <c r="RIX4" s="18"/>
      <c r="RIY4" s="18"/>
      <c r="RIZ4" s="18"/>
      <c r="RJA4" s="18"/>
      <c r="RJB4" s="18"/>
      <c r="RJC4" s="18"/>
      <c r="RJD4" s="18"/>
      <c r="RJE4" s="18"/>
      <c r="RJF4" s="18"/>
      <c r="RJG4" s="18"/>
      <c r="RJH4" s="18"/>
      <c r="RJI4" s="18"/>
      <c r="RJJ4" s="18"/>
      <c r="RJK4" s="18"/>
      <c r="RJL4" s="18"/>
      <c r="RJM4" s="18"/>
      <c r="RJN4" s="18"/>
      <c r="RJO4" s="18"/>
      <c r="RJP4" s="18"/>
      <c r="RJQ4" s="18"/>
      <c r="RJR4" s="18"/>
      <c r="RJS4" s="18"/>
      <c r="RJT4" s="18"/>
      <c r="RJU4" s="18"/>
      <c r="RJV4" s="18"/>
      <c r="RJW4" s="18"/>
      <c r="RJX4" s="18"/>
      <c r="RJY4" s="18"/>
      <c r="RJZ4" s="18"/>
      <c r="RKA4" s="18"/>
      <c r="RKB4" s="18"/>
      <c r="RKC4" s="18"/>
      <c r="RKD4" s="18"/>
      <c r="RKE4" s="18"/>
      <c r="RKF4" s="18"/>
      <c r="RKG4" s="18"/>
      <c r="RKH4" s="18"/>
      <c r="RKI4" s="18"/>
      <c r="RKJ4" s="18"/>
      <c r="RKK4" s="18"/>
      <c r="RKL4" s="18"/>
      <c r="RKM4" s="18"/>
      <c r="RKN4" s="18"/>
      <c r="RKO4" s="18"/>
      <c r="RKP4" s="18"/>
      <c r="RKQ4" s="18"/>
      <c r="RKR4" s="18"/>
      <c r="RKS4" s="18"/>
      <c r="RKT4" s="18"/>
      <c r="RKU4" s="18"/>
      <c r="RKV4" s="18"/>
      <c r="RKW4" s="18"/>
      <c r="RKX4" s="18"/>
      <c r="RKY4" s="18"/>
      <c r="RKZ4" s="18"/>
      <c r="RLA4" s="18"/>
      <c r="RLB4" s="18"/>
      <c r="RLC4" s="18"/>
      <c r="RLD4" s="18"/>
      <c r="RLE4" s="18"/>
      <c r="RLF4" s="18"/>
      <c r="RLG4" s="18"/>
      <c r="RLH4" s="18"/>
      <c r="RLI4" s="18"/>
      <c r="RLJ4" s="18"/>
      <c r="RLK4" s="18"/>
      <c r="RLL4" s="18"/>
      <c r="RLM4" s="18"/>
      <c r="RLN4" s="18"/>
      <c r="RLO4" s="18"/>
      <c r="RLP4" s="18"/>
      <c r="RLQ4" s="18"/>
      <c r="RLR4" s="18"/>
      <c r="RLS4" s="18"/>
      <c r="RLT4" s="18"/>
      <c r="RLU4" s="18"/>
      <c r="RLV4" s="18"/>
      <c r="RLW4" s="18"/>
      <c r="RLX4" s="18"/>
      <c r="RLY4" s="18"/>
      <c r="RLZ4" s="18"/>
      <c r="RMA4" s="18"/>
      <c r="RMB4" s="18"/>
      <c r="RMC4" s="18"/>
      <c r="RMD4" s="18"/>
      <c r="RME4" s="18"/>
      <c r="RMF4" s="18"/>
      <c r="RMG4" s="18"/>
      <c r="RMH4" s="18"/>
      <c r="RMI4" s="18"/>
      <c r="RMJ4" s="18"/>
      <c r="RMK4" s="18"/>
      <c r="RML4" s="18"/>
      <c r="RMM4" s="18"/>
      <c r="RMN4" s="18"/>
      <c r="RMO4" s="18"/>
      <c r="RMP4" s="18"/>
      <c r="RMQ4" s="18"/>
      <c r="RMR4" s="18"/>
      <c r="RMS4" s="18"/>
      <c r="RMT4" s="18"/>
      <c r="RMU4" s="18"/>
      <c r="RMV4" s="18"/>
      <c r="RMW4" s="18"/>
      <c r="RMX4" s="18"/>
      <c r="RMY4" s="18"/>
      <c r="RMZ4" s="18"/>
      <c r="RNA4" s="18"/>
      <c r="RNB4" s="18"/>
      <c r="RNC4" s="18"/>
      <c r="RND4" s="18"/>
      <c r="RNE4" s="18"/>
      <c r="RNF4" s="18"/>
      <c r="RNG4" s="18"/>
      <c r="RNH4" s="18"/>
      <c r="RNI4" s="18"/>
      <c r="RNJ4" s="18"/>
      <c r="RNK4" s="18"/>
      <c r="RNL4" s="18"/>
      <c r="RNM4" s="18"/>
      <c r="RNN4" s="18"/>
      <c r="RNO4" s="18"/>
      <c r="RNP4" s="18"/>
      <c r="RNQ4" s="18"/>
      <c r="RNR4" s="18"/>
      <c r="RNS4" s="18"/>
      <c r="RNT4" s="18"/>
      <c r="RNU4" s="18"/>
      <c r="RNV4" s="18"/>
      <c r="RNW4" s="18"/>
      <c r="RNX4" s="18"/>
      <c r="RNY4" s="18"/>
      <c r="RNZ4" s="18"/>
      <c r="ROA4" s="18"/>
      <c r="ROB4" s="18"/>
      <c r="ROC4" s="18"/>
      <c r="ROD4" s="18"/>
      <c r="ROE4" s="18"/>
      <c r="ROF4" s="18"/>
      <c r="ROG4" s="18"/>
      <c r="ROH4" s="18"/>
      <c r="ROI4" s="18"/>
      <c r="ROJ4" s="18"/>
      <c r="ROK4" s="18"/>
      <c r="ROL4" s="18"/>
      <c r="ROM4" s="18"/>
      <c r="RON4" s="18"/>
      <c r="ROO4" s="18"/>
      <c r="ROP4" s="18"/>
      <c r="ROQ4" s="18"/>
      <c r="ROR4" s="18"/>
      <c r="ROS4" s="18"/>
      <c r="ROT4" s="18"/>
      <c r="ROU4" s="18"/>
      <c r="ROV4" s="18"/>
      <c r="ROW4" s="18"/>
      <c r="ROX4" s="18"/>
      <c r="ROY4" s="18"/>
      <c r="ROZ4" s="18"/>
      <c r="RPA4" s="18"/>
      <c r="RPB4" s="18"/>
      <c r="RPC4" s="18"/>
      <c r="RPD4" s="18"/>
      <c r="RPE4" s="18"/>
      <c r="RPF4" s="18"/>
      <c r="RPG4" s="18"/>
      <c r="RPH4" s="18"/>
      <c r="RPI4" s="18"/>
      <c r="RPJ4" s="18"/>
      <c r="RPK4" s="18"/>
      <c r="RPL4" s="18"/>
      <c r="RPM4" s="18"/>
      <c r="RPN4" s="18"/>
      <c r="RPO4" s="18"/>
      <c r="RPP4" s="18"/>
      <c r="RPQ4" s="18"/>
      <c r="RPR4" s="18"/>
      <c r="RPS4" s="18"/>
      <c r="RPT4" s="18"/>
      <c r="RPU4" s="18"/>
      <c r="RPV4" s="18"/>
      <c r="RPW4" s="18"/>
      <c r="RPX4" s="18"/>
      <c r="RPY4" s="18"/>
      <c r="RPZ4" s="18"/>
      <c r="RQA4" s="18"/>
      <c r="RQB4" s="18"/>
      <c r="RQC4" s="18"/>
      <c r="RQD4" s="18"/>
      <c r="RQE4" s="18"/>
      <c r="RQF4" s="18"/>
      <c r="RQG4" s="18"/>
      <c r="RQH4" s="18"/>
      <c r="RQI4" s="18"/>
      <c r="RQJ4" s="18"/>
      <c r="RQK4" s="18"/>
      <c r="RQL4" s="18"/>
      <c r="RQM4" s="18"/>
      <c r="RQN4" s="18"/>
      <c r="RQO4" s="18"/>
      <c r="RQP4" s="18"/>
      <c r="RQQ4" s="18"/>
      <c r="RQR4" s="18"/>
      <c r="RQS4" s="18"/>
      <c r="RQT4" s="18"/>
      <c r="RQU4" s="18"/>
      <c r="RQV4" s="18"/>
      <c r="RQW4" s="18"/>
      <c r="RQX4" s="18"/>
      <c r="RQY4" s="18"/>
      <c r="RQZ4" s="18"/>
      <c r="RRA4" s="18"/>
      <c r="RRB4" s="18"/>
      <c r="RRC4" s="18"/>
      <c r="RRD4" s="18"/>
      <c r="RRE4" s="18"/>
      <c r="RRF4" s="18"/>
      <c r="RRG4" s="18"/>
      <c r="RRH4" s="18"/>
      <c r="RRI4" s="18"/>
      <c r="RRJ4" s="18"/>
      <c r="RRK4" s="18"/>
      <c r="RRL4" s="18"/>
      <c r="RRM4" s="18"/>
      <c r="RRN4" s="18"/>
      <c r="RRO4" s="18"/>
      <c r="RRP4" s="18"/>
      <c r="RRQ4" s="18"/>
      <c r="RRR4" s="18"/>
      <c r="RRS4" s="18"/>
      <c r="RRT4" s="18"/>
      <c r="RRU4" s="18"/>
      <c r="RRV4" s="18"/>
      <c r="RRW4" s="18"/>
      <c r="RRX4" s="18"/>
      <c r="RRY4" s="18"/>
      <c r="RRZ4" s="18"/>
      <c r="RSA4" s="18"/>
      <c r="RSB4" s="18"/>
      <c r="RSC4" s="18"/>
      <c r="RSD4" s="18"/>
      <c r="RSE4" s="18"/>
      <c r="RSF4" s="18"/>
      <c r="RSG4" s="18"/>
      <c r="RSH4" s="18"/>
      <c r="RSI4" s="18"/>
      <c r="RSJ4" s="18"/>
      <c r="RSK4" s="18"/>
      <c r="RSL4" s="18"/>
      <c r="RSM4" s="18"/>
      <c r="RSN4" s="18"/>
      <c r="RSO4" s="18"/>
      <c r="RSP4" s="18"/>
      <c r="RSQ4" s="18"/>
      <c r="RSR4" s="18"/>
      <c r="RSS4" s="18"/>
      <c r="RST4" s="18"/>
      <c r="RSU4" s="18"/>
      <c r="RSV4" s="18"/>
      <c r="RSW4" s="18"/>
      <c r="RSX4" s="18"/>
      <c r="RSY4" s="18"/>
      <c r="RSZ4" s="18"/>
      <c r="RTA4" s="18"/>
      <c r="RTB4" s="18"/>
      <c r="RTC4" s="18"/>
      <c r="RTD4" s="18"/>
      <c r="RTE4" s="18"/>
      <c r="RTF4" s="18"/>
      <c r="RTG4" s="18"/>
      <c r="RTH4" s="18"/>
      <c r="RTI4" s="18"/>
      <c r="RTJ4" s="18"/>
      <c r="RTK4" s="18"/>
      <c r="RTL4" s="18"/>
      <c r="RTM4" s="18"/>
      <c r="RTN4" s="18"/>
      <c r="RTO4" s="18"/>
      <c r="RTP4" s="18"/>
      <c r="RTQ4" s="18"/>
      <c r="RTR4" s="18"/>
      <c r="RTS4" s="18"/>
      <c r="RTT4" s="18"/>
      <c r="RTU4" s="18"/>
      <c r="RTV4" s="18"/>
      <c r="RTW4" s="18"/>
      <c r="RTX4" s="18"/>
      <c r="RTY4" s="18"/>
      <c r="RTZ4" s="18"/>
      <c r="RUA4" s="18"/>
      <c r="RUB4" s="18"/>
      <c r="RUC4" s="18"/>
      <c r="RUD4" s="18"/>
      <c r="RUE4" s="18"/>
      <c r="RUF4" s="18"/>
      <c r="RUG4" s="18"/>
      <c r="RUH4" s="18"/>
      <c r="RUI4" s="18"/>
      <c r="RUJ4" s="18"/>
      <c r="RUK4" s="18"/>
      <c r="RUL4" s="18"/>
      <c r="RUM4" s="18"/>
      <c r="RUN4" s="18"/>
      <c r="RUO4" s="18"/>
      <c r="RUP4" s="18"/>
      <c r="RUQ4" s="18"/>
      <c r="RUR4" s="18"/>
      <c r="RUS4" s="18"/>
      <c r="RUT4" s="18"/>
      <c r="RUU4" s="18"/>
      <c r="RUV4" s="18"/>
      <c r="RUW4" s="18"/>
      <c r="RUX4" s="18"/>
      <c r="RUY4" s="18"/>
      <c r="RUZ4" s="18"/>
      <c r="RVA4" s="18"/>
      <c r="RVB4" s="18"/>
      <c r="RVC4" s="18"/>
      <c r="RVD4" s="18"/>
      <c r="RVE4" s="18"/>
      <c r="RVF4" s="18"/>
      <c r="RVG4" s="18"/>
      <c r="RVH4" s="18"/>
      <c r="RVI4" s="18"/>
      <c r="RVJ4" s="18"/>
      <c r="RVK4" s="18"/>
      <c r="RVL4" s="18"/>
      <c r="RVM4" s="18"/>
      <c r="RVN4" s="18"/>
      <c r="RVO4" s="18"/>
      <c r="RVP4" s="18"/>
      <c r="RVQ4" s="18"/>
      <c r="RVR4" s="18"/>
      <c r="RVS4" s="18"/>
      <c r="RVT4" s="18"/>
      <c r="RVU4" s="18"/>
      <c r="RVV4" s="18"/>
      <c r="RVW4" s="18"/>
      <c r="RVX4" s="18"/>
      <c r="RVY4" s="18"/>
      <c r="RVZ4" s="18"/>
      <c r="RWA4" s="18"/>
      <c r="RWB4" s="18"/>
      <c r="RWC4" s="18"/>
      <c r="RWD4" s="18"/>
      <c r="RWE4" s="18"/>
      <c r="RWF4" s="18"/>
      <c r="RWG4" s="18"/>
      <c r="RWH4" s="18"/>
      <c r="RWI4" s="18"/>
      <c r="RWJ4" s="18"/>
      <c r="RWK4" s="18"/>
      <c r="RWL4" s="18"/>
      <c r="RWM4" s="18"/>
      <c r="RWN4" s="18"/>
      <c r="RWO4" s="18"/>
      <c r="RWP4" s="18"/>
      <c r="RWQ4" s="18"/>
      <c r="RWR4" s="18"/>
      <c r="RWS4" s="18"/>
      <c r="RWT4" s="18"/>
      <c r="RWU4" s="18"/>
      <c r="RWV4" s="18"/>
      <c r="RWW4" s="18"/>
      <c r="RWX4" s="18"/>
      <c r="RWY4" s="18"/>
      <c r="RWZ4" s="18"/>
      <c r="RXA4" s="18"/>
      <c r="RXB4" s="18"/>
      <c r="RXC4" s="18"/>
      <c r="RXD4" s="18"/>
      <c r="RXE4" s="18"/>
      <c r="RXF4" s="18"/>
      <c r="RXG4" s="18"/>
      <c r="RXH4" s="18"/>
      <c r="RXI4" s="18"/>
      <c r="RXJ4" s="18"/>
      <c r="RXK4" s="18"/>
      <c r="RXL4" s="18"/>
      <c r="RXM4" s="18"/>
      <c r="RXN4" s="18"/>
      <c r="RXO4" s="18"/>
      <c r="RXP4" s="18"/>
      <c r="RXQ4" s="18"/>
      <c r="RXR4" s="18"/>
      <c r="RXS4" s="18"/>
      <c r="RXT4" s="18"/>
      <c r="RXU4" s="18"/>
      <c r="RXV4" s="18"/>
      <c r="RXW4" s="18"/>
      <c r="RXX4" s="18"/>
      <c r="RXY4" s="18"/>
      <c r="RXZ4" s="18"/>
      <c r="RYA4" s="18"/>
      <c r="RYB4" s="18"/>
      <c r="RYC4" s="18"/>
      <c r="RYD4" s="18"/>
      <c r="RYE4" s="18"/>
      <c r="RYF4" s="18"/>
      <c r="RYG4" s="18"/>
      <c r="RYH4" s="18"/>
      <c r="RYI4" s="18"/>
      <c r="RYJ4" s="18"/>
      <c r="RYK4" s="18"/>
      <c r="RYL4" s="18"/>
      <c r="RYM4" s="18"/>
      <c r="RYN4" s="18"/>
      <c r="RYO4" s="18"/>
      <c r="RYP4" s="18"/>
      <c r="RYQ4" s="18"/>
      <c r="RYR4" s="18"/>
      <c r="RYS4" s="18"/>
      <c r="RYT4" s="18"/>
      <c r="RYU4" s="18"/>
      <c r="RYV4" s="18"/>
      <c r="RYW4" s="18"/>
      <c r="RYX4" s="18"/>
      <c r="RYY4" s="18"/>
      <c r="RYZ4" s="18"/>
      <c r="RZA4" s="18"/>
      <c r="RZB4" s="18"/>
      <c r="RZC4" s="18"/>
      <c r="RZD4" s="18"/>
      <c r="RZE4" s="18"/>
      <c r="RZF4" s="18"/>
      <c r="RZG4" s="18"/>
      <c r="RZH4" s="18"/>
      <c r="RZI4" s="18"/>
      <c r="RZJ4" s="18"/>
      <c r="RZK4" s="18"/>
      <c r="RZL4" s="18"/>
      <c r="RZM4" s="18"/>
      <c r="RZN4" s="18"/>
      <c r="RZO4" s="18"/>
      <c r="RZP4" s="18"/>
      <c r="RZQ4" s="18"/>
      <c r="RZR4" s="18"/>
      <c r="RZS4" s="18"/>
      <c r="RZT4" s="18"/>
      <c r="RZU4" s="18"/>
      <c r="RZV4" s="18"/>
      <c r="RZW4" s="18"/>
      <c r="RZX4" s="18"/>
      <c r="RZY4" s="18"/>
      <c r="RZZ4" s="18"/>
      <c r="SAA4" s="18"/>
      <c r="SAB4" s="18"/>
      <c r="SAC4" s="18"/>
      <c r="SAD4" s="18"/>
      <c r="SAE4" s="18"/>
      <c r="SAF4" s="18"/>
      <c r="SAG4" s="18"/>
      <c r="SAH4" s="18"/>
      <c r="SAI4" s="18"/>
      <c r="SAJ4" s="18"/>
      <c r="SAK4" s="18"/>
      <c r="SAL4" s="18"/>
      <c r="SAM4" s="18"/>
      <c r="SAN4" s="18"/>
      <c r="SAO4" s="18"/>
      <c r="SAP4" s="18"/>
      <c r="SAQ4" s="18"/>
      <c r="SAR4" s="18"/>
      <c r="SAS4" s="18"/>
      <c r="SAT4" s="18"/>
      <c r="SAU4" s="18"/>
      <c r="SAV4" s="18"/>
      <c r="SAW4" s="18"/>
      <c r="SAX4" s="18"/>
      <c r="SAY4" s="18"/>
      <c r="SAZ4" s="18"/>
      <c r="SBA4" s="18"/>
      <c r="SBB4" s="18"/>
      <c r="SBC4" s="18"/>
      <c r="SBD4" s="18"/>
      <c r="SBE4" s="18"/>
      <c r="SBF4" s="18"/>
      <c r="SBG4" s="18"/>
      <c r="SBH4" s="18"/>
      <c r="SBI4" s="18"/>
      <c r="SBJ4" s="18"/>
      <c r="SBK4" s="18"/>
      <c r="SBL4" s="18"/>
      <c r="SBM4" s="18"/>
      <c r="SBN4" s="18"/>
      <c r="SBO4" s="18"/>
      <c r="SBP4" s="18"/>
      <c r="SBQ4" s="18"/>
      <c r="SBR4" s="18"/>
      <c r="SBS4" s="18"/>
      <c r="SBT4" s="18"/>
      <c r="SBU4" s="18"/>
      <c r="SBV4" s="18"/>
      <c r="SBW4" s="18"/>
      <c r="SBX4" s="18"/>
      <c r="SBY4" s="18"/>
      <c r="SBZ4" s="18"/>
      <c r="SCA4" s="18"/>
      <c r="SCB4" s="18"/>
      <c r="SCC4" s="18"/>
      <c r="SCD4" s="18"/>
      <c r="SCE4" s="18"/>
      <c r="SCF4" s="18"/>
      <c r="SCG4" s="18"/>
      <c r="SCH4" s="18"/>
      <c r="SCI4" s="18"/>
      <c r="SCJ4" s="18"/>
      <c r="SCK4" s="18"/>
      <c r="SCL4" s="18"/>
      <c r="SCM4" s="18"/>
      <c r="SCN4" s="18"/>
      <c r="SCO4" s="18"/>
      <c r="SCP4" s="18"/>
      <c r="SCQ4" s="18"/>
      <c r="SCR4" s="18"/>
      <c r="SCS4" s="18"/>
      <c r="SCT4" s="18"/>
      <c r="SCU4" s="18"/>
      <c r="SCV4" s="18"/>
      <c r="SCW4" s="18"/>
      <c r="SCX4" s="18"/>
      <c r="SCY4" s="18"/>
      <c r="SCZ4" s="18"/>
      <c r="SDA4" s="18"/>
      <c r="SDB4" s="18"/>
      <c r="SDC4" s="18"/>
      <c r="SDD4" s="18"/>
      <c r="SDE4" s="18"/>
      <c r="SDF4" s="18"/>
      <c r="SDG4" s="18"/>
      <c r="SDH4" s="18"/>
      <c r="SDI4" s="18"/>
      <c r="SDJ4" s="18"/>
      <c r="SDK4" s="18"/>
      <c r="SDL4" s="18"/>
      <c r="SDM4" s="18"/>
      <c r="SDN4" s="18"/>
      <c r="SDO4" s="18"/>
      <c r="SDP4" s="18"/>
      <c r="SDQ4" s="18"/>
      <c r="SDR4" s="18"/>
      <c r="SDS4" s="18"/>
      <c r="SDT4" s="18"/>
      <c r="SDU4" s="18"/>
      <c r="SDV4" s="18"/>
      <c r="SDW4" s="18"/>
      <c r="SDX4" s="18"/>
      <c r="SDY4" s="18"/>
      <c r="SDZ4" s="18"/>
      <c r="SEA4" s="18"/>
      <c r="SEB4" s="18"/>
      <c r="SEC4" s="18"/>
      <c r="SED4" s="18"/>
      <c r="SEE4" s="18"/>
      <c r="SEF4" s="18"/>
      <c r="SEG4" s="18"/>
      <c r="SEH4" s="18"/>
      <c r="SEI4" s="18"/>
      <c r="SEJ4" s="18"/>
      <c r="SEK4" s="18"/>
      <c r="SEL4" s="18"/>
      <c r="SEM4" s="18"/>
      <c r="SEN4" s="18"/>
      <c r="SEO4" s="18"/>
      <c r="SEP4" s="18"/>
      <c r="SEQ4" s="18"/>
      <c r="SER4" s="18"/>
      <c r="SES4" s="18"/>
      <c r="SET4" s="18"/>
      <c r="SEU4" s="18"/>
      <c r="SEV4" s="18"/>
      <c r="SEW4" s="18"/>
      <c r="SEX4" s="18"/>
      <c r="SEY4" s="18"/>
      <c r="SEZ4" s="18"/>
      <c r="SFA4" s="18"/>
      <c r="SFB4" s="18"/>
      <c r="SFC4" s="18"/>
      <c r="SFD4" s="18"/>
      <c r="SFE4" s="18"/>
      <c r="SFF4" s="18"/>
      <c r="SFG4" s="18"/>
      <c r="SFH4" s="18"/>
      <c r="SFI4" s="18"/>
      <c r="SFJ4" s="18"/>
      <c r="SFK4" s="18"/>
      <c r="SFL4" s="18"/>
      <c r="SFM4" s="18"/>
      <c r="SFN4" s="18"/>
      <c r="SFO4" s="18"/>
      <c r="SFP4" s="18"/>
      <c r="SFQ4" s="18"/>
      <c r="SFR4" s="18"/>
      <c r="SFS4" s="18"/>
      <c r="SFT4" s="18"/>
      <c r="SFU4" s="18"/>
      <c r="SFV4" s="18"/>
      <c r="SFW4" s="18"/>
      <c r="SFX4" s="18"/>
      <c r="SFY4" s="18"/>
      <c r="SFZ4" s="18"/>
      <c r="SGA4" s="18"/>
      <c r="SGB4" s="18"/>
      <c r="SGC4" s="18"/>
      <c r="SGD4" s="18"/>
      <c r="SGE4" s="18"/>
      <c r="SGF4" s="18"/>
      <c r="SGG4" s="18"/>
      <c r="SGH4" s="18"/>
      <c r="SGI4" s="18"/>
      <c r="SGJ4" s="18"/>
      <c r="SGK4" s="18"/>
      <c r="SGL4" s="18"/>
      <c r="SGM4" s="18"/>
      <c r="SGN4" s="18"/>
      <c r="SGO4" s="18"/>
      <c r="SGP4" s="18"/>
      <c r="SGQ4" s="18"/>
      <c r="SGR4" s="18"/>
      <c r="SGS4" s="18"/>
      <c r="SGT4" s="18"/>
      <c r="SGU4" s="18"/>
      <c r="SGV4" s="18"/>
      <c r="SGW4" s="18"/>
      <c r="SGX4" s="18"/>
      <c r="SGY4" s="18"/>
      <c r="SGZ4" s="18"/>
      <c r="SHA4" s="18"/>
      <c r="SHB4" s="18"/>
      <c r="SHC4" s="18"/>
      <c r="SHD4" s="18"/>
      <c r="SHE4" s="18"/>
      <c r="SHF4" s="18"/>
      <c r="SHG4" s="18"/>
      <c r="SHH4" s="18"/>
      <c r="SHI4" s="18"/>
      <c r="SHJ4" s="18"/>
      <c r="SHK4" s="18"/>
      <c r="SHL4" s="18"/>
      <c r="SHM4" s="18"/>
      <c r="SHN4" s="18"/>
      <c r="SHO4" s="18"/>
      <c r="SHP4" s="18"/>
      <c r="SHQ4" s="18"/>
      <c r="SHR4" s="18"/>
      <c r="SHS4" s="18"/>
      <c r="SHT4" s="18"/>
      <c r="SHU4" s="18"/>
      <c r="SHV4" s="18"/>
      <c r="SHW4" s="18"/>
      <c r="SHX4" s="18"/>
      <c r="SHY4" s="18"/>
      <c r="SHZ4" s="18"/>
      <c r="SIA4" s="18"/>
      <c r="SIB4" s="18"/>
      <c r="SIC4" s="18"/>
      <c r="SID4" s="18"/>
      <c r="SIE4" s="18"/>
      <c r="SIF4" s="18"/>
      <c r="SIG4" s="18"/>
      <c r="SIH4" s="18"/>
      <c r="SII4" s="18"/>
      <c r="SIJ4" s="18"/>
      <c r="SIK4" s="18"/>
      <c r="SIL4" s="18"/>
      <c r="SIM4" s="18"/>
      <c r="SIN4" s="18"/>
      <c r="SIO4" s="18"/>
      <c r="SIP4" s="18"/>
      <c r="SIQ4" s="18"/>
      <c r="SIR4" s="18"/>
      <c r="SIS4" s="18"/>
      <c r="SIT4" s="18"/>
      <c r="SIU4" s="18"/>
      <c r="SIV4" s="18"/>
      <c r="SIW4" s="18"/>
      <c r="SIX4" s="18"/>
      <c r="SIY4" s="18"/>
      <c r="SIZ4" s="18"/>
      <c r="SJA4" s="18"/>
      <c r="SJB4" s="18"/>
      <c r="SJC4" s="18"/>
      <c r="SJD4" s="18"/>
      <c r="SJE4" s="18"/>
      <c r="SJF4" s="18"/>
      <c r="SJG4" s="18"/>
      <c r="SJH4" s="18"/>
      <c r="SJI4" s="18"/>
      <c r="SJJ4" s="18"/>
      <c r="SJK4" s="18"/>
      <c r="SJL4" s="18"/>
      <c r="SJM4" s="18"/>
      <c r="SJN4" s="18"/>
      <c r="SJO4" s="18"/>
      <c r="SJP4" s="18"/>
      <c r="SJQ4" s="18"/>
      <c r="SJR4" s="18"/>
      <c r="SJS4" s="18"/>
      <c r="SJT4" s="18"/>
      <c r="SJU4" s="18"/>
      <c r="SJV4" s="18"/>
      <c r="SJW4" s="18"/>
      <c r="SJX4" s="18"/>
      <c r="SJY4" s="18"/>
      <c r="SJZ4" s="18"/>
      <c r="SKA4" s="18"/>
      <c r="SKB4" s="18"/>
      <c r="SKC4" s="18"/>
      <c r="SKD4" s="18"/>
      <c r="SKE4" s="18"/>
      <c r="SKF4" s="18"/>
      <c r="SKG4" s="18"/>
      <c r="SKH4" s="18"/>
      <c r="SKI4" s="18"/>
      <c r="SKJ4" s="18"/>
      <c r="SKK4" s="18"/>
      <c r="SKL4" s="18"/>
      <c r="SKM4" s="18"/>
      <c r="SKN4" s="18"/>
      <c r="SKO4" s="18"/>
      <c r="SKP4" s="18"/>
      <c r="SKQ4" s="18"/>
      <c r="SKR4" s="18"/>
      <c r="SKS4" s="18"/>
      <c r="SKT4" s="18"/>
      <c r="SKU4" s="18"/>
      <c r="SKV4" s="18"/>
      <c r="SKW4" s="18"/>
      <c r="SKX4" s="18"/>
      <c r="SKY4" s="18"/>
      <c r="SKZ4" s="18"/>
      <c r="SLA4" s="18"/>
      <c r="SLB4" s="18"/>
      <c r="SLC4" s="18"/>
      <c r="SLD4" s="18"/>
      <c r="SLE4" s="18"/>
      <c r="SLF4" s="18"/>
      <c r="SLG4" s="18"/>
      <c r="SLH4" s="18"/>
      <c r="SLI4" s="18"/>
      <c r="SLJ4" s="18"/>
      <c r="SLK4" s="18"/>
      <c r="SLL4" s="18"/>
      <c r="SLM4" s="18"/>
      <c r="SLN4" s="18"/>
      <c r="SLO4" s="18"/>
      <c r="SLP4" s="18"/>
      <c r="SLQ4" s="18"/>
      <c r="SLR4" s="18"/>
      <c r="SLS4" s="18"/>
      <c r="SLT4" s="18"/>
      <c r="SLU4" s="18"/>
      <c r="SLV4" s="18"/>
      <c r="SLW4" s="18"/>
      <c r="SLX4" s="18"/>
      <c r="SLY4" s="18"/>
      <c r="SLZ4" s="18"/>
      <c r="SMA4" s="18"/>
      <c r="SMB4" s="18"/>
      <c r="SMC4" s="18"/>
      <c r="SMD4" s="18"/>
      <c r="SME4" s="18"/>
      <c r="SMF4" s="18"/>
      <c r="SMG4" s="18"/>
      <c r="SMH4" s="18"/>
      <c r="SMI4" s="18"/>
      <c r="SMJ4" s="18"/>
      <c r="SMK4" s="18"/>
      <c r="SML4" s="18"/>
      <c r="SMM4" s="18"/>
      <c r="SMN4" s="18"/>
      <c r="SMO4" s="18"/>
      <c r="SMP4" s="18"/>
      <c r="SMQ4" s="18"/>
      <c r="SMR4" s="18"/>
      <c r="SMS4" s="18"/>
      <c r="SMT4" s="18"/>
      <c r="SMU4" s="18"/>
      <c r="SMV4" s="18"/>
      <c r="SMW4" s="18"/>
      <c r="SMX4" s="18"/>
      <c r="SMY4" s="18"/>
      <c r="SMZ4" s="18"/>
      <c r="SNA4" s="18"/>
      <c r="SNB4" s="18"/>
      <c r="SNC4" s="18"/>
      <c r="SND4" s="18"/>
      <c r="SNE4" s="18"/>
      <c r="SNF4" s="18"/>
      <c r="SNG4" s="18"/>
      <c r="SNH4" s="18"/>
      <c r="SNI4" s="18"/>
      <c r="SNJ4" s="18"/>
      <c r="SNK4" s="18"/>
      <c r="SNL4" s="18"/>
      <c r="SNM4" s="18"/>
      <c r="SNN4" s="18"/>
      <c r="SNO4" s="18"/>
      <c r="SNP4" s="18"/>
      <c r="SNQ4" s="18"/>
      <c r="SNR4" s="18"/>
      <c r="SNS4" s="18"/>
      <c r="SNT4" s="18"/>
      <c r="SNU4" s="18"/>
      <c r="SNV4" s="18"/>
      <c r="SNW4" s="18"/>
      <c r="SNX4" s="18"/>
      <c r="SNY4" s="18"/>
      <c r="SNZ4" s="18"/>
      <c r="SOA4" s="18"/>
      <c r="SOB4" s="18"/>
      <c r="SOC4" s="18"/>
      <c r="SOD4" s="18"/>
      <c r="SOE4" s="18"/>
      <c r="SOF4" s="18"/>
      <c r="SOG4" s="18"/>
      <c r="SOH4" s="18"/>
      <c r="SOI4" s="18"/>
      <c r="SOJ4" s="18"/>
      <c r="SOK4" s="18"/>
      <c r="SOL4" s="18"/>
      <c r="SOM4" s="18"/>
      <c r="SON4" s="18"/>
      <c r="SOO4" s="18"/>
      <c r="SOP4" s="18"/>
      <c r="SOQ4" s="18"/>
      <c r="SOR4" s="18"/>
      <c r="SOS4" s="18"/>
      <c r="SOT4" s="18"/>
      <c r="SOU4" s="18"/>
      <c r="SOV4" s="18"/>
      <c r="SOW4" s="18"/>
      <c r="SOX4" s="18"/>
      <c r="SOY4" s="18"/>
      <c r="SOZ4" s="18"/>
      <c r="SPA4" s="18"/>
      <c r="SPB4" s="18"/>
      <c r="SPC4" s="18"/>
      <c r="SPD4" s="18"/>
      <c r="SPE4" s="18"/>
      <c r="SPF4" s="18"/>
      <c r="SPG4" s="18"/>
      <c r="SPH4" s="18"/>
      <c r="SPI4" s="18"/>
      <c r="SPJ4" s="18"/>
      <c r="SPK4" s="18"/>
      <c r="SPL4" s="18"/>
      <c r="SPM4" s="18"/>
      <c r="SPN4" s="18"/>
      <c r="SPO4" s="18"/>
      <c r="SPP4" s="18"/>
      <c r="SPQ4" s="18"/>
      <c r="SPR4" s="18"/>
      <c r="SPS4" s="18"/>
      <c r="SPT4" s="18"/>
      <c r="SPU4" s="18"/>
      <c r="SPV4" s="18"/>
      <c r="SPW4" s="18"/>
      <c r="SPX4" s="18"/>
      <c r="SPY4" s="18"/>
      <c r="SPZ4" s="18"/>
      <c r="SQA4" s="18"/>
      <c r="SQB4" s="18"/>
      <c r="SQC4" s="18"/>
      <c r="SQD4" s="18"/>
      <c r="SQE4" s="18"/>
      <c r="SQF4" s="18"/>
      <c r="SQG4" s="18"/>
      <c r="SQH4" s="18"/>
      <c r="SQI4" s="18"/>
      <c r="SQJ4" s="18"/>
      <c r="SQK4" s="18"/>
      <c r="SQL4" s="18"/>
      <c r="SQM4" s="18"/>
      <c r="SQN4" s="18"/>
      <c r="SQO4" s="18"/>
      <c r="SQP4" s="18"/>
      <c r="SQQ4" s="18"/>
      <c r="SQR4" s="18"/>
      <c r="SQS4" s="18"/>
      <c r="SQT4" s="18"/>
      <c r="SQU4" s="18"/>
      <c r="SQV4" s="18"/>
      <c r="SQW4" s="18"/>
      <c r="SQX4" s="18"/>
      <c r="SQY4" s="18"/>
      <c r="SQZ4" s="18"/>
      <c r="SRA4" s="18"/>
      <c r="SRB4" s="18"/>
      <c r="SRC4" s="18"/>
      <c r="SRD4" s="18"/>
      <c r="SRE4" s="18"/>
      <c r="SRF4" s="18"/>
      <c r="SRG4" s="18"/>
      <c r="SRH4" s="18"/>
      <c r="SRI4" s="18"/>
      <c r="SRJ4" s="18"/>
      <c r="SRK4" s="18"/>
      <c r="SRL4" s="18"/>
      <c r="SRM4" s="18"/>
      <c r="SRN4" s="18"/>
      <c r="SRO4" s="18"/>
      <c r="SRP4" s="18"/>
      <c r="SRQ4" s="18"/>
      <c r="SRR4" s="18"/>
      <c r="SRS4" s="18"/>
      <c r="SRT4" s="18"/>
      <c r="SRU4" s="18"/>
      <c r="SRV4" s="18"/>
      <c r="SRW4" s="18"/>
      <c r="SRX4" s="18"/>
      <c r="SRY4" s="18"/>
      <c r="SRZ4" s="18"/>
      <c r="SSA4" s="18"/>
      <c r="SSB4" s="18"/>
      <c r="SSC4" s="18"/>
      <c r="SSD4" s="18"/>
      <c r="SSE4" s="18"/>
      <c r="SSF4" s="18"/>
      <c r="SSG4" s="18"/>
      <c r="SSH4" s="18"/>
      <c r="SSI4" s="18"/>
      <c r="SSJ4" s="18"/>
      <c r="SSK4" s="18"/>
      <c r="SSL4" s="18"/>
      <c r="SSM4" s="18"/>
      <c r="SSN4" s="18"/>
      <c r="SSO4" s="18"/>
      <c r="SSP4" s="18"/>
      <c r="SSQ4" s="18"/>
      <c r="SSR4" s="18"/>
      <c r="SSS4" s="18"/>
      <c r="SST4" s="18"/>
      <c r="SSU4" s="18"/>
      <c r="SSV4" s="18"/>
      <c r="SSW4" s="18"/>
      <c r="SSX4" s="18"/>
      <c r="SSY4" s="18"/>
      <c r="SSZ4" s="18"/>
      <c r="STA4" s="18"/>
      <c r="STB4" s="18"/>
      <c r="STC4" s="18"/>
      <c r="STD4" s="18"/>
      <c r="STE4" s="18"/>
      <c r="STF4" s="18"/>
      <c r="STG4" s="18"/>
      <c r="STH4" s="18"/>
      <c r="STI4" s="18"/>
      <c r="STJ4" s="18"/>
      <c r="STK4" s="18"/>
      <c r="STL4" s="18"/>
      <c r="STM4" s="18"/>
      <c r="STN4" s="18"/>
      <c r="STO4" s="18"/>
      <c r="STP4" s="18"/>
      <c r="STQ4" s="18"/>
      <c r="STR4" s="18"/>
      <c r="STS4" s="18"/>
      <c r="STT4" s="18"/>
      <c r="STU4" s="18"/>
      <c r="STV4" s="18"/>
      <c r="STW4" s="18"/>
      <c r="STX4" s="18"/>
      <c r="STY4" s="18"/>
      <c r="STZ4" s="18"/>
      <c r="SUA4" s="18"/>
      <c r="SUB4" s="18"/>
      <c r="SUC4" s="18"/>
      <c r="SUD4" s="18"/>
      <c r="SUE4" s="18"/>
      <c r="SUF4" s="18"/>
      <c r="SUG4" s="18"/>
      <c r="SUH4" s="18"/>
      <c r="SUI4" s="18"/>
      <c r="SUJ4" s="18"/>
      <c r="SUK4" s="18"/>
      <c r="SUL4" s="18"/>
      <c r="SUM4" s="18"/>
      <c r="SUN4" s="18"/>
      <c r="SUO4" s="18"/>
      <c r="SUP4" s="18"/>
      <c r="SUQ4" s="18"/>
      <c r="SUR4" s="18"/>
      <c r="SUS4" s="18"/>
      <c r="SUT4" s="18"/>
      <c r="SUU4" s="18"/>
      <c r="SUV4" s="18"/>
      <c r="SUW4" s="18"/>
      <c r="SUX4" s="18"/>
      <c r="SUY4" s="18"/>
      <c r="SUZ4" s="18"/>
      <c r="SVA4" s="18"/>
      <c r="SVB4" s="18"/>
      <c r="SVC4" s="18"/>
      <c r="SVD4" s="18"/>
      <c r="SVE4" s="18"/>
      <c r="SVF4" s="18"/>
      <c r="SVG4" s="18"/>
      <c r="SVH4" s="18"/>
      <c r="SVI4" s="18"/>
      <c r="SVJ4" s="18"/>
      <c r="SVK4" s="18"/>
      <c r="SVL4" s="18"/>
      <c r="SVM4" s="18"/>
      <c r="SVN4" s="18"/>
      <c r="SVO4" s="18"/>
      <c r="SVP4" s="18"/>
      <c r="SVQ4" s="18"/>
      <c r="SVR4" s="18"/>
      <c r="SVS4" s="18"/>
      <c r="SVT4" s="18"/>
      <c r="SVU4" s="18"/>
      <c r="SVV4" s="18"/>
      <c r="SVW4" s="18"/>
      <c r="SVX4" s="18"/>
      <c r="SVY4" s="18"/>
      <c r="SVZ4" s="18"/>
      <c r="SWA4" s="18"/>
      <c r="SWB4" s="18"/>
      <c r="SWC4" s="18"/>
      <c r="SWD4" s="18"/>
      <c r="SWE4" s="18"/>
      <c r="SWF4" s="18"/>
      <c r="SWG4" s="18"/>
      <c r="SWH4" s="18"/>
      <c r="SWI4" s="18"/>
      <c r="SWJ4" s="18"/>
      <c r="SWK4" s="18"/>
      <c r="SWL4" s="18"/>
      <c r="SWM4" s="18"/>
      <c r="SWN4" s="18"/>
      <c r="SWO4" s="18"/>
      <c r="SWP4" s="18"/>
      <c r="SWQ4" s="18"/>
      <c r="SWR4" s="18"/>
      <c r="SWS4" s="18"/>
      <c r="SWT4" s="18"/>
      <c r="SWU4" s="18"/>
      <c r="SWV4" s="18"/>
      <c r="SWW4" s="18"/>
      <c r="SWX4" s="18"/>
      <c r="SWY4" s="18"/>
      <c r="SWZ4" s="18"/>
      <c r="SXA4" s="18"/>
      <c r="SXB4" s="18"/>
      <c r="SXC4" s="18"/>
      <c r="SXD4" s="18"/>
      <c r="SXE4" s="18"/>
      <c r="SXF4" s="18"/>
      <c r="SXG4" s="18"/>
      <c r="SXH4" s="18"/>
      <c r="SXI4" s="18"/>
      <c r="SXJ4" s="18"/>
      <c r="SXK4" s="18"/>
      <c r="SXL4" s="18"/>
      <c r="SXM4" s="18"/>
      <c r="SXN4" s="18"/>
      <c r="SXO4" s="18"/>
      <c r="SXP4" s="18"/>
      <c r="SXQ4" s="18"/>
      <c r="SXR4" s="18"/>
      <c r="SXS4" s="18"/>
      <c r="SXT4" s="18"/>
      <c r="SXU4" s="18"/>
      <c r="SXV4" s="18"/>
      <c r="SXW4" s="18"/>
      <c r="SXX4" s="18"/>
      <c r="SXY4" s="18"/>
      <c r="SXZ4" s="18"/>
      <c r="SYA4" s="18"/>
      <c r="SYB4" s="18"/>
      <c r="SYC4" s="18"/>
      <c r="SYD4" s="18"/>
      <c r="SYE4" s="18"/>
      <c r="SYF4" s="18"/>
      <c r="SYG4" s="18"/>
      <c r="SYH4" s="18"/>
      <c r="SYI4" s="18"/>
      <c r="SYJ4" s="18"/>
      <c r="SYK4" s="18"/>
      <c r="SYL4" s="18"/>
      <c r="SYM4" s="18"/>
      <c r="SYN4" s="18"/>
      <c r="SYO4" s="18"/>
      <c r="SYP4" s="18"/>
      <c r="SYQ4" s="18"/>
      <c r="SYR4" s="18"/>
      <c r="SYS4" s="18"/>
      <c r="SYT4" s="18"/>
      <c r="SYU4" s="18"/>
      <c r="SYV4" s="18"/>
      <c r="SYW4" s="18"/>
      <c r="SYX4" s="18"/>
      <c r="SYY4" s="18"/>
      <c r="SYZ4" s="18"/>
      <c r="SZA4" s="18"/>
      <c r="SZB4" s="18"/>
      <c r="SZC4" s="18"/>
      <c r="SZD4" s="18"/>
      <c r="SZE4" s="18"/>
      <c r="SZF4" s="18"/>
      <c r="SZG4" s="18"/>
      <c r="SZH4" s="18"/>
      <c r="SZI4" s="18"/>
      <c r="SZJ4" s="18"/>
      <c r="SZK4" s="18"/>
      <c r="SZL4" s="18"/>
      <c r="SZM4" s="18"/>
      <c r="SZN4" s="18"/>
      <c r="SZO4" s="18"/>
      <c r="SZP4" s="18"/>
      <c r="SZQ4" s="18"/>
      <c r="SZR4" s="18"/>
      <c r="SZS4" s="18"/>
      <c r="SZT4" s="18"/>
      <c r="SZU4" s="18"/>
      <c r="SZV4" s="18"/>
      <c r="SZW4" s="18"/>
      <c r="SZX4" s="18"/>
      <c r="SZY4" s="18"/>
      <c r="SZZ4" s="18"/>
      <c r="TAA4" s="18"/>
      <c r="TAB4" s="18"/>
      <c r="TAC4" s="18"/>
      <c r="TAD4" s="18"/>
      <c r="TAE4" s="18"/>
      <c r="TAF4" s="18"/>
      <c r="TAG4" s="18"/>
      <c r="TAH4" s="18"/>
      <c r="TAI4" s="18"/>
      <c r="TAJ4" s="18"/>
      <c r="TAK4" s="18"/>
      <c r="TAL4" s="18"/>
      <c r="TAM4" s="18"/>
      <c r="TAN4" s="18"/>
      <c r="TAO4" s="18"/>
      <c r="TAP4" s="18"/>
      <c r="TAQ4" s="18"/>
      <c r="TAR4" s="18"/>
      <c r="TAS4" s="18"/>
      <c r="TAT4" s="18"/>
      <c r="TAU4" s="18"/>
      <c r="TAV4" s="18"/>
      <c r="TAW4" s="18"/>
      <c r="TAX4" s="18"/>
      <c r="TAY4" s="18"/>
      <c r="TAZ4" s="18"/>
      <c r="TBA4" s="18"/>
      <c r="TBB4" s="18"/>
      <c r="TBC4" s="18"/>
      <c r="TBD4" s="18"/>
      <c r="TBE4" s="18"/>
      <c r="TBF4" s="18"/>
      <c r="TBG4" s="18"/>
      <c r="TBH4" s="18"/>
      <c r="TBI4" s="18"/>
      <c r="TBJ4" s="18"/>
      <c r="TBK4" s="18"/>
      <c r="TBL4" s="18"/>
      <c r="TBM4" s="18"/>
      <c r="TBN4" s="18"/>
      <c r="TBO4" s="18"/>
      <c r="TBP4" s="18"/>
      <c r="TBQ4" s="18"/>
      <c r="TBR4" s="18"/>
      <c r="TBS4" s="18"/>
      <c r="TBT4" s="18"/>
      <c r="TBU4" s="18"/>
      <c r="TBV4" s="18"/>
      <c r="TBW4" s="18"/>
      <c r="TBX4" s="18"/>
      <c r="TBY4" s="18"/>
      <c r="TBZ4" s="18"/>
      <c r="TCA4" s="18"/>
      <c r="TCB4" s="18"/>
      <c r="TCC4" s="18"/>
      <c r="TCD4" s="18"/>
      <c r="TCE4" s="18"/>
      <c r="TCF4" s="18"/>
      <c r="TCG4" s="18"/>
      <c r="TCH4" s="18"/>
      <c r="TCI4" s="18"/>
      <c r="TCJ4" s="18"/>
      <c r="TCK4" s="18"/>
      <c r="TCL4" s="18"/>
      <c r="TCM4" s="18"/>
      <c r="TCN4" s="18"/>
      <c r="TCO4" s="18"/>
      <c r="TCP4" s="18"/>
      <c r="TCQ4" s="18"/>
      <c r="TCR4" s="18"/>
      <c r="TCS4" s="18"/>
      <c r="TCT4" s="18"/>
      <c r="TCU4" s="18"/>
      <c r="TCV4" s="18"/>
      <c r="TCW4" s="18"/>
      <c r="TCX4" s="18"/>
      <c r="TCY4" s="18"/>
      <c r="TCZ4" s="18"/>
      <c r="TDA4" s="18"/>
      <c r="TDB4" s="18"/>
      <c r="TDC4" s="18"/>
      <c r="TDD4" s="18"/>
      <c r="TDE4" s="18"/>
      <c r="TDF4" s="18"/>
      <c r="TDG4" s="18"/>
      <c r="TDH4" s="18"/>
      <c r="TDI4" s="18"/>
      <c r="TDJ4" s="18"/>
      <c r="TDK4" s="18"/>
      <c r="TDL4" s="18"/>
      <c r="TDM4" s="18"/>
      <c r="TDN4" s="18"/>
      <c r="TDO4" s="18"/>
      <c r="TDP4" s="18"/>
      <c r="TDQ4" s="18"/>
      <c r="TDR4" s="18"/>
      <c r="TDS4" s="18"/>
      <c r="TDT4" s="18"/>
      <c r="TDU4" s="18"/>
      <c r="TDV4" s="18"/>
      <c r="TDW4" s="18"/>
      <c r="TDX4" s="18"/>
      <c r="TDY4" s="18"/>
      <c r="TDZ4" s="18"/>
      <c r="TEA4" s="18"/>
      <c r="TEB4" s="18"/>
      <c r="TEC4" s="18"/>
      <c r="TED4" s="18"/>
      <c r="TEE4" s="18"/>
      <c r="TEF4" s="18"/>
      <c r="TEG4" s="18"/>
      <c r="TEH4" s="18"/>
      <c r="TEI4" s="18"/>
      <c r="TEJ4" s="18"/>
      <c r="TEK4" s="18"/>
      <c r="TEL4" s="18"/>
      <c r="TEM4" s="18"/>
      <c r="TEN4" s="18"/>
      <c r="TEO4" s="18"/>
      <c r="TEP4" s="18"/>
      <c r="TEQ4" s="18"/>
      <c r="TER4" s="18"/>
      <c r="TES4" s="18"/>
      <c r="TET4" s="18"/>
      <c r="TEU4" s="18"/>
      <c r="TEV4" s="18"/>
      <c r="TEW4" s="18"/>
      <c r="TEX4" s="18"/>
      <c r="TEY4" s="18"/>
      <c r="TEZ4" s="18"/>
      <c r="TFA4" s="18"/>
      <c r="TFB4" s="18"/>
      <c r="TFC4" s="18"/>
      <c r="TFD4" s="18"/>
      <c r="TFE4" s="18"/>
      <c r="TFF4" s="18"/>
      <c r="TFG4" s="18"/>
      <c r="TFH4" s="18"/>
      <c r="TFI4" s="18"/>
      <c r="TFJ4" s="18"/>
      <c r="TFK4" s="18"/>
      <c r="TFL4" s="18"/>
      <c r="TFM4" s="18"/>
      <c r="TFN4" s="18"/>
      <c r="TFO4" s="18"/>
      <c r="TFP4" s="18"/>
      <c r="TFQ4" s="18"/>
      <c r="TFR4" s="18"/>
      <c r="TFS4" s="18"/>
      <c r="TFT4" s="18"/>
      <c r="TFU4" s="18"/>
      <c r="TFV4" s="18"/>
      <c r="TFW4" s="18"/>
      <c r="TFX4" s="18"/>
      <c r="TFY4" s="18"/>
      <c r="TFZ4" s="18"/>
      <c r="TGA4" s="18"/>
      <c r="TGB4" s="18"/>
      <c r="TGC4" s="18"/>
      <c r="TGD4" s="18"/>
      <c r="TGE4" s="18"/>
      <c r="TGF4" s="18"/>
      <c r="TGG4" s="18"/>
      <c r="TGH4" s="18"/>
      <c r="TGI4" s="18"/>
      <c r="TGJ4" s="18"/>
      <c r="TGK4" s="18"/>
      <c r="TGL4" s="18"/>
      <c r="TGM4" s="18"/>
      <c r="TGN4" s="18"/>
      <c r="TGO4" s="18"/>
      <c r="TGP4" s="18"/>
      <c r="TGQ4" s="18"/>
      <c r="TGR4" s="18"/>
      <c r="TGS4" s="18"/>
      <c r="TGT4" s="18"/>
      <c r="TGU4" s="18"/>
      <c r="TGV4" s="18"/>
      <c r="TGW4" s="18"/>
      <c r="TGX4" s="18"/>
      <c r="TGY4" s="18"/>
      <c r="TGZ4" s="18"/>
      <c r="THA4" s="18"/>
      <c r="THB4" s="18"/>
      <c r="THC4" s="18"/>
      <c r="THD4" s="18"/>
      <c r="THE4" s="18"/>
      <c r="THF4" s="18"/>
      <c r="THG4" s="18"/>
      <c r="THH4" s="18"/>
      <c r="THI4" s="18"/>
      <c r="THJ4" s="18"/>
      <c r="THK4" s="18"/>
      <c r="THL4" s="18"/>
      <c r="THM4" s="18"/>
      <c r="THN4" s="18"/>
      <c r="THO4" s="18"/>
      <c r="THP4" s="18"/>
      <c r="THQ4" s="18"/>
      <c r="THR4" s="18"/>
      <c r="THS4" s="18"/>
      <c r="THT4" s="18"/>
      <c r="THU4" s="18"/>
      <c r="THV4" s="18"/>
      <c r="THW4" s="18"/>
      <c r="THX4" s="18"/>
      <c r="THY4" s="18"/>
      <c r="THZ4" s="18"/>
      <c r="TIA4" s="18"/>
      <c r="TIB4" s="18"/>
      <c r="TIC4" s="18"/>
      <c r="TID4" s="18"/>
      <c r="TIE4" s="18"/>
      <c r="TIF4" s="18"/>
      <c r="TIG4" s="18"/>
      <c r="TIH4" s="18"/>
      <c r="TII4" s="18"/>
      <c r="TIJ4" s="18"/>
      <c r="TIK4" s="18"/>
      <c r="TIL4" s="18"/>
      <c r="TIM4" s="18"/>
      <c r="TIN4" s="18"/>
      <c r="TIO4" s="18"/>
      <c r="TIP4" s="18"/>
      <c r="TIQ4" s="18"/>
      <c r="TIR4" s="18"/>
      <c r="TIS4" s="18"/>
      <c r="TIT4" s="18"/>
      <c r="TIU4" s="18"/>
      <c r="TIV4" s="18"/>
      <c r="TIW4" s="18"/>
      <c r="TIX4" s="18"/>
      <c r="TIY4" s="18"/>
      <c r="TIZ4" s="18"/>
      <c r="TJA4" s="18"/>
      <c r="TJB4" s="18"/>
      <c r="TJC4" s="18"/>
      <c r="TJD4" s="18"/>
      <c r="TJE4" s="18"/>
      <c r="TJF4" s="18"/>
      <c r="TJG4" s="18"/>
      <c r="TJH4" s="18"/>
      <c r="TJI4" s="18"/>
      <c r="TJJ4" s="18"/>
      <c r="TJK4" s="18"/>
      <c r="TJL4" s="18"/>
      <c r="TJM4" s="18"/>
      <c r="TJN4" s="18"/>
      <c r="TJO4" s="18"/>
      <c r="TJP4" s="18"/>
      <c r="TJQ4" s="18"/>
      <c r="TJR4" s="18"/>
      <c r="TJS4" s="18"/>
      <c r="TJT4" s="18"/>
      <c r="TJU4" s="18"/>
      <c r="TJV4" s="18"/>
      <c r="TJW4" s="18"/>
      <c r="TJX4" s="18"/>
      <c r="TJY4" s="18"/>
      <c r="TJZ4" s="18"/>
      <c r="TKA4" s="18"/>
      <c r="TKB4" s="18"/>
      <c r="TKC4" s="18"/>
      <c r="TKD4" s="18"/>
      <c r="TKE4" s="18"/>
      <c r="TKF4" s="18"/>
      <c r="TKG4" s="18"/>
      <c r="TKH4" s="18"/>
      <c r="TKI4" s="18"/>
      <c r="TKJ4" s="18"/>
      <c r="TKK4" s="18"/>
      <c r="TKL4" s="18"/>
      <c r="TKM4" s="18"/>
      <c r="TKN4" s="18"/>
      <c r="TKO4" s="18"/>
      <c r="TKP4" s="18"/>
      <c r="TKQ4" s="18"/>
      <c r="TKR4" s="18"/>
      <c r="TKS4" s="18"/>
      <c r="TKT4" s="18"/>
      <c r="TKU4" s="18"/>
      <c r="TKV4" s="18"/>
      <c r="TKW4" s="18"/>
      <c r="TKX4" s="18"/>
      <c r="TKY4" s="18"/>
      <c r="TKZ4" s="18"/>
      <c r="TLA4" s="18"/>
      <c r="TLB4" s="18"/>
      <c r="TLC4" s="18"/>
      <c r="TLD4" s="18"/>
      <c r="TLE4" s="18"/>
      <c r="TLF4" s="18"/>
      <c r="TLG4" s="18"/>
      <c r="TLH4" s="18"/>
      <c r="TLI4" s="18"/>
      <c r="TLJ4" s="18"/>
      <c r="TLK4" s="18"/>
      <c r="TLL4" s="18"/>
      <c r="TLM4" s="18"/>
      <c r="TLN4" s="18"/>
      <c r="TLO4" s="18"/>
      <c r="TLP4" s="18"/>
      <c r="TLQ4" s="18"/>
      <c r="TLR4" s="18"/>
      <c r="TLS4" s="18"/>
      <c r="TLT4" s="18"/>
      <c r="TLU4" s="18"/>
      <c r="TLV4" s="18"/>
      <c r="TLW4" s="18"/>
      <c r="TLX4" s="18"/>
      <c r="TLY4" s="18"/>
      <c r="TLZ4" s="18"/>
      <c r="TMA4" s="18"/>
      <c r="TMB4" s="18"/>
      <c r="TMC4" s="18"/>
      <c r="TMD4" s="18"/>
      <c r="TME4" s="18"/>
      <c r="TMF4" s="18"/>
      <c r="TMG4" s="18"/>
      <c r="TMH4" s="18"/>
      <c r="TMI4" s="18"/>
      <c r="TMJ4" s="18"/>
      <c r="TMK4" s="18"/>
      <c r="TML4" s="18"/>
      <c r="TMM4" s="18"/>
      <c r="TMN4" s="18"/>
      <c r="TMO4" s="18"/>
      <c r="TMP4" s="18"/>
      <c r="TMQ4" s="18"/>
      <c r="TMR4" s="18"/>
      <c r="TMS4" s="18"/>
      <c r="TMT4" s="18"/>
      <c r="TMU4" s="18"/>
      <c r="TMV4" s="18"/>
      <c r="TMW4" s="18"/>
      <c r="TMX4" s="18"/>
      <c r="TMY4" s="18"/>
      <c r="TMZ4" s="18"/>
      <c r="TNA4" s="18"/>
      <c r="TNB4" s="18"/>
      <c r="TNC4" s="18"/>
      <c r="TND4" s="18"/>
      <c r="TNE4" s="18"/>
      <c r="TNF4" s="18"/>
      <c r="TNG4" s="18"/>
      <c r="TNH4" s="18"/>
      <c r="TNI4" s="18"/>
      <c r="TNJ4" s="18"/>
      <c r="TNK4" s="18"/>
      <c r="TNL4" s="18"/>
      <c r="TNM4" s="18"/>
      <c r="TNN4" s="18"/>
      <c r="TNO4" s="18"/>
      <c r="TNP4" s="18"/>
      <c r="TNQ4" s="18"/>
      <c r="TNR4" s="18"/>
      <c r="TNS4" s="18"/>
      <c r="TNT4" s="18"/>
      <c r="TNU4" s="18"/>
      <c r="TNV4" s="18"/>
      <c r="TNW4" s="18"/>
      <c r="TNX4" s="18"/>
      <c r="TNY4" s="18"/>
      <c r="TNZ4" s="18"/>
      <c r="TOA4" s="18"/>
      <c r="TOB4" s="18"/>
      <c r="TOC4" s="18"/>
      <c r="TOD4" s="18"/>
      <c r="TOE4" s="18"/>
      <c r="TOF4" s="18"/>
      <c r="TOG4" s="18"/>
      <c r="TOH4" s="18"/>
      <c r="TOI4" s="18"/>
      <c r="TOJ4" s="18"/>
      <c r="TOK4" s="18"/>
      <c r="TOL4" s="18"/>
      <c r="TOM4" s="18"/>
      <c r="TON4" s="18"/>
      <c r="TOO4" s="18"/>
      <c r="TOP4" s="18"/>
      <c r="TOQ4" s="18"/>
      <c r="TOR4" s="18"/>
      <c r="TOS4" s="18"/>
      <c r="TOT4" s="18"/>
      <c r="TOU4" s="18"/>
      <c r="TOV4" s="18"/>
      <c r="TOW4" s="18"/>
      <c r="TOX4" s="18"/>
      <c r="TOY4" s="18"/>
      <c r="TOZ4" s="18"/>
      <c r="TPA4" s="18"/>
      <c r="TPB4" s="18"/>
      <c r="TPC4" s="18"/>
      <c r="TPD4" s="18"/>
      <c r="TPE4" s="18"/>
      <c r="TPF4" s="18"/>
      <c r="TPG4" s="18"/>
      <c r="TPH4" s="18"/>
      <c r="TPI4" s="18"/>
      <c r="TPJ4" s="18"/>
      <c r="TPK4" s="18"/>
      <c r="TPL4" s="18"/>
      <c r="TPM4" s="18"/>
      <c r="TPN4" s="18"/>
      <c r="TPO4" s="18"/>
      <c r="TPP4" s="18"/>
      <c r="TPQ4" s="18"/>
      <c r="TPR4" s="18"/>
      <c r="TPS4" s="18"/>
      <c r="TPT4" s="18"/>
      <c r="TPU4" s="18"/>
      <c r="TPV4" s="18"/>
      <c r="TPW4" s="18"/>
      <c r="TPX4" s="18"/>
      <c r="TPY4" s="18"/>
      <c r="TPZ4" s="18"/>
      <c r="TQA4" s="18"/>
      <c r="TQB4" s="18"/>
      <c r="TQC4" s="18"/>
      <c r="TQD4" s="18"/>
      <c r="TQE4" s="18"/>
      <c r="TQF4" s="18"/>
      <c r="TQG4" s="18"/>
      <c r="TQH4" s="18"/>
      <c r="TQI4" s="18"/>
      <c r="TQJ4" s="18"/>
      <c r="TQK4" s="18"/>
      <c r="TQL4" s="18"/>
      <c r="TQM4" s="18"/>
      <c r="TQN4" s="18"/>
      <c r="TQO4" s="18"/>
      <c r="TQP4" s="18"/>
      <c r="TQQ4" s="18"/>
      <c r="TQR4" s="18"/>
      <c r="TQS4" s="18"/>
      <c r="TQT4" s="18"/>
      <c r="TQU4" s="18"/>
      <c r="TQV4" s="18"/>
      <c r="TQW4" s="18"/>
      <c r="TQX4" s="18"/>
      <c r="TQY4" s="18"/>
      <c r="TQZ4" s="18"/>
      <c r="TRA4" s="18"/>
      <c r="TRB4" s="18"/>
      <c r="TRC4" s="18"/>
      <c r="TRD4" s="18"/>
      <c r="TRE4" s="18"/>
      <c r="TRF4" s="18"/>
      <c r="TRG4" s="18"/>
      <c r="TRH4" s="18"/>
      <c r="TRI4" s="18"/>
      <c r="TRJ4" s="18"/>
      <c r="TRK4" s="18"/>
      <c r="TRL4" s="18"/>
      <c r="TRM4" s="18"/>
      <c r="TRN4" s="18"/>
      <c r="TRO4" s="18"/>
      <c r="TRP4" s="18"/>
      <c r="TRQ4" s="18"/>
      <c r="TRR4" s="18"/>
      <c r="TRS4" s="18"/>
      <c r="TRT4" s="18"/>
      <c r="TRU4" s="18"/>
      <c r="TRV4" s="18"/>
      <c r="TRW4" s="18"/>
      <c r="TRX4" s="18"/>
      <c r="TRY4" s="18"/>
      <c r="TRZ4" s="18"/>
      <c r="TSA4" s="18"/>
      <c r="TSB4" s="18"/>
      <c r="TSC4" s="18"/>
      <c r="TSD4" s="18"/>
      <c r="TSE4" s="18"/>
      <c r="TSF4" s="18"/>
      <c r="TSG4" s="18"/>
      <c r="TSH4" s="18"/>
      <c r="TSI4" s="18"/>
      <c r="TSJ4" s="18"/>
      <c r="TSK4" s="18"/>
      <c r="TSL4" s="18"/>
      <c r="TSM4" s="18"/>
      <c r="TSN4" s="18"/>
      <c r="TSO4" s="18"/>
      <c r="TSP4" s="18"/>
      <c r="TSQ4" s="18"/>
      <c r="TSR4" s="18"/>
      <c r="TSS4" s="18"/>
      <c r="TST4" s="18"/>
      <c r="TSU4" s="18"/>
      <c r="TSV4" s="18"/>
      <c r="TSW4" s="18"/>
      <c r="TSX4" s="18"/>
      <c r="TSY4" s="18"/>
      <c r="TSZ4" s="18"/>
      <c r="TTA4" s="18"/>
      <c r="TTB4" s="18"/>
      <c r="TTC4" s="18"/>
      <c r="TTD4" s="18"/>
      <c r="TTE4" s="18"/>
      <c r="TTF4" s="18"/>
      <c r="TTG4" s="18"/>
      <c r="TTH4" s="18"/>
      <c r="TTI4" s="18"/>
      <c r="TTJ4" s="18"/>
      <c r="TTK4" s="18"/>
      <c r="TTL4" s="18"/>
      <c r="TTM4" s="18"/>
      <c r="TTN4" s="18"/>
      <c r="TTO4" s="18"/>
      <c r="TTP4" s="18"/>
      <c r="TTQ4" s="18"/>
      <c r="TTR4" s="18"/>
      <c r="TTS4" s="18"/>
      <c r="TTT4" s="18"/>
      <c r="TTU4" s="18"/>
      <c r="TTV4" s="18"/>
      <c r="TTW4" s="18"/>
      <c r="TTX4" s="18"/>
      <c r="TTY4" s="18"/>
      <c r="TTZ4" s="18"/>
      <c r="TUA4" s="18"/>
      <c r="TUB4" s="18"/>
      <c r="TUC4" s="18"/>
      <c r="TUD4" s="18"/>
      <c r="TUE4" s="18"/>
      <c r="TUF4" s="18"/>
      <c r="TUG4" s="18"/>
      <c r="TUH4" s="18"/>
      <c r="TUI4" s="18"/>
      <c r="TUJ4" s="18"/>
      <c r="TUK4" s="18"/>
      <c r="TUL4" s="18"/>
      <c r="TUM4" s="18"/>
      <c r="TUN4" s="18"/>
      <c r="TUO4" s="18"/>
      <c r="TUP4" s="18"/>
      <c r="TUQ4" s="18"/>
      <c r="TUR4" s="18"/>
      <c r="TUS4" s="18"/>
      <c r="TUT4" s="18"/>
      <c r="TUU4" s="18"/>
      <c r="TUV4" s="18"/>
      <c r="TUW4" s="18"/>
      <c r="TUX4" s="18"/>
      <c r="TUY4" s="18"/>
      <c r="TUZ4" s="18"/>
      <c r="TVA4" s="18"/>
      <c r="TVB4" s="18"/>
      <c r="TVC4" s="18"/>
      <c r="TVD4" s="18"/>
      <c r="TVE4" s="18"/>
      <c r="TVF4" s="18"/>
      <c r="TVG4" s="18"/>
      <c r="TVH4" s="18"/>
      <c r="TVI4" s="18"/>
      <c r="TVJ4" s="18"/>
      <c r="TVK4" s="18"/>
      <c r="TVL4" s="18"/>
      <c r="TVM4" s="18"/>
      <c r="TVN4" s="18"/>
      <c r="TVO4" s="18"/>
      <c r="TVP4" s="18"/>
      <c r="TVQ4" s="18"/>
      <c r="TVR4" s="18"/>
      <c r="TVS4" s="18"/>
      <c r="TVT4" s="18"/>
      <c r="TVU4" s="18"/>
      <c r="TVV4" s="18"/>
      <c r="TVW4" s="18"/>
      <c r="TVX4" s="18"/>
      <c r="TVY4" s="18"/>
      <c r="TVZ4" s="18"/>
      <c r="TWA4" s="18"/>
      <c r="TWB4" s="18"/>
      <c r="TWC4" s="18"/>
      <c r="TWD4" s="18"/>
      <c r="TWE4" s="18"/>
      <c r="TWF4" s="18"/>
      <c r="TWG4" s="18"/>
      <c r="TWH4" s="18"/>
      <c r="TWI4" s="18"/>
      <c r="TWJ4" s="18"/>
      <c r="TWK4" s="18"/>
      <c r="TWL4" s="18"/>
      <c r="TWM4" s="18"/>
      <c r="TWN4" s="18"/>
      <c r="TWO4" s="18"/>
      <c r="TWP4" s="18"/>
      <c r="TWQ4" s="18"/>
      <c r="TWR4" s="18"/>
      <c r="TWS4" s="18"/>
      <c r="TWT4" s="18"/>
      <c r="TWU4" s="18"/>
      <c r="TWV4" s="18"/>
      <c r="TWW4" s="18"/>
      <c r="TWX4" s="18"/>
      <c r="TWY4" s="18"/>
      <c r="TWZ4" s="18"/>
      <c r="TXA4" s="18"/>
      <c r="TXB4" s="18"/>
      <c r="TXC4" s="18"/>
      <c r="TXD4" s="18"/>
      <c r="TXE4" s="18"/>
      <c r="TXF4" s="18"/>
      <c r="TXG4" s="18"/>
      <c r="TXH4" s="18"/>
      <c r="TXI4" s="18"/>
      <c r="TXJ4" s="18"/>
      <c r="TXK4" s="18"/>
      <c r="TXL4" s="18"/>
      <c r="TXM4" s="18"/>
      <c r="TXN4" s="18"/>
      <c r="TXO4" s="18"/>
      <c r="TXP4" s="18"/>
      <c r="TXQ4" s="18"/>
      <c r="TXR4" s="18"/>
      <c r="TXS4" s="18"/>
      <c r="TXT4" s="18"/>
      <c r="TXU4" s="18"/>
      <c r="TXV4" s="18"/>
      <c r="TXW4" s="18"/>
      <c r="TXX4" s="18"/>
      <c r="TXY4" s="18"/>
      <c r="TXZ4" s="18"/>
      <c r="TYA4" s="18"/>
      <c r="TYB4" s="18"/>
      <c r="TYC4" s="18"/>
      <c r="TYD4" s="18"/>
      <c r="TYE4" s="18"/>
      <c r="TYF4" s="18"/>
      <c r="TYG4" s="18"/>
      <c r="TYH4" s="18"/>
      <c r="TYI4" s="18"/>
      <c r="TYJ4" s="18"/>
      <c r="TYK4" s="18"/>
      <c r="TYL4" s="18"/>
      <c r="TYM4" s="18"/>
      <c r="TYN4" s="18"/>
      <c r="TYO4" s="18"/>
      <c r="TYP4" s="18"/>
      <c r="TYQ4" s="18"/>
      <c r="TYR4" s="18"/>
      <c r="TYS4" s="18"/>
      <c r="TYT4" s="18"/>
      <c r="TYU4" s="18"/>
      <c r="TYV4" s="18"/>
      <c r="TYW4" s="18"/>
      <c r="TYX4" s="18"/>
      <c r="TYY4" s="18"/>
      <c r="TYZ4" s="18"/>
      <c r="TZA4" s="18"/>
      <c r="TZB4" s="18"/>
      <c r="TZC4" s="18"/>
      <c r="TZD4" s="18"/>
      <c r="TZE4" s="18"/>
      <c r="TZF4" s="18"/>
      <c r="TZG4" s="18"/>
      <c r="TZH4" s="18"/>
      <c r="TZI4" s="18"/>
      <c r="TZJ4" s="18"/>
      <c r="TZK4" s="18"/>
      <c r="TZL4" s="18"/>
      <c r="TZM4" s="18"/>
      <c r="TZN4" s="18"/>
      <c r="TZO4" s="18"/>
      <c r="TZP4" s="18"/>
      <c r="TZQ4" s="18"/>
      <c r="TZR4" s="18"/>
      <c r="TZS4" s="18"/>
      <c r="TZT4" s="18"/>
      <c r="TZU4" s="18"/>
      <c r="TZV4" s="18"/>
      <c r="TZW4" s="18"/>
      <c r="TZX4" s="18"/>
      <c r="TZY4" s="18"/>
      <c r="TZZ4" s="18"/>
      <c r="UAA4" s="18"/>
      <c r="UAB4" s="18"/>
      <c r="UAC4" s="18"/>
      <c r="UAD4" s="18"/>
      <c r="UAE4" s="18"/>
      <c r="UAF4" s="18"/>
      <c r="UAG4" s="18"/>
      <c r="UAH4" s="18"/>
      <c r="UAI4" s="18"/>
      <c r="UAJ4" s="18"/>
      <c r="UAK4" s="18"/>
      <c r="UAL4" s="18"/>
      <c r="UAM4" s="18"/>
      <c r="UAN4" s="18"/>
      <c r="UAO4" s="18"/>
      <c r="UAP4" s="18"/>
      <c r="UAQ4" s="18"/>
      <c r="UAR4" s="18"/>
      <c r="UAS4" s="18"/>
      <c r="UAT4" s="18"/>
      <c r="UAU4" s="18"/>
      <c r="UAV4" s="18"/>
      <c r="UAW4" s="18"/>
      <c r="UAX4" s="18"/>
      <c r="UAY4" s="18"/>
      <c r="UAZ4" s="18"/>
      <c r="UBA4" s="18"/>
      <c r="UBB4" s="18"/>
      <c r="UBC4" s="18"/>
      <c r="UBD4" s="18"/>
      <c r="UBE4" s="18"/>
      <c r="UBF4" s="18"/>
      <c r="UBG4" s="18"/>
      <c r="UBH4" s="18"/>
      <c r="UBI4" s="18"/>
      <c r="UBJ4" s="18"/>
      <c r="UBK4" s="18"/>
      <c r="UBL4" s="18"/>
      <c r="UBM4" s="18"/>
      <c r="UBN4" s="18"/>
      <c r="UBO4" s="18"/>
      <c r="UBP4" s="18"/>
      <c r="UBQ4" s="18"/>
      <c r="UBR4" s="18"/>
      <c r="UBS4" s="18"/>
      <c r="UBT4" s="18"/>
      <c r="UBU4" s="18"/>
      <c r="UBV4" s="18"/>
      <c r="UBW4" s="18"/>
      <c r="UBX4" s="18"/>
      <c r="UBY4" s="18"/>
      <c r="UBZ4" s="18"/>
      <c r="UCA4" s="18"/>
      <c r="UCB4" s="18"/>
      <c r="UCC4" s="18"/>
      <c r="UCD4" s="18"/>
      <c r="UCE4" s="18"/>
      <c r="UCF4" s="18"/>
      <c r="UCG4" s="18"/>
      <c r="UCH4" s="18"/>
      <c r="UCI4" s="18"/>
      <c r="UCJ4" s="18"/>
      <c r="UCK4" s="18"/>
      <c r="UCL4" s="18"/>
      <c r="UCM4" s="18"/>
      <c r="UCN4" s="18"/>
      <c r="UCO4" s="18"/>
      <c r="UCP4" s="18"/>
      <c r="UCQ4" s="18"/>
      <c r="UCR4" s="18"/>
      <c r="UCS4" s="18"/>
      <c r="UCT4" s="18"/>
      <c r="UCU4" s="18"/>
      <c r="UCV4" s="18"/>
      <c r="UCW4" s="18"/>
      <c r="UCX4" s="18"/>
      <c r="UCY4" s="18"/>
      <c r="UCZ4" s="18"/>
      <c r="UDA4" s="18"/>
      <c r="UDB4" s="18"/>
      <c r="UDC4" s="18"/>
      <c r="UDD4" s="18"/>
      <c r="UDE4" s="18"/>
      <c r="UDF4" s="18"/>
      <c r="UDG4" s="18"/>
      <c r="UDH4" s="18"/>
      <c r="UDI4" s="18"/>
      <c r="UDJ4" s="18"/>
      <c r="UDK4" s="18"/>
      <c r="UDL4" s="18"/>
      <c r="UDM4" s="18"/>
      <c r="UDN4" s="18"/>
      <c r="UDO4" s="18"/>
      <c r="UDP4" s="18"/>
      <c r="UDQ4" s="18"/>
      <c r="UDR4" s="18"/>
      <c r="UDS4" s="18"/>
      <c r="UDT4" s="18"/>
      <c r="UDU4" s="18"/>
      <c r="UDV4" s="18"/>
      <c r="UDW4" s="18"/>
      <c r="UDX4" s="18"/>
      <c r="UDY4" s="18"/>
      <c r="UDZ4" s="18"/>
      <c r="UEA4" s="18"/>
      <c r="UEB4" s="18"/>
      <c r="UEC4" s="18"/>
      <c r="UED4" s="18"/>
      <c r="UEE4" s="18"/>
      <c r="UEF4" s="18"/>
      <c r="UEG4" s="18"/>
      <c r="UEH4" s="18"/>
      <c r="UEI4" s="18"/>
      <c r="UEJ4" s="18"/>
      <c r="UEK4" s="18"/>
      <c r="UEL4" s="18"/>
      <c r="UEM4" s="18"/>
      <c r="UEN4" s="18"/>
      <c r="UEO4" s="18"/>
      <c r="UEP4" s="18"/>
      <c r="UEQ4" s="18"/>
      <c r="UER4" s="18"/>
      <c r="UES4" s="18"/>
      <c r="UET4" s="18"/>
      <c r="UEU4" s="18"/>
      <c r="UEV4" s="18"/>
      <c r="UEW4" s="18"/>
      <c r="UEX4" s="18"/>
      <c r="UEY4" s="18"/>
      <c r="UEZ4" s="18"/>
      <c r="UFA4" s="18"/>
      <c r="UFB4" s="18"/>
      <c r="UFC4" s="18"/>
      <c r="UFD4" s="18"/>
      <c r="UFE4" s="18"/>
      <c r="UFF4" s="18"/>
      <c r="UFG4" s="18"/>
      <c r="UFH4" s="18"/>
      <c r="UFI4" s="18"/>
      <c r="UFJ4" s="18"/>
      <c r="UFK4" s="18"/>
      <c r="UFL4" s="18"/>
      <c r="UFM4" s="18"/>
      <c r="UFN4" s="18"/>
      <c r="UFO4" s="18"/>
      <c r="UFP4" s="18"/>
      <c r="UFQ4" s="18"/>
      <c r="UFR4" s="18"/>
      <c r="UFS4" s="18"/>
      <c r="UFT4" s="18"/>
      <c r="UFU4" s="18"/>
      <c r="UFV4" s="18"/>
      <c r="UFW4" s="18"/>
      <c r="UFX4" s="18"/>
      <c r="UFY4" s="18"/>
      <c r="UFZ4" s="18"/>
      <c r="UGA4" s="18"/>
      <c r="UGB4" s="18"/>
      <c r="UGC4" s="18"/>
      <c r="UGD4" s="18"/>
      <c r="UGE4" s="18"/>
      <c r="UGF4" s="18"/>
      <c r="UGG4" s="18"/>
      <c r="UGH4" s="18"/>
      <c r="UGI4" s="18"/>
      <c r="UGJ4" s="18"/>
      <c r="UGK4" s="18"/>
      <c r="UGL4" s="18"/>
      <c r="UGM4" s="18"/>
      <c r="UGN4" s="18"/>
      <c r="UGO4" s="18"/>
      <c r="UGP4" s="18"/>
      <c r="UGQ4" s="18"/>
      <c r="UGR4" s="18"/>
      <c r="UGS4" s="18"/>
      <c r="UGT4" s="18"/>
      <c r="UGU4" s="18"/>
      <c r="UGV4" s="18"/>
      <c r="UGW4" s="18"/>
      <c r="UGX4" s="18"/>
      <c r="UGY4" s="18"/>
      <c r="UGZ4" s="18"/>
      <c r="UHA4" s="18"/>
      <c r="UHB4" s="18"/>
      <c r="UHC4" s="18"/>
      <c r="UHD4" s="18"/>
      <c r="UHE4" s="18"/>
      <c r="UHF4" s="18"/>
      <c r="UHG4" s="18"/>
      <c r="UHH4" s="18"/>
      <c r="UHI4" s="18"/>
      <c r="UHJ4" s="18"/>
      <c r="UHK4" s="18"/>
      <c r="UHL4" s="18"/>
      <c r="UHM4" s="18"/>
      <c r="UHN4" s="18"/>
      <c r="UHO4" s="18"/>
      <c r="UHP4" s="18"/>
      <c r="UHQ4" s="18"/>
      <c r="UHR4" s="18"/>
      <c r="UHS4" s="18"/>
      <c r="UHT4" s="18"/>
      <c r="UHU4" s="18"/>
      <c r="UHV4" s="18"/>
      <c r="UHW4" s="18"/>
      <c r="UHX4" s="18"/>
      <c r="UHY4" s="18"/>
      <c r="UHZ4" s="18"/>
      <c r="UIA4" s="18"/>
      <c r="UIB4" s="18"/>
      <c r="UIC4" s="18"/>
      <c r="UID4" s="18"/>
      <c r="UIE4" s="18"/>
      <c r="UIF4" s="18"/>
      <c r="UIG4" s="18"/>
      <c r="UIH4" s="18"/>
      <c r="UII4" s="18"/>
      <c r="UIJ4" s="18"/>
      <c r="UIK4" s="18"/>
      <c r="UIL4" s="18"/>
      <c r="UIM4" s="18"/>
      <c r="UIN4" s="18"/>
      <c r="UIO4" s="18"/>
      <c r="UIP4" s="18"/>
      <c r="UIQ4" s="18"/>
      <c r="UIR4" s="18"/>
      <c r="UIS4" s="18"/>
      <c r="UIT4" s="18"/>
      <c r="UIU4" s="18"/>
      <c r="UIV4" s="18"/>
      <c r="UIW4" s="18"/>
      <c r="UIX4" s="18"/>
      <c r="UIY4" s="18"/>
      <c r="UIZ4" s="18"/>
      <c r="UJA4" s="18"/>
      <c r="UJB4" s="18"/>
      <c r="UJC4" s="18"/>
      <c r="UJD4" s="18"/>
      <c r="UJE4" s="18"/>
      <c r="UJF4" s="18"/>
      <c r="UJG4" s="18"/>
      <c r="UJH4" s="18"/>
      <c r="UJI4" s="18"/>
      <c r="UJJ4" s="18"/>
      <c r="UJK4" s="18"/>
      <c r="UJL4" s="18"/>
      <c r="UJM4" s="18"/>
      <c r="UJN4" s="18"/>
      <c r="UJO4" s="18"/>
      <c r="UJP4" s="18"/>
      <c r="UJQ4" s="18"/>
      <c r="UJR4" s="18"/>
      <c r="UJS4" s="18"/>
      <c r="UJT4" s="18"/>
      <c r="UJU4" s="18"/>
      <c r="UJV4" s="18"/>
      <c r="UJW4" s="18"/>
      <c r="UJX4" s="18"/>
      <c r="UJY4" s="18"/>
      <c r="UJZ4" s="18"/>
      <c r="UKA4" s="18"/>
      <c r="UKB4" s="18"/>
      <c r="UKC4" s="18"/>
      <c r="UKD4" s="18"/>
      <c r="UKE4" s="18"/>
      <c r="UKF4" s="18"/>
      <c r="UKG4" s="18"/>
      <c r="UKH4" s="18"/>
      <c r="UKI4" s="18"/>
      <c r="UKJ4" s="18"/>
      <c r="UKK4" s="18"/>
      <c r="UKL4" s="18"/>
      <c r="UKM4" s="18"/>
      <c r="UKN4" s="18"/>
      <c r="UKO4" s="18"/>
      <c r="UKP4" s="18"/>
      <c r="UKQ4" s="18"/>
      <c r="UKR4" s="18"/>
      <c r="UKS4" s="18"/>
      <c r="UKT4" s="18"/>
      <c r="UKU4" s="18"/>
      <c r="UKV4" s="18"/>
      <c r="UKW4" s="18"/>
      <c r="UKX4" s="18"/>
      <c r="UKY4" s="18"/>
      <c r="UKZ4" s="18"/>
      <c r="ULA4" s="18"/>
      <c r="ULB4" s="18"/>
      <c r="ULC4" s="18"/>
      <c r="ULD4" s="18"/>
      <c r="ULE4" s="18"/>
      <c r="ULF4" s="18"/>
      <c r="ULG4" s="18"/>
      <c r="ULH4" s="18"/>
      <c r="ULI4" s="18"/>
      <c r="ULJ4" s="18"/>
      <c r="ULK4" s="18"/>
      <c r="ULL4" s="18"/>
      <c r="ULM4" s="18"/>
      <c r="ULN4" s="18"/>
      <c r="ULO4" s="18"/>
      <c r="ULP4" s="18"/>
      <c r="ULQ4" s="18"/>
      <c r="ULR4" s="18"/>
      <c r="ULS4" s="18"/>
      <c r="ULT4" s="18"/>
      <c r="ULU4" s="18"/>
      <c r="ULV4" s="18"/>
      <c r="ULW4" s="18"/>
      <c r="ULX4" s="18"/>
      <c r="ULY4" s="18"/>
      <c r="ULZ4" s="18"/>
      <c r="UMA4" s="18"/>
      <c r="UMB4" s="18"/>
      <c r="UMC4" s="18"/>
      <c r="UMD4" s="18"/>
      <c r="UME4" s="18"/>
      <c r="UMF4" s="18"/>
      <c r="UMG4" s="18"/>
      <c r="UMH4" s="18"/>
      <c r="UMI4" s="18"/>
      <c r="UMJ4" s="18"/>
      <c r="UMK4" s="18"/>
      <c r="UML4" s="18"/>
      <c r="UMM4" s="18"/>
      <c r="UMN4" s="18"/>
      <c r="UMO4" s="18"/>
      <c r="UMP4" s="18"/>
      <c r="UMQ4" s="18"/>
      <c r="UMR4" s="18"/>
      <c r="UMS4" s="18"/>
      <c r="UMT4" s="18"/>
      <c r="UMU4" s="18"/>
      <c r="UMV4" s="18"/>
      <c r="UMW4" s="18"/>
      <c r="UMX4" s="18"/>
      <c r="UMY4" s="18"/>
      <c r="UMZ4" s="18"/>
      <c r="UNA4" s="18"/>
      <c r="UNB4" s="18"/>
      <c r="UNC4" s="18"/>
      <c r="UND4" s="18"/>
      <c r="UNE4" s="18"/>
      <c r="UNF4" s="18"/>
      <c r="UNG4" s="18"/>
      <c r="UNH4" s="18"/>
      <c r="UNI4" s="18"/>
      <c r="UNJ4" s="18"/>
      <c r="UNK4" s="18"/>
      <c r="UNL4" s="18"/>
      <c r="UNM4" s="18"/>
      <c r="UNN4" s="18"/>
      <c r="UNO4" s="18"/>
      <c r="UNP4" s="18"/>
      <c r="UNQ4" s="18"/>
      <c r="UNR4" s="18"/>
      <c r="UNS4" s="18"/>
      <c r="UNT4" s="18"/>
      <c r="UNU4" s="18"/>
      <c r="UNV4" s="18"/>
      <c r="UNW4" s="18"/>
      <c r="UNX4" s="18"/>
      <c r="UNY4" s="18"/>
      <c r="UNZ4" s="18"/>
      <c r="UOA4" s="18"/>
      <c r="UOB4" s="18"/>
      <c r="UOC4" s="18"/>
      <c r="UOD4" s="18"/>
      <c r="UOE4" s="18"/>
      <c r="UOF4" s="18"/>
      <c r="UOG4" s="18"/>
      <c r="UOH4" s="18"/>
      <c r="UOI4" s="18"/>
      <c r="UOJ4" s="18"/>
      <c r="UOK4" s="18"/>
      <c r="UOL4" s="18"/>
      <c r="UOM4" s="18"/>
      <c r="UON4" s="18"/>
      <c r="UOO4" s="18"/>
      <c r="UOP4" s="18"/>
      <c r="UOQ4" s="18"/>
      <c r="UOR4" s="18"/>
      <c r="UOS4" s="18"/>
      <c r="UOT4" s="18"/>
      <c r="UOU4" s="18"/>
      <c r="UOV4" s="18"/>
      <c r="UOW4" s="18"/>
      <c r="UOX4" s="18"/>
      <c r="UOY4" s="18"/>
      <c r="UOZ4" s="18"/>
      <c r="UPA4" s="18"/>
      <c r="UPB4" s="18"/>
      <c r="UPC4" s="18"/>
      <c r="UPD4" s="18"/>
      <c r="UPE4" s="18"/>
      <c r="UPF4" s="18"/>
      <c r="UPG4" s="18"/>
      <c r="UPH4" s="18"/>
      <c r="UPI4" s="18"/>
      <c r="UPJ4" s="18"/>
      <c r="UPK4" s="18"/>
      <c r="UPL4" s="18"/>
      <c r="UPM4" s="18"/>
      <c r="UPN4" s="18"/>
      <c r="UPO4" s="18"/>
      <c r="UPP4" s="18"/>
      <c r="UPQ4" s="18"/>
      <c r="UPR4" s="18"/>
      <c r="UPS4" s="18"/>
      <c r="UPT4" s="18"/>
      <c r="UPU4" s="18"/>
      <c r="UPV4" s="18"/>
      <c r="UPW4" s="18"/>
      <c r="UPX4" s="18"/>
      <c r="UPY4" s="18"/>
      <c r="UPZ4" s="18"/>
      <c r="UQA4" s="18"/>
      <c r="UQB4" s="18"/>
      <c r="UQC4" s="18"/>
      <c r="UQD4" s="18"/>
      <c r="UQE4" s="18"/>
      <c r="UQF4" s="18"/>
      <c r="UQG4" s="18"/>
      <c r="UQH4" s="18"/>
      <c r="UQI4" s="18"/>
      <c r="UQJ4" s="18"/>
      <c r="UQK4" s="18"/>
      <c r="UQL4" s="18"/>
      <c r="UQM4" s="18"/>
      <c r="UQN4" s="18"/>
      <c r="UQO4" s="18"/>
      <c r="UQP4" s="18"/>
      <c r="UQQ4" s="18"/>
      <c r="UQR4" s="18"/>
      <c r="UQS4" s="18"/>
      <c r="UQT4" s="18"/>
      <c r="UQU4" s="18"/>
      <c r="UQV4" s="18"/>
      <c r="UQW4" s="18"/>
      <c r="UQX4" s="18"/>
      <c r="UQY4" s="18"/>
      <c r="UQZ4" s="18"/>
      <c r="URA4" s="18"/>
      <c r="URB4" s="18"/>
      <c r="URC4" s="18"/>
      <c r="URD4" s="18"/>
      <c r="URE4" s="18"/>
      <c r="URF4" s="18"/>
      <c r="URG4" s="18"/>
      <c r="URH4" s="18"/>
      <c r="URI4" s="18"/>
      <c r="URJ4" s="18"/>
      <c r="URK4" s="18"/>
      <c r="URL4" s="18"/>
      <c r="URM4" s="18"/>
      <c r="URN4" s="18"/>
      <c r="URO4" s="18"/>
      <c r="URP4" s="18"/>
      <c r="URQ4" s="18"/>
      <c r="URR4" s="18"/>
      <c r="URS4" s="18"/>
      <c r="URT4" s="18"/>
      <c r="URU4" s="18"/>
      <c r="URV4" s="18"/>
      <c r="URW4" s="18"/>
      <c r="URX4" s="18"/>
      <c r="URY4" s="18"/>
      <c r="URZ4" s="18"/>
      <c r="USA4" s="18"/>
      <c r="USB4" s="18"/>
      <c r="USC4" s="18"/>
      <c r="USD4" s="18"/>
      <c r="USE4" s="18"/>
      <c r="USF4" s="18"/>
      <c r="USG4" s="18"/>
      <c r="USH4" s="18"/>
      <c r="USI4" s="18"/>
      <c r="USJ4" s="18"/>
      <c r="USK4" s="18"/>
      <c r="USL4" s="18"/>
      <c r="USM4" s="18"/>
      <c r="USN4" s="18"/>
      <c r="USO4" s="18"/>
      <c r="USP4" s="18"/>
      <c r="USQ4" s="18"/>
      <c r="USR4" s="18"/>
      <c r="USS4" s="18"/>
      <c r="UST4" s="18"/>
      <c r="USU4" s="18"/>
      <c r="USV4" s="18"/>
      <c r="USW4" s="18"/>
      <c r="USX4" s="18"/>
      <c r="USY4" s="18"/>
      <c r="USZ4" s="18"/>
      <c r="UTA4" s="18"/>
      <c r="UTB4" s="18"/>
      <c r="UTC4" s="18"/>
      <c r="UTD4" s="18"/>
      <c r="UTE4" s="18"/>
      <c r="UTF4" s="18"/>
      <c r="UTG4" s="18"/>
      <c r="UTH4" s="18"/>
      <c r="UTI4" s="18"/>
      <c r="UTJ4" s="18"/>
      <c r="UTK4" s="18"/>
      <c r="UTL4" s="18"/>
      <c r="UTM4" s="18"/>
      <c r="UTN4" s="18"/>
      <c r="UTO4" s="18"/>
      <c r="UTP4" s="18"/>
      <c r="UTQ4" s="18"/>
      <c r="UTR4" s="18"/>
      <c r="UTS4" s="18"/>
      <c r="UTT4" s="18"/>
      <c r="UTU4" s="18"/>
      <c r="UTV4" s="18"/>
      <c r="UTW4" s="18"/>
      <c r="UTX4" s="18"/>
      <c r="UTY4" s="18"/>
      <c r="UTZ4" s="18"/>
      <c r="UUA4" s="18"/>
      <c r="UUB4" s="18"/>
      <c r="UUC4" s="18"/>
      <c r="UUD4" s="18"/>
      <c r="UUE4" s="18"/>
      <c r="UUF4" s="18"/>
      <c r="UUG4" s="18"/>
      <c r="UUH4" s="18"/>
      <c r="UUI4" s="18"/>
      <c r="UUJ4" s="18"/>
      <c r="UUK4" s="18"/>
      <c r="UUL4" s="18"/>
      <c r="UUM4" s="18"/>
      <c r="UUN4" s="18"/>
      <c r="UUO4" s="18"/>
      <c r="UUP4" s="18"/>
      <c r="UUQ4" s="18"/>
      <c r="UUR4" s="18"/>
      <c r="UUS4" s="18"/>
      <c r="UUT4" s="18"/>
      <c r="UUU4" s="18"/>
      <c r="UUV4" s="18"/>
      <c r="UUW4" s="18"/>
      <c r="UUX4" s="18"/>
      <c r="UUY4" s="18"/>
      <c r="UUZ4" s="18"/>
      <c r="UVA4" s="18"/>
      <c r="UVB4" s="18"/>
      <c r="UVC4" s="18"/>
      <c r="UVD4" s="18"/>
      <c r="UVE4" s="18"/>
      <c r="UVF4" s="18"/>
      <c r="UVG4" s="18"/>
      <c r="UVH4" s="18"/>
      <c r="UVI4" s="18"/>
      <c r="UVJ4" s="18"/>
      <c r="UVK4" s="18"/>
      <c r="UVL4" s="18"/>
      <c r="UVM4" s="18"/>
      <c r="UVN4" s="18"/>
      <c r="UVO4" s="18"/>
      <c r="UVP4" s="18"/>
      <c r="UVQ4" s="18"/>
      <c r="UVR4" s="18"/>
      <c r="UVS4" s="18"/>
      <c r="UVT4" s="18"/>
      <c r="UVU4" s="18"/>
      <c r="UVV4" s="18"/>
      <c r="UVW4" s="18"/>
      <c r="UVX4" s="18"/>
      <c r="UVY4" s="18"/>
      <c r="UVZ4" s="18"/>
      <c r="UWA4" s="18"/>
      <c r="UWB4" s="18"/>
      <c r="UWC4" s="18"/>
      <c r="UWD4" s="18"/>
      <c r="UWE4" s="18"/>
      <c r="UWF4" s="18"/>
      <c r="UWG4" s="18"/>
      <c r="UWH4" s="18"/>
      <c r="UWI4" s="18"/>
      <c r="UWJ4" s="18"/>
      <c r="UWK4" s="18"/>
      <c r="UWL4" s="18"/>
      <c r="UWM4" s="18"/>
      <c r="UWN4" s="18"/>
      <c r="UWO4" s="18"/>
      <c r="UWP4" s="18"/>
      <c r="UWQ4" s="18"/>
      <c r="UWR4" s="18"/>
      <c r="UWS4" s="18"/>
      <c r="UWT4" s="18"/>
      <c r="UWU4" s="18"/>
      <c r="UWV4" s="18"/>
      <c r="UWW4" s="18"/>
      <c r="UWX4" s="18"/>
      <c r="UWY4" s="18"/>
      <c r="UWZ4" s="18"/>
      <c r="UXA4" s="18"/>
      <c r="UXB4" s="18"/>
      <c r="UXC4" s="18"/>
      <c r="UXD4" s="18"/>
      <c r="UXE4" s="18"/>
      <c r="UXF4" s="18"/>
      <c r="UXG4" s="18"/>
      <c r="UXH4" s="18"/>
      <c r="UXI4" s="18"/>
      <c r="UXJ4" s="18"/>
      <c r="UXK4" s="18"/>
      <c r="UXL4" s="18"/>
      <c r="UXM4" s="18"/>
      <c r="UXN4" s="18"/>
      <c r="UXO4" s="18"/>
      <c r="UXP4" s="18"/>
      <c r="UXQ4" s="18"/>
      <c r="UXR4" s="18"/>
      <c r="UXS4" s="18"/>
      <c r="UXT4" s="18"/>
      <c r="UXU4" s="18"/>
      <c r="UXV4" s="18"/>
      <c r="UXW4" s="18"/>
      <c r="UXX4" s="18"/>
      <c r="UXY4" s="18"/>
      <c r="UXZ4" s="18"/>
      <c r="UYA4" s="18"/>
      <c r="UYB4" s="18"/>
      <c r="UYC4" s="18"/>
      <c r="UYD4" s="18"/>
      <c r="UYE4" s="18"/>
      <c r="UYF4" s="18"/>
      <c r="UYG4" s="18"/>
      <c r="UYH4" s="18"/>
      <c r="UYI4" s="18"/>
      <c r="UYJ4" s="18"/>
      <c r="UYK4" s="18"/>
      <c r="UYL4" s="18"/>
      <c r="UYM4" s="18"/>
      <c r="UYN4" s="18"/>
      <c r="UYO4" s="18"/>
      <c r="UYP4" s="18"/>
      <c r="UYQ4" s="18"/>
      <c r="UYR4" s="18"/>
      <c r="UYS4" s="18"/>
      <c r="UYT4" s="18"/>
      <c r="UYU4" s="18"/>
      <c r="UYV4" s="18"/>
      <c r="UYW4" s="18"/>
      <c r="UYX4" s="18"/>
      <c r="UYY4" s="18"/>
      <c r="UYZ4" s="18"/>
      <c r="UZA4" s="18"/>
      <c r="UZB4" s="18"/>
      <c r="UZC4" s="18"/>
      <c r="UZD4" s="18"/>
      <c r="UZE4" s="18"/>
      <c r="UZF4" s="18"/>
      <c r="UZG4" s="18"/>
      <c r="UZH4" s="18"/>
      <c r="UZI4" s="18"/>
      <c r="UZJ4" s="18"/>
      <c r="UZK4" s="18"/>
      <c r="UZL4" s="18"/>
      <c r="UZM4" s="18"/>
      <c r="UZN4" s="18"/>
      <c r="UZO4" s="18"/>
      <c r="UZP4" s="18"/>
      <c r="UZQ4" s="18"/>
      <c r="UZR4" s="18"/>
      <c r="UZS4" s="18"/>
      <c r="UZT4" s="18"/>
      <c r="UZU4" s="18"/>
      <c r="UZV4" s="18"/>
      <c r="UZW4" s="18"/>
      <c r="UZX4" s="18"/>
      <c r="UZY4" s="18"/>
      <c r="UZZ4" s="18"/>
      <c r="VAA4" s="18"/>
      <c r="VAB4" s="18"/>
      <c r="VAC4" s="18"/>
      <c r="VAD4" s="18"/>
      <c r="VAE4" s="18"/>
      <c r="VAF4" s="18"/>
      <c r="VAG4" s="18"/>
      <c r="VAH4" s="18"/>
      <c r="VAI4" s="18"/>
      <c r="VAJ4" s="18"/>
      <c r="VAK4" s="18"/>
      <c r="VAL4" s="18"/>
      <c r="VAM4" s="18"/>
      <c r="VAN4" s="18"/>
      <c r="VAO4" s="18"/>
      <c r="VAP4" s="18"/>
      <c r="VAQ4" s="18"/>
      <c r="VAR4" s="18"/>
      <c r="VAS4" s="18"/>
      <c r="VAT4" s="18"/>
      <c r="VAU4" s="18"/>
      <c r="VAV4" s="18"/>
      <c r="VAW4" s="18"/>
      <c r="VAX4" s="18"/>
      <c r="VAY4" s="18"/>
      <c r="VAZ4" s="18"/>
      <c r="VBA4" s="18"/>
      <c r="VBB4" s="18"/>
      <c r="VBC4" s="18"/>
      <c r="VBD4" s="18"/>
      <c r="VBE4" s="18"/>
      <c r="VBF4" s="18"/>
      <c r="VBG4" s="18"/>
      <c r="VBH4" s="18"/>
      <c r="VBI4" s="18"/>
      <c r="VBJ4" s="18"/>
      <c r="VBK4" s="18"/>
      <c r="VBL4" s="18"/>
      <c r="VBM4" s="18"/>
      <c r="VBN4" s="18"/>
      <c r="VBO4" s="18"/>
      <c r="VBP4" s="18"/>
      <c r="VBQ4" s="18"/>
      <c r="VBR4" s="18"/>
      <c r="VBS4" s="18"/>
      <c r="VBT4" s="18"/>
      <c r="VBU4" s="18"/>
      <c r="VBV4" s="18"/>
      <c r="VBW4" s="18"/>
      <c r="VBX4" s="18"/>
      <c r="VBY4" s="18"/>
      <c r="VBZ4" s="18"/>
      <c r="VCA4" s="18"/>
      <c r="VCB4" s="18"/>
      <c r="VCC4" s="18"/>
      <c r="VCD4" s="18"/>
      <c r="VCE4" s="18"/>
      <c r="VCF4" s="18"/>
      <c r="VCG4" s="18"/>
      <c r="VCH4" s="18"/>
      <c r="VCI4" s="18"/>
      <c r="VCJ4" s="18"/>
      <c r="VCK4" s="18"/>
      <c r="VCL4" s="18"/>
      <c r="VCM4" s="18"/>
      <c r="VCN4" s="18"/>
      <c r="VCO4" s="18"/>
      <c r="VCP4" s="18"/>
      <c r="VCQ4" s="18"/>
      <c r="VCR4" s="18"/>
      <c r="VCS4" s="18"/>
      <c r="VCT4" s="18"/>
      <c r="VCU4" s="18"/>
      <c r="VCV4" s="18"/>
      <c r="VCW4" s="18"/>
      <c r="VCX4" s="18"/>
      <c r="VCY4" s="18"/>
      <c r="VCZ4" s="18"/>
      <c r="VDA4" s="18"/>
      <c r="VDB4" s="18"/>
      <c r="VDC4" s="18"/>
      <c r="VDD4" s="18"/>
      <c r="VDE4" s="18"/>
      <c r="VDF4" s="18"/>
      <c r="VDG4" s="18"/>
      <c r="VDH4" s="18"/>
      <c r="VDI4" s="18"/>
      <c r="VDJ4" s="18"/>
      <c r="VDK4" s="18"/>
      <c r="VDL4" s="18"/>
      <c r="VDM4" s="18"/>
      <c r="VDN4" s="18"/>
      <c r="VDO4" s="18"/>
      <c r="VDP4" s="18"/>
      <c r="VDQ4" s="18"/>
      <c r="VDR4" s="18"/>
      <c r="VDS4" s="18"/>
      <c r="VDT4" s="18"/>
      <c r="VDU4" s="18"/>
      <c r="VDV4" s="18"/>
      <c r="VDW4" s="18"/>
      <c r="VDX4" s="18"/>
      <c r="VDY4" s="18"/>
      <c r="VDZ4" s="18"/>
      <c r="VEA4" s="18"/>
      <c r="VEB4" s="18"/>
      <c r="VEC4" s="18"/>
      <c r="VED4" s="18"/>
      <c r="VEE4" s="18"/>
      <c r="VEF4" s="18"/>
      <c r="VEG4" s="18"/>
      <c r="VEH4" s="18"/>
      <c r="VEI4" s="18"/>
      <c r="VEJ4" s="18"/>
      <c r="VEK4" s="18"/>
      <c r="VEL4" s="18"/>
      <c r="VEM4" s="18"/>
      <c r="VEN4" s="18"/>
      <c r="VEO4" s="18"/>
      <c r="VEP4" s="18"/>
      <c r="VEQ4" s="18"/>
      <c r="VER4" s="18"/>
      <c r="VES4" s="18"/>
      <c r="VET4" s="18"/>
      <c r="VEU4" s="18"/>
      <c r="VEV4" s="18"/>
      <c r="VEW4" s="18"/>
      <c r="VEX4" s="18"/>
      <c r="VEY4" s="18"/>
      <c r="VEZ4" s="18"/>
      <c r="VFA4" s="18"/>
      <c r="VFB4" s="18"/>
      <c r="VFC4" s="18"/>
      <c r="VFD4" s="18"/>
      <c r="VFE4" s="18"/>
      <c r="VFF4" s="18"/>
      <c r="VFG4" s="18"/>
      <c r="VFH4" s="18"/>
      <c r="VFI4" s="18"/>
      <c r="VFJ4" s="18"/>
      <c r="VFK4" s="18"/>
      <c r="VFL4" s="18"/>
      <c r="VFM4" s="18"/>
      <c r="VFN4" s="18"/>
      <c r="VFO4" s="18"/>
      <c r="VFP4" s="18"/>
      <c r="VFQ4" s="18"/>
      <c r="VFR4" s="18"/>
      <c r="VFS4" s="18"/>
      <c r="VFT4" s="18"/>
      <c r="VFU4" s="18"/>
      <c r="VFV4" s="18"/>
      <c r="VFW4" s="18"/>
      <c r="VFX4" s="18"/>
      <c r="VFY4" s="18"/>
      <c r="VFZ4" s="18"/>
      <c r="VGA4" s="18"/>
      <c r="VGB4" s="18"/>
      <c r="VGC4" s="18"/>
      <c r="VGD4" s="18"/>
      <c r="VGE4" s="18"/>
      <c r="VGF4" s="18"/>
      <c r="VGG4" s="18"/>
      <c r="VGH4" s="18"/>
      <c r="VGI4" s="18"/>
      <c r="VGJ4" s="18"/>
      <c r="VGK4" s="18"/>
      <c r="VGL4" s="18"/>
      <c r="VGM4" s="18"/>
      <c r="VGN4" s="18"/>
      <c r="VGO4" s="18"/>
      <c r="VGP4" s="18"/>
      <c r="VGQ4" s="18"/>
      <c r="VGR4" s="18"/>
      <c r="VGS4" s="18"/>
      <c r="VGT4" s="18"/>
      <c r="VGU4" s="18"/>
      <c r="VGV4" s="18"/>
      <c r="VGW4" s="18"/>
      <c r="VGX4" s="18"/>
      <c r="VGY4" s="18"/>
      <c r="VGZ4" s="18"/>
      <c r="VHA4" s="18"/>
      <c r="VHB4" s="18"/>
      <c r="VHC4" s="18"/>
      <c r="VHD4" s="18"/>
      <c r="VHE4" s="18"/>
      <c r="VHF4" s="18"/>
      <c r="VHG4" s="18"/>
      <c r="VHH4" s="18"/>
      <c r="VHI4" s="18"/>
      <c r="VHJ4" s="18"/>
      <c r="VHK4" s="18"/>
      <c r="VHL4" s="18"/>
      <c r="VHM4" s="18"/>
      <c r="VHN4" s="18"/>
      <c r="VHO4" s="18"/>
      <c r="VHP4" s="18"/>
      <c r="VHQ4" s="18"/>
      <c r="VHR4" s="18"/>
      <c r="VHS4" s="18"/>
      <c r="VHT4" s="18"/>
      <c r="VHU4" s="18"/>
      <c r="VHV4" s="18"/>
      <c r="VHW4" s="18"/>
      <c r="VHX4" s="18"/>
      <c r="VHY4" s="18"/>
      <c r="VHZ4" s="18"/>
      <c r="VIA4" s="18"/>
      <c r="VIB4" s="18"/>
      <c r="VIC4" s="18"/>
      <c r="VID4" s="18"/>
      <c r="VIE4" s="18"/>
      <c r="VIF4" s="18"/>
      <c r="VIG4" s="18"/>
      <c r="VIH4" s="18"/>
      <c r="VII4" s="18"/>
      <c r="VIJ4" s="18"/>
      <c r="VIK4" s="18"/>
      <c r="VIL4" s="18"/>
      <c r="VIM4" s="18"/>
      <c r="VIN4" s="18"/>
      <c r="VIO4" s="18"/>
      <c r="VIP4" s="18"/>
      <c r="VIQ4" s="18"/>
      <c r="VIR4" s="18"/>
      <c r="VIS4" s="18"/>
      <c r="VIT4" s="18"/>
      <c r="VIU4" s="18"/>
      <c r="VIV4" s="18"/>
      <c r="VIW4" s="18"/>
      <c r="VIX4" s="18"/>
      <c r="VIY4" s="18"/>
      <c r="VIZ4" s="18"/>
      <c r="VJA4" s="18"/>
      <c r="VJB4" s="18"/>
      <c r="VJC4" s="18"/>
      <c r="VJD4" s="18"/>
      <c r="VJE4" s="18"/>
      <c r="VJF4" s="18"/>
      <c r="VJG4" s="18"/>
      <c r="VJH4" s="18"/>
      <c r="VJI4" s="18"/>
      <c r="VJJ4" s="18"/>
      <c r="VJK4" s="18"/>
      <c r="VJL4" s="18"/>
      <c r="VJM4" s="18"/>
      <c r="VJN4" s="18"/>
      <c r="VJO4" s="18"/>
      <c r="VJP4" s="18"/>
      <c r="VJQ4" s="18"/>
      <c r="VJR4" s="18"/>
      <c r="VJS4" s="18"/>
      <c r="VJT4" s="18"/>
      <c r="VJU4" s="18"/>
      <c r="VJV4" s="18"/>
      <c r="VJW4" s="18"/>
      <c r="VJX4" s="18"/>
      <c r="VJY4" s="18"/>
      <c r="VJZ4" s="18"/>
      <c r="VKA4" s="18"/>
      <c r="VKB4" s="18"/>
      <c r="VKC4" s="18"/>
      <c r="VKD4" s="18"/>
      <c r="VKE4" s="18"/>
      <c r="VKF4" s="18"/>
      <c r="VKG4" s="18"/>
      <c r="VKH4" s="18"/>
      <c r="VKI4" s="18"/>
      <c r="VKJ4" s="18"/>
      <c r="VKK4" s="18"/>
      <c r="VKL4" s="18"/>
      <c r="VKM4" s="18"/>
      <c r="VKN4" s="18"/>
      <c r="VKO4" s="18"/>
      <c r="VKP4" s="18"/>
      <c r="VKQ4" s="18"/>
      <c r="VKR4" s="18"/>
      <c r="VKS4" s="18"/>
      <c r="VKT4" s="18"/>
      <c r="VKU4" s="18"/>
      <c r="VKV4" s="18"/>
      <c r="VKW4" s="18"/>
      <c r="VKX4" s="18"/>
      <c r="VKY4" s="18"/>
      <c r="VKZ4" s="18"/>
      <c r="VLA4" s="18"/>
      <c r="VLB4" s="18"/>
      <c r="VLC4" s="18"/>
      <c r="VLD4" s="18"/>
      <c r="VLE4" s="18"/>
      <c r="VLF4" s="18"/>
      <c r="VLG4" s="18"/>
      <c r="VLH4" s="18"/>
      <c r="VLI4" s="18"/>
      <c r="VLJ4" s="18"/>
      <c r="VLK4" s="18"/>
      <c r="VLL4" s="18"/>
      <c r="VLM4" s="18"/>
      <c r="VLN4" s="18"/>
      <c r="VLO4" s="18"/>
      <c r="VLP4" s="18"/>
      <c r="VLQ4" s="18"/>
      <c r="VLR4" s="18"/>
      <c r="VLS4" s="18"/>
      <c r="VLT4" s="18"/>
      <c r="VLU4" s="18"/>
      <c r="VLV4" s="18"/>
      <c r="VLW4" s="18"/>
      <c r="VLX4" s="18"/>
      <c r="VLY4" s="18"/>
      <c r="VLZ4" s="18"/>
      <c r="VMA4" s="18"/>
      <c r="VMB4" s="18"/>
      <c r="VMC4" s="18"/>
      <c r="VMD4" s="18"/>
      <c r="VME4" s="18"/>
      <c r="VMF4" s="18"/>
      <c r="VMG4" s="18"/>
      <c r="VMH4" s="18"/>
      <c r="VMI4" s="18"/>
      <c r="VMJ4" s="18"/>
      <c r="VMK4" s="18"/>
      <c r="VML4" s="18"/>
      <c r="VMM4" s="18"/>
      <c r="VMN4" s="18"/>
      <c r="VMO4" s="18"/>
      <c r="VMP4" s="18"/>
      <c r="VMQ4" s="18"/>
      <c r="VMR4" s="18"/>
      <c r="VMS4" s="18"/>
      <c r="VMT4" s="18"/>
      <c r="VMU4" s="18"/>
      <c r="VMV4" s="18"/>
      <c r="VMW4" s="18"/>
      <c r="VMX4" s="18"/>
      <c r="VMY4" s="18"/>
      <c r="VMZ4" s="18"/>
      <c r="VNA4" s="18"/>
      <c r="VNB4" s="18"/>
      <c r="VNC4" s="18"/>
      <c r="VND4" s="18"/>
      <c r="VNE4" s="18"/>
      <c r="VNF4" s="18"/>
      <c r="VNG4" s="18"/>
      <c r="VNH4" s="18"/>
      <c r="VNI4" s="18"/>
      <c r="VNJ4" s="18"/>
      <c r="VNK4" s="18"/>
      <c r="VNL4" s="18"/>
      <c r="VNM4" s="18"/>
      <c r="VNN4" s="18"/>
      <c r="VNO4" s="18"/>
      <c r="VNP4" s="18"/>
      <c r="VNQ4" s="18"/>
      <c r="VNR4" s="18"/>
      <c r="VNS4" s="18"/>
      <c r="VNT4" s="18"/>
      <c r="VNU4" s="18"/>
      <c r="VNV4" s="18"/>
      <c r="VNW4" s="18"/>
      <c r="VNX4" s="18"/>
      <c r="VNY4" s="18"/>
      <c r="VNZ4" s="18"/>
      <c r="VOA4" s="18"/>
      <c r="VOB4" s="18"/>
      <c r="VOC4" s="18"/>
      <c r="VOD4" s="18"/>
      <c r="VOE4" s="18"/>
      <c r="VOF4" s="18"/>
      <c r="VOG4" s="18"/>
      <c r="VOH4" s="18"/>
      <c r="VOI4" s="18"/>
      <c r="VOJ4" s="18"/>
      <c r="VOK4" s="18"/>
      <c r="VOL4" s="18"/>
      <c r="VOM4" s="18"/>
      <c r="VON4" s="18"/>
      <c r="VOO4" s="18"/>
      <c r="VOP4" s="18"/>
      <c r="VOQ4" s="18"/>
      <c r="VOR4" s="18"/>
      <c r="VOS4" s="18"/>
      <c r="VOT4" s="18"/>
      <c r="VOU4" s="18"/>
      <c r="VOV4" s="18"/>
      <c r="VOW4" s="18"/>
      <c r="VOX4" s="18"/>
      <c r="VOY4" s="18"/>
      <c r="VOZ4" s="18"/>
      <c r="VPA4" s="18"/>
      <c r="VPB4" s="18"/>
      <c r="VPC4" s="18"/>
      <c r="VPD4" s="18"/>
      <c r="VPE4" s="18"/>
      <c r="VPF4" s="18"/>
      <c r="VPG4" s="18"/>
      <c r="VPH4" s="18"/>
      <c r="VPI4" s="18"/>
      <c r="VPJ4" s="18"/>
      <c r="VPK4" s="18"/>
      <c r="VPL4" s="18"/>
      <c r="VPM4" s="18"/>
      <c r="VPN4" s="18"/>
      <c r="VPO4" s="18"/>
      <c r="VPP4" s="18"/>
      <c r="VPQ4" s="18"/>
      <c r="VPR4" s="18"/>
      <c r="VPS4" s="18"/>
      <c r="VPT4" s="18"/>
      <c r="VPU4" s="18"/>
      <c r="VPV4" s="18"/>
      <c r="VPW4" s="18"/>
      <c r="VPX4" s="18"/>
      <c r="VPY4" s="18"/>
      <c r="VPZ4" s="18"/>
      <c r="VQA4" s="18"/>
      <c r="VQB4" s="18"/>
      <c r="VQC4" s="18"/>
      <c r="VQD4" s="18"/>
      <c r="VQE4" s="18"/>
      <c r="VQF4" s="18"/>
      <c r="VQG4" s="18"/>
      <c r="VQH4" s="18"/>
      <c r="VQI4" s="18"/>
      <c r="VQJ4" s="18"/>
      <c r="VQK4" s="18"/>
      <c r="VQL4" s="18"/>
      <c r="VQM4" s="18"/>
      <c r="VQN4" s="18"/>
      <c r="VQO4" s="18"/>
      <c r="VQP4" s="18"/>
      <c r="VQQ4" s="18"/>
      <c r="VQR4" s="18"/>
      <c r="VQS4" s="18"/>
      <c r="VQT4" s="18"/>
      <c r="VQU4" s="18"/>
      <c r="VQV4" s="18"/>
      <c r="VQW4" s="18"/>
      <c r="VQX4" s="18"/>
      <c r="VQY4" s="18"/>
      <c r="VQZ4" s="18"/>
      <c r="VRA4" s="18"/>
      <c r="VRB4" s="18"/>
      <c r="VRC4" s="18"/>
      <c r="VRD4" s="18"/>
      <c r="VRE4" s="18"/>
      <c r="VRF4" s="18"/>
      <c r="VRG4" s="18"/>
      <c r="VRH4" s="18"/>
      <c r="VRI4" s="18"/>
      <c r="VRJ4" s="18"/>
      <c r="VRK4" s="18"/>
      <c r="VRL4" s="18"/>
      <c r="VRM4" s="18"/>
      <c r="VRN4" s="18"/>
      <c r="VRO4" s="18"/>
      <c r="VRP4" s="18"/>
      <c r="VRQ4" s="18"/>
      <c r="VRR4" s="18"/>
      <c r="VRS4" s="18"/>
      <c r="VRT4" s="18"/>
      <c r="VRU4" s="18"/>
      <c r="VRV4" s="18"/>
      <c r="VRW4" s="18"/>
      <c r="VRX4" s="18"/>
      <c r="VRY4" s="18"/>
      <c r="VRZ4" s="18"/>
      <c r="VSA4" s="18"/>
      <c r="VSB4" s="18"/>
      <c r="VSC4" s="18"/>
      <c r="VSD4" s="18"/>
      <c r="VSE4" s="18"/>
      <c r="VSF4" s="18"/>
      <c r="VSG4" s="18"/>
      <c r="VSH4" s="18"/>
      <c r="VSI4" s="18"/>
      <c r="VSJ4" s="18"/>
      <c r="VSK4" s="18"/>
      <c r="VSL4" s="18"/>
      <c r="VSM4" s="18"/>
      <c r="VSN4" s="18"/>
      <c r="VSO4" s="18"/>
      <c r="VSP4" s="18"/>
      <c r="VSQ4" s="18"/>
      <c r="VSR4" s="18"/>
      <c r="VSS4" s="18"/>
      <c r="VST4" s="18"/>
      <c r="VSU4" s="18"/>
      <c r="VSV4" s="18"/>
      <c r="VSW4" s="18"/>
      <c r="VSX4" s="18"/>
      <c r="VSY4" s="18"/>
      <c r="VSZ4" s="18"/>
      <c r="VTA4" s="18"/>
      <c r="VTB4" s="18"/>
      <c r="VTC4" s="18"/>
      <c r="VTD4" s="18"/>
      <c r="VTE4" s="18"/>
      <c r="VTF4" s="18"/>
      <c r="VTG4" s="18"/>
      <c r="VTH4" s="18"/>
      <c r="VTI4" s="18"/>
      <c r="VTJ4" s="18"/>
      <c r="VTK4" s="18"/>
      <c r="VTL4" s="18"/>
      <c r="VTM4" s="18"/>
      <c r="VTN4" s="18"/>
      <c r="VTO4" s="18"/>
      <c r="VTP4" s="18"/>
      <c r="VTQ4" s="18"/>
      <c r="VTR4" s="18"/>
      <c r="VTS4" s="18"/>
      <c r="VTT4" s="18"/>
      <c r="VTU4" s="18"/>
      <c r="VTV4" s="18"/>
      <c r="VTW4" s="18"/>
      <c r="VTX4" s="18"/>
      <c r="VTY4" s="18"/>
      <c r="VTZ4" s="18"/>
      <c r="VUA4" s="18"/>
      <c r="VUB4" s="18"/>
      <c r="VUC4" s="18"/>
      <c r="VUD4" s="18"/>
      <c r="VUE4" s="18"/>
      <c r="VUF4" s="18"/>
      <c r="VUG4" s="18"/>
      <c r="VUH4" s="18"/>
      <c r="VUI4" s="18"/>
      <c r="VUJ4" s="18"/>
      <c r="VUK4" s="18"/>
      <c r="VUL4" s="18"/>
      <c r="VUM4" s="18"/>
      <c r="VUN4" s="18"/>
      <c r="VUO4" s="18"/>
      <c r="VUP4" s="18"/>
      <c r="VUQ4" s="18"/>
      <c r="VUR4" s="18"/>
      <c r="VUS4" s="18"/>
      <c r="VUT4" s="18"/>
      <c r="VUU4" s="18"/>
      <c r="VUV4" s="18"/>
      <c r="VUW4" s="18"/>
      <c r="VUX4" s="18"/>
      <c r="VUY4" s="18"/>
      <c r="VUZ4" s="18"/>
      <c r="VVA4" s="18"/>
      <c r="VVB4" s="18"/>
      <c r="VVC4" s="18"/>
      <c r="VVD4" s="18"/>
      <c r="VVE4" s="18"/>
      <c r="VVF4" s="18"/>
      <c r="VVG4" s="18"/>
      <c r="VVH4" s="18"/>
      <c r="VVI4" s="18"/>
      <c r="VVJ4" s="18"/>
      <c r="VVK4" s="18"/>
      <c r="VVL4" s="18"/>
      <c r="VVM4" s="18"/>
      <c r="VVN4" s="18"/>
      <c r="VVO4" s="18"/>
      <c r="VVP4" s="18"/>
      <c r="VVQ4" s="18"/>
      <c r="VVR4" s="18"/>
      <c r="VVS4" s="18"/>
      <c r="VVT4" s="18"/>
      <c r="VVU4" s="18"/>
      <c r="VVV4" s="18"/>
      <c r="VVW4" s="18"/>
      <c r="VVX4" s="18"/>
      <c r="VVY4" s="18"/>
      <c r="VVZ4" s="18"/>
      <c r="VWA4" s="18"/>
      <c r="VWB4" s="18"/>
      <c r="VWC4" s="18"/>
      <c r="VWD4" s="18"/>
      <c r="VWE4" s="18"/>
      <c r="VWF4" s="18"/>
      <c r="VWG4" s="18"/>
      <c r="VWH4" s="18"/>
      <c r="VWI4" s="18"/>
      <c r="VWJ4" s="18"/>
      <c r="VWK4" s="18"/>
      <c r="VWL4" s="18"/>
      <c r="VWM4" s="18"/>
      <c r="VWN4" s="18"/>
      <c r="VWO4" s="18"/>
      <c r="VWP4" s="18"/>
      <c r="VWQ4" s="18"/>
      <c r="VWR4" s="18"/>
      <c r="VWS4" s="18"/>
      <c r="VWT4" s="18"/>
      <c r="VWU4" s="18"/>
      <c r="VWV4" s="18"/>
      <c r="VWW4" s="18"/>
      <c r="VWX4" s="18"/>
      <c r="VWY4" s="18"/>
      <c r="VWZ4" s="18"/>
      <c r="VXA4" s="18"/>
      <c r="VXB4" s="18"/>
      <c r="VXC4" s="18"/>
      <c r="VXD4" s="18"/>
      <c r="VXE4" s="18"/>
      <c r="VXF4" s="18"/>
      <c r="VXG4" s="18"/>
      <c r="VXH4" s="18"/>
      <c r="VXI4" s="18"/>
      <c r="VXJ4" s="18"/>
      <c r="VXK4" s="18"/>
      <c r="VXL4" s="18"/>
      <c r="VXM4" s="18"/>
      <c r="VXN4" s="18"/>
      <c r="VXO4" s="18"/>
      <c r="VXP4" s="18"/>
      <c r="VXQ4" s="18"/>
      <c r="VXR4" s="18"/>
      <c r="VXS4" s="18"/>
      <c r="VXT4" s="18"/>
      <c r="VXU4" s="18"/>
      <c r="VXV4" s="18"/>
      <c r="VXW4" s="18"/>
      <c r="VXX4" s="18"/>
      <c r="VXY4" s="18"/>
      <c r="VXZ4" s="18"/>
      <c r="VYA4" s="18"/>
      <c r="VYB4" s="18"/>
      <c r="VYC4" s="18"/>
      <c r="VYD4" s="18"/>
      <c r="VYE4" s="18"/>
      <c r="VYF4" s="18"/>
      <c r="VYG4" s="18"/>
      <c r="VYH4" s="18"/>
      <c r="VYI4" s="18"/>
      <c r="VYJ4" s="18"/>
      <c r="VYK4" s="18"/>
      <c r="VYL4" s="18"/>
      <c r="VYM4" s="18"/>
      <c r="VYN4" s="18"/>
      <c r="VYO4" s="18"/>
      <c r="VYP4" s="18"/>
      <c r="VYQ4" s="18"/>
      <c r="VYR4" s="18"/>
      <c r="VYS4" s="18"/>
      <c r="VYT4" s="18"/>
      <c r="VYU4" s="18"/>
      <c r="VYV4" s="18"/>
      <c r="VYW4" s="18"/>
      <c r="VYX4" s="18"/>
      <c r="VYY4" s="18"/>
      <c r="VYZ4" s="18"/>
      <c r="VZA4" s="18"/>
      <c r="VZB4" s="18"/>
      <c r="VZC4" s="18"/>
      <c r="VZD4" s="18"/>
      <c r="VZE4" s="18"/>
      <c r="VZF4" s="18"/>
      <c r="VZG4" s="18"/>
      <c r="VZH4" s="18"/>
      <c r="VZI4" s="18"/>
      <c r="VZJ4" s="18"/>
      <c r="VZK4" s="18"/>
      <c r="VZL4" s="18"/>
      <c r="VZM4" s="18"/>
      <c r="VZN4" s="18"/>
      <c r="VZO4" s="18"/>
      <c r="VZP4" s="18"/>
      <c r="VZQ4" s="18"/>
      <c r="VZR4" s="18"/>
      <c r="VZS4" s="18"/>
      <c r="VZT4" s="18"/>
      <c r="VZU4" s="18"/>
      <c r="VZV4" s="18"/>
      <c r="VZW4" s="18"/>
      <c r="VZX4" s="18"/>
      <c r="VZY4" s="18"/>
      <c r="VZZ4" s="18"/>
      <c r="WAA4" s="18"/>
      <c r="WAB4" s="18"/>
      <c r="WAC4" s="18"/>
      <c r="WAD4" s="18"/>
      <c r="WAE4" s="18"/>
      <c r="WAF4" s="18"/>
      <c r="WAG4" s="18"/>
      <c r="WAH4" s="18"/>
      <c r="WAI4" s="18"/>
      <c r="WAJ4" s="18"/>
      <c r="WAK4" s="18"/>
      <c r="WAL4" s="18"/>
      <c r="WAM4" s="18"/>
      <c r="WAN4" s="18"/>
      <c r="WAO4" s="18"/>
      <c r="WAP4" s="18"/>
      <c r="WAQ4" s="18"/>
      <c r="WAR4" s="18"/>
      <c r="WAS4" s="18"/>
      <c r="WAT4" s="18"/>
      <c r="WAU4" s="18"/>
      <c r="WAV4" s="18"/>
      <c r="WAW4" s="18"/>
      <c r="WAX4" s="18"/>
      <c r="WAY4" s="18"/>
      <c r="WAZ4" s="18"/>
      <c r="WBA4" s="18"/>
      <c r="WBB4" s="18"/>
      <c r="WBC4" s="18"/>
      <c r="WBD4" s="18"/>
      <c r="WBE4" s="18"/>
      <c r="WBF4" s="18"/>
      <c r="WBG4" s="18"/>
      <c r="WBH4" s="18"/>
      <c r="WBI4" s="18"/>
      <c r="WBJ4" s="18"/>
      <c r="WBK4" s="18"/>
      <c r="WBL4" s="18"/>
      <c r="WBM4" s="18"/>
      <c r="WBN4" s="18"/>
      <c r="WBO4" s="18"/>
      <c r="WBP4" s="18"/>
      <c r="WBQ4" s="18"/>
      <c r="WBR4" s="18"/>
      <c r="WBS4" s="18"/>
      <c r="WBT4" s="18"/>
      <c r="WBU4" s="18"/>
      <c r="WBV4" s="18"/>
      <c r="WBW4" s="18"/>
      <c r="WBX4" s="18"/>
      <c r="WBY4" s="18"/>
      <c r="WBZ4" s="18"/>
      <c r="WCA4" s="18"/>
      <c r="WCB4" s="18"/>
      <c r="WCC4" s="18"/>
      <c r="WCD4" s="18"/>
      <c r="WCE4" s="18"/>
      <c r="WCF4" s="18"/>
      <c r="WCG4" s="18"/>
      <c r="WCH4" s="18"/>
      <c r="WCI4" s="18"/>
      <c r="WCJ4" s="18"/>
      <c r="WCK4" s="18"/>
      <c r="WCL4" s="18"/>
      <c r="WCM4" s="18"/>
      <c r="WCN4" s="18"/>
      <c r="WCO4" s="18"/>
      <c r="WCP4" s="18"/>
      <c r="WCQ4" s="18"/>
      <c r="WCR4" s="18"/>
      <c r="WCS4" s="18"/>
      <c r="WCT4" s="18"/>
      <c r="WCU4" s="18"/>
      <c r="WCV4" s="18"/>
      <c r="WCW4" s="18"/>
      <c r="WCX4" s="18"/>
      <c r="WCY4" s="18"/>
      <c r="WCZ4" s="18"/>
      <c r="WDA4" s="18"/>
      <c r="WDB4" s="18"/>
      <c r="WDC4" s="18"/>
      <c r="WDD4" s="18"/>
      <c r="WDE4" s="18"/>
      <c r="WDF4" s="18"/>
      <c r="WDG4" s="18"/>
      <c r="WDH4" s="18"/>
      <c r="WDI4" s="18"/>
      <c r="WDJ4" s="18"/>
      <c r="WDK4" s="18"/>
      <c r="WDL4" s="18"/>
      <c r="WDM4" s="18"/>
      <c r="WDN4" s="18"/>
      <c r="WDO4" s="18"/>
      <c r="WDP4" s="18"/>
      <c r="WDQ4" s="18"/>
      <c r="WDR4" s="18"/>
      <c r="WDS4" s="18"/>
      <c r="WDT4" s="18"/>
      <c r="WDU4" s="18"/>
      <c r="WDV4" s="18"/>
      <c r="WDW4" s="18"/>
      <c r="WDX4" s="18"/>
      <c r="WDY4" s="18"/>
      <c r="WDZ4" s="18"/>
      <c r="WEA4" s="18"/>
      <c r="WEB4" s="18"/>
      <c r="WEC4" s="18"/>
      <c r="WED4" s="18"/>
      <c r="WEE4" s="18"/>
      <c r="WEF4" s="18"/>
      <c r="WEG4" s="18"/>
      <c r="WEH4" s="18"/>
      <c r="WEI4" s="18"/>
      <c r="WEJ4" s="18"/>
      <c r="WEK4" s="18"/>
      <c r="WEL4" s="18"/>
      <c r="WEM4" s="18"/>
      <c r="WEN4" s="18"/>
      <c r="WEO4" s="18"/>
      <c r="WEP4" s="18"/>
      <c r="WEQ4" s="18"/>
      <c r="WER4" s="18"/>
      <c r="WES4" s="18"/>
      <c r="WET4" s="18"/>
      <c r="WEU4" s="18"/>
      <c r="WEV4" s="18"/>
      <c r="WEW4" s="18"/>
      <c r="WEX4" s="18"/>
      <c r="WEY4" s="18"/>
      <c r="WEZ4" s="18"/>
      <c r="WFA4" s="18"/>
      <c r="WFB4" s="18"/>
      <c r="WFC4" s="18"/>
      <c r="WFD4" s="18"/>
      <c r="WFE4" s="18"/>
      <c r="WFF4" s="18"/>
      <c r="WFG4" s="18"/>
      <c r="WFH4" s="18"/>
      <c r="WFI4" s="18"/>
      <c r="WFJ4" s="18"/>
      <c r="WFK4" s="18"/>
      <c r="WFL4" s="18"/>
      <c r="WFM4" s="18"/>
      <c r="WFN4" s="18"/>
      <c r="WFO4" s="18"/>
      <c r="WFP4" s="18"/>
      <c r="WFQ4" s="18"/>
      <c r="WFR4" s="18"/>
      <c r="WFS4" s="18"/>
      <c r="WFT4" s="18"/>
      <c r="WFU4" s="18"/>
      <c r="WFV4" s="18"/>
      <c r="WFW4" s="18"/>
      <c r="WFX4" s="18"/>
      <c r="WFY4" s="18"/>
      <c r="WFZ4" s="18"/>
      <c r="WGA4" s="18"/>
      <c r="WGB4" s="18"/>
      <c r="WGC4" s="18"/>
      <c r="WGD4" s="18"/>
      <c r="WGE4" s="18"/>
      <c r="WGF4" s="18"/>
      <c r="WGG4" s="18"/>
      <c r="WGH4" s="18"/>
      <c r="WGI4" s="18"/>
      <c r="WGJ4" s="18"/>
      <c r="WGK4" s="18"/>
      <c r="WGL4" s="18"/>
      <c r="WGM4" s="18"/>
      <c r="WGN4" s="18"/>
      <c r="WGO4" s="18"/>
      <c r="WGP4" s="18"/>
      <c r="WGQ4" s="18"/>
      <c r="WGR4" s="18"/>
      <c r="WGS4" s="18"/>
      <c r="WGT4" s="18"/>
      <c r="WGU4" s="18"/>
      <c r="WGV4" s="18"/>
      <c r="WGW4" s="18"/>
      <c r="WGX4" s="18"/>
      <c r="WGY4" s="18"/>
      <c r="WGZ4" s="18"/>
      <c r="WHA4" s="18"/>
      <c r="WHB4" s="18"/>
      <c r="WHC4" s="18"/>
      <c r="WHD4" s="18"/>
      <c r="WHE4" s="18"/>
      <c r="WHF4" s="18"/>
      <c r="WHG4" s="18"/>
      <c r="WHH4" s="18"/>
      <c r="WHI4" s="18"/>
      <c r="WHJ4" s="18"/>
      <c r="WHK4" s="18"/>
      <c r="WHL4" s="18"/>
      <c r="WHM4" s="18"/>
      <c r="WHN4" s="18"/>
      <c r="WHO4" s="18"/>
      <c r="WHP4" s="18"/>
      <c r="WHQ4" s="18"/>
      <c r="WHR4" s="18"/>
      <c r="WHS4" s="18"/>
      <c r="WHT4" s="18"/>
      <c r="WHU4" s="18"/>
      <c r="WHV4" s="18"/>
      <c r="WHW4" s="18"/>
      <c r="WHX4" s="18"/>
      <c r="WHY4" s="18"/>
      <c r="WHZ4" s="18"/>
      <c r="WIA4" s="18"/>
      <c r="WIB4" s="18"/>
      <c r="WIC4" s="18"/>
      <c r="WID4" s="18"/>
      <c r="WIE4" s="18"/>
      <c r="WIF4" s="18"/>
      <c r="WIG4" s="18"/>
      <c r="WIH4" s="18"/>
      <c r="WII4" s="18"/>
      <c r="WIJ4" s="18"/>
      <c r="WIK4" s="18"/>
      <c r="WIL4" s="18"/>
      <c r="WIM4" s="18"/>
      <c r="WIN4" s="18"/>
      <c r="WIO4" s="18"/>
      <c r="WIP4" s="18"/>
      <c r="WIQ4" s="18"/>
      <c r="WIR4" s="18"/>
      <c r="WIS4" s="18"/>
      <c r="WIT4" s="18"/>
      <c r="WIU4" s="18"/>
      <c r="WIV4" s="18"/>
      <c r="WIW4" s="18"/>
      <c r="WIX4" s="18"/>
      <c r="WIY4" s="18"/>
      <c r="WIZ4" s="18"/>
      <c r="WJA4" s="18"/>
      <c r="WJB4" s="18"/>
      <c r="WJC4" s="18"/>
      <c r="WJD4" s="18"/>
      <c r="WJE4" s="18"/>
      <c r="WJF4" s="18"/>
      <c r="WJG4" s="18"/>
      <c r="WJH4" s="18"/>
      <c r="WJI4" s="18"/>
      <c r="WJJ4" s="18"/>
      <c r="WJK4" s="18"/>
      <c r="WJL4" s="18"/>
      <c r="WJM4" s="18"/>
      <c r="WJN4" s="18"/>
      <c r="WJO4" s="18"/>
      <c r="WJP4" s="18"/>
      <c r="WJQ4" s="18"/>
      <c r="WJR4" s="18"/>
      <c r="WJS4" s="18"/>
      <c r="WJT4" s="18"/>
      <c r="WJU4" s="18"/>
      <c r="WJV4" s="18"/>
      <c r="WJW4" s="18"/>
      <c r="WJX4" s="18"/>
      <c r="WJY4" s="18"/>
      <c r="WJZ4" s="18"/>
      <c r="WKA4" s="18"/>
      <c r="WKB4" s="18"/>
      <c r="WKC4" s="18"/>
      <c r="WKD4" s="18"/>
      <c r="WKE4" s="18"/>
      <c r="WKF4" s="18"/>
      <c r="WKG4" s="18"/>
      <c r="WKH4" s="18"/>
      <c r="WKI4" s="18"/>
      <c r="WKJ4" s="18"/>
      <c r="WKK4" s="18"/>
      <c r="WKL4" s="18"/>
      <c r="WKM4" s="18"/>
      <c r="WKN4" s="18"/>
      <c r="WKO4" s="18"/>
      <c r="WKP4" s="18"/>
      <c r="WKQ4" s="18"/>
      <c r="WKR4" s="18"/>
      <c r="WKS4" s="18"/>
      <c r="WKT4" s="18"/>
      <c r="WKU4" s="18"/>
      <c r="WKV4" s="18"/>
      <c r="WKW4" s="18"/>
      <c r="WKX4" s="18"/>
      <c r="WKY4" s="18"/>
      <c r="WKZ4" s="18"/>
      <c r="WLA4" s="18"/>
      <c r="WLB4" s="18"/>
      <c r="WLC4" s="18"/>
      <c r="WLD4" s="18"/>
      <c r="WLE4" s="18"/>
      <c r="WLF4" s="18"/>
      <c r="WLG4" s="18"/>
      <c r="WLH4" s="18"/>
      <c r="WLI4" s="18"/>
      <c r="WLJ4" s="18"/>
      <c r="WLK4" s="18"/>
      <c r="WLL4" s="18"/>
      <c r="WLM4" s="18"/>
      <c r="WLN4" s="18"/>
      <c r="WLO4" s="18"/>
      <c r="WLP4" s="18"/>
      <c r="WLQ4" s="18"/>
      <c r="WLR4" s="18"/>
      <c r="WLS4" s="18"/>
      <c r="WLT4" s="18"/>
      <c r="WLU4" s="18"/>
      <c r="WLV4" s="18"/>
      <c r="WLW4" s="18"/>
      <c r="WLX4" s="18"/>
      <c r="WLY4" s="18"/>
      <c r="WLZ4" s="18"/>
      <c r="WMA4" s="18"/>
      <c r="WMB4" s="18"/>
      <c r="WMC4" s="18"/>
      <c r="WMD4" s="18"/>
      <c r="WME4" s="18"/>
      <c r="WMF4" s="18"/>
      <c r="WMG4" s="18"/>
      <c r="WMH4" s="18"/>
      <c r="WMI4" s="18"/>
      <c r="WMJ4" s="18"/>
      <c r="WMK4" s="18"/>
      <c r="WML4" s="18"/>
      <c r="WMM4" s="18"/>
      <c r="WMN4" s="18"/>
      <c r="WMO4" s="18"/>
      <c r="WMP4" s="18"/>
      <c r="WMQ4" s="18"/>
      <c r="WMR4" s="18"/>
      <c r="WMS4" s="18"/>
      <c r="WMT4" s="18"/>
      <c r="WMU4" s="18"/>
      <c r="WMV4" s="18"/>
      <c r="WMW4" s="18"/>
      <c r="WMX4" s="18"/>
      <c r="WMY4" s="18"/>
      <c r="WMZ4" s="18"/>
      <c r="WNA4" s="18"/>
      <c r="WNB4" s="18"/>
      <c r="WNC4" s="18"/>
      <c r="WND4" s="18"/>
      <c r="WNE4" s="18"/>
      <c r="WNF4" s="18"/>
      <c r="WNG4" s="18"/>
      <c r="WNH4" s="18"/>
      <c r="WNI4" s="18"/>
      <c r="WNJ4" s="18"/>
      <c r="WNK4" s="18"/>
      <c r="WNL4" s="18"/>
      <c r="WNM4" s="18"/>
      <c r="WNN4" s="18"/>
      <c r="WNO4" s="18"/>
      <c r="WNP4" s="18"/>
      <c r="WNQ4" s="18"/>
      <c r="WNR4" s="18"/>
      <c r="WNS4" s="18"/>
      <c r="WNT4" s="18"/>
      <c r="WNU4" s="18"/>
      <c r="WNV4" s="18"/>
      <c r="WNW4" s="18"/>
      <c r="WNX4" s="18"/>
      <c r="WNY4" s="18"/>
      <c r="WNZ4" s="18"/>
      <c r="WOA4" s="18"/>
      <c r="WOB4" s="18"/>
      <c r="WOC4" s="18"/>
      <c r="WOD4" s="18"/>
      <c r="WOE4" s="18"/>
      <c r="WOF4" s="18"/>
      <c r="WOG4" s="18"/>
      <c r="WOH4" s="18"/>
      <c r="WOI4" s="18"/>
      <c r="WOJ4" s="18"/>
      <c r="WOK4" s="18"/>
      <c r="WOL4" s="18"/>
      <c r="WOM4" s="18"/>
      <c r="WON4" s="18"/>
      <c r="WOO4" s="18"/>
      <c r="WOP4" s="18"/>
      <c r="WOQ4" s="18"/>
      <c r="WOR4" s="18"/>
      <c r="WOS4" s="18"/>
      <c r="WOT4" s="18"/>
      <c r="WOU4" s="18"/>
      <c r="WOV4" s="18"/>
      <c r="WOW4" s="18"/>
      <c r="WOX4" s="18"/>
      <c r="WOY4" s="18"/>
      <c r="WOZ4" s="18"/>
      <c r="WPA4" s="18"/>
      <c r="WPB4" s="18"/>
      <c r="WPC4" s="18"/>
      <c r="WPD4" s="18"/>
      <c r="WPE4" s="18"/>
      <c r="WPF4" s="18"/>
      <c r="WPG4" s="18"/>
      <c r="WPH4" s="18"/>
      <c r="WPI4" s="18"/>
      <c r="WPJ4" s="18"/>
      <c r="WPK4" s="18"/>
      <c r="WPL4" s="18"/>
      <c r="WPM4" s="18"/>
      <c r="WPN4" s="18"/>
      <c r="WPO4" s="18"/>
      <c r="WPP4" s="18"/>
      <c r="WPQ4" s="18"/>
      <c r="WPR4" s="18"/>
      <c r="WPS4" s="18"/>
      <c r="WPT4" s="18"/>
      <c r="WPU4" s="18"/>
      <c r="WPV4" s="18"/>
      <c r="WPW4" s="18"/>
      <c r="WPX4" s="18"/>
      <c r="WPY4" s="18"/>
      <c r="WPZ4" s="18"/>
      <c r="WQA4" s="18"/>
      <c r="WQB4" s="18"/>
      <c r="WQC4" s="18"/>
      <c r="WQD4" s="18"/>
      <c r="WQE4" s="18"/>
      <c r="WQF4" s="18"/>
      <c r="WQG4" s="18"/>
      <c r="WQH4" s="18"/>
      <c r="WQI4" s="18"/>
      <c r="WQJ4" s="18"/>
      <c r="WQK4" s="18"/>
      <c r="WQL4" s="18"/>
      <c r="WQM4" s="18"/>
      <c r="WQN4" s="18"/>
      <c r="WQO4" s="18"/>
      <c r="WQP4" s="18"/>
      <c r="WQQ4" s="18"/>
      <c r="WQR4" s="18"/>
      <c r="WQS4" s="18"/>
      <c r="WQT4" s="18"/>
      <c r="WQU4" s="18"/>
      <c r="WQV4" s="18"/>
      <c r="WQW4" s="18"/>
      <c r="WQX4" s="18"/>
      <c r="WQY4" s="18"/>
      <c r="WQZ4" s="18"/>
      <c r="WRA4" s="18"/>
      <c r="WRB4" s="18"/>
      <c r="WRC4" s="18"/>
      <c r="WRD4" s="18"/>
      <c r="WRE4" s="18"/>
      <c r="WRF4" s="18"/>
      <c r="WRG4" s="18"/>
      <c r="WRH4" s="18"/>
      <c r="WRI4" s="18"/>
      <c r="WRJ4" s="18"/>
      <c r="WRK4" s="18"/>
      <c r="WRL4" s="18"/>
      <c r="WRM4" s="18"/>
      <c r="WRN4" s="18"/>
      <c r="WRO4" s="18"/>
      <c r="WRP4" s="18"/>
      <c r="WRQ4" s="18"/>
      <c r="WRR4" s="18"/>
      <c r="WRS4" s="18"/>
      <c r="WRT4" s="18"/>
      <c r="WRU4" s="18"/>
      <c r="WRV4" s="18"/>
      <c r="WRW4" s="18"/>
      <c r="WRX4" s="18"/>
      <c r="WRY4" s="18"/>
      <c r="WRZ4" s="18"/>
      <c r="WSA4" s="18"/>
      <c r="WSB4" s="18"/>
      <c r="WSC4" s="18"/>
      <c r="WSD4" s="18"/>
      <c r="WSE4" s="18"/>
      <c r="WSF4" s="18"/>
      <c r="WSG4" s="18"/>
      <c r="WSH4" s="18"/>
      <c r="WSI4" s="18"/>
      <c r="WSJ4" s="18"/>
      <c r="WSK4" s="18"/>
      <c r="WSL4" s="18"/>
      <c r="WSM4" s="18"/>
      <c r="WSN4" s="18"/>
      <c r="WSO4" s="18"/>
      <c r="WSP4" s="18"/>
      <c r="WSQ4" s="18"/>
      <c r="WSR4" s="18"/>
      <c r="WSS4" s="18"/>
      <c r="WST4" s="18"/>
      <c r="WSU4" s="18"/>
      <c r="WSV4" s="18"/>
      <c r="WSW4" s="18"/>
      <c r="WSX4" s="18"/>
      <c r="WSY4" s="18"/>
      <c r="WSZ4" s="18"/>
      <c r="WTA4" s="18"/>
      <c r="WTB4" s="18"/>
      <c r="WTC4" s="18"/>
      <c r="WTD4" s="18"/>
      <c r="WTE4" s="18"/>
      <c r="WTF4" s="18"/>
      <c r="WTG4" s="18"/>
      <c r="WTH4" s="18"/>
      <c r="WTI4" s="18"/>
      <c r="WTJ4" s="18"/>
      <c r="WTK4" s="18"/>
      <c r="WTL4" s="18"/>
      <c r="WTM4" s="18"/>
      <c r="WTN4" s="18"/>
      <c r="WTO4" s="18"/>
      <c r="WTP4" s="18"/>
      <c r="WTQ4" s="18"/>
      <c r="WTR4" s="18"/>
      <c r="WTS4" s="18"/>
      <c r="WTT4" s="18"/>
      <c r="WTU4" s="18"/>
      <c r="WTV4" s="18"/>
      <c r="WTW4" s="18"/>
      <c r="WTX4" s="18"/>
      <c r="WTY4" s="18"/>
      <c r="WTZ4" s="18"/>
      <c r="WUA4" s="18"/>
      <c r="WUB4" s="18"/>
      <c r="WUC4" s="18"/>
      <c r="WUD4" s="18"/>
      <c r="WUE4" s="18"/>
      <c r="WUF4" s="18"/>
      <c r="WUG4" s="18"/>
      <c r="WUH4" s="18"/>
      <c r="WUI4" s="18"/>
      <c r="WUJ4" s="18"/>
      <c r="WUK4" s="18"/>
      <c r="WUL4" s="18"/>
      <c r="WUM4" s="18"/>
      <c r="WUN4" s="18"/>
      <c r="WUO4" s="18"/>
      <c r="WUP4" s="18"/>
      <c r="WUQ4" s="18"/>
      <c r="WUR4" s="18"/>
      <c r="WUS4" s="18"/>
      <c r="WUT4" s="18"/>
      <c r="WUU4" s="18"/>
      <c r="WUV4" s="18"/>
      <c r="WUW4" s="18"/>
      <c r="WUX4" s="18"/>
      <c r="WUY4" s="18"/>
      <c r="WUZ4" s="18"/>
      <c r="WVA4" s="18"/>
      <c r="WVB4" s="18"/>
      <c r="WVC4" s="18"/>
      <c r="WVD4" s="18"/>
      <c r="WVE4" s="18"/>
      <c r="WVF4" s="18"/>
      <c r="WVG4" s="18"/>
      <c r="WVH4" s="18"/>
      <c r="WVI4" s="18"/>
      <c r="WVJ4" s="18"/>
      <c r="WVK4" s="18"/>
      <c r="WVL4" s="18"/>
      <c r="WVM4" s="18"/>
      <c r="WVN4" s="18"/>
      <c r="WVO4" s="18"/>
      <c r="WVP4" s="18"/>
      <c r="WVQ4" s="18"/>
      <c r="WVR4" s="18"/>
      <c r="WVS4" s="18"/>
      <c r="WVT4" s="18"/>
      <c r="WVU4" s="18"/>
      <c r="WVV4" s="18"/>
      <c r="WVW4" s="18"/>
      <c r="WVX4" s="18"/>
      <c r="WVY4" s="18"/>
      <c r="WVZ4" s="18"/>
      <c r="WWA4" s="18"/>
      <c r="WWB4" s="18"/>
      <c r="WWC4" s="18"/>
      <c r="WWD4" s="18"/>
      <c r="WWE4" s="18"/>
      <c r="WWF4" s="18"/>
      <c r="WWG4" s="18"/>
      <c r="WWH4" s="18"/>
      <c r="WWI4" s="18"/>
      <c r="WWJ4" s="18"/>
      <c r="WWK4" s="18"/>
      <c r="WWL4" s="18"/>
      <c r="WWM4" s="18"/>
      <c r="WWN4" s="18"/>
      <c r="WWO4" s="18"/>
      <c r="WWP4" s="18"/>
      <c r="WWQ4" s="18"/>
      <c r="WWR4" s="18"/>
      <c r="WWS4" s="18"/>
      <c r="WWT4" s="18"/>
      <c r="WWU4" s="18"/>
      <c r="WWV4" s="18"/>
      <c r="WWW4" s="18"/>
      <c r="WWX4" s="18"/>
      <c r="WWY4" s="18"/>
      <c r="WWZ4" s="18"/>
      <c r="WXA4" s="18"/>
      <c r="WXB4" s="18"/>
      <c r="WXC4" s="18"/>
      <c r="WXD4" s="18"/>
      <c r="WXE4" s="18"/>
      <c r="WXF4" s="18"/>
      <c r="WXG4" s="18"/>
      <c r="WXH4" s="18"/>
      <c r="WXI4" s="18"/>
      <c r="WXJ4" s="18"/>
      <c r="WXK4" s="18"/>
      <c r="WXL4" s="18"/>
      <c r="WXM4" s="18"/>
      <c r="WXN4" s="18"/>
      <c r="WXO4" s="18"/>
      <c r="WXP4" s="18"/>
      <c r="WXQ4" s="18"/>
      <c r="WXR4" s="18"/>
      <c r="WXS4" s="18"/>
      <c r="WXT4" s="18"/>
      <c r="WXU4" s="18"/>
      <c r="WXV4" s="18"/>
      <c r="WXW4" s="18"/>
      <c r="WXX4" s="18"/>
      <c r="WXY4" s="18"/>
      <c r="WXZ4" s="18"/>
      <c r="WYA4" s="18"/>
      <c r="WYB4" s="18"/>
      <c r="WYC4" s="18"/>
      <c r="WYD4" s="18"/>
      <c r="WYE4" s="18"/>
      <c r="WYF4" s="18"/>
      <c r="WYG4" s="18"/>
      <c r="WYH4" s="18"/>
      <c r="WYI4" s="18"/>
      <c r="WYJ4" s="18"/>
      <c r="WYK4" s="18"/>
      <c r="WYL4" s="18"/>
      <c r="WYM4" s="18"/>
      <c r="WYN4" s="18"/>
      <c r="WYO4" s="18"/>
      <c r="WYP4" s="18"/>
      <c r="WYQ4" s="18"/>
      <c r="WYR4" s="18"/>
      <c r="WYS4" s="18"/>
      <c r="WYT4" s="18"/>
      <c r="WYU4" s="18"/>
      <c r="WYV4" s="18"/>
      <c r="WYW4" s="18"/>
      <c r="WYX4" s="18"/>
      <c r="WYY4" s="18"/>
      <c r="WYZ4" s="18"/>
      <c r="WZA4" s="18"/>
      <c r="WZB4" s="18"/>
      <c r="WZC4" s="18"/>
      <c r="WZD4" s="18"/>
      <c r="WZE4" s="18"/>
      <c r="WZF4" s="18"/>
      <c r="WZG4" s="18"/>
      <c r="WZH4" s="18"/>
      <c r="WZI4" s="18"/>
      <c r="WZJ4" s="18"/>
      <c r="WZK4" s="18"/>
      <c r="WZL4" s="18"/>
      <c r="WZM4" s="18"/>
      <c r="WZN4" s="18"/>
      <c r="WZO4" s="18"/>
      <c r="WZP4" s="18"/>
      <c r="WZQ4" s="18"/>
      <c r="WZR4" s="18"/>
      <c r="WZS4" s="18"/>
      <c r="WZT4" s="18"/>
      <c r="WZU4" s="18"/>
      <c r="WZV4" s="18"/>
      <c r="WZW4" s="18"/>
      <c r="WZX4" s="18"/>
      <c r="WZY4" s="18"/>
      <c r="WZZ4" s="18"/>
      <c r="XAA4" s="18"/>
      <c r="XAB4" s="18"/>
      <c r="XAC4" s="18"/>
      <c r="XAD4" s="18"/>
      <c r="XAE4" s="18"/>
      <c r="XAF4" s="18"/>
      <c r="XAG4" s="18"/>
      <c r="XAH4" s="18"/>
      <c r="XAI4" s="18"/>
      <c r="XAJ4" s="18"/>
      <c r="XAK4" s="18"/>
      <c r="XAL4" s="18"/>
      <c r="XAM4" s="18"/>
      <c r="XAN4" s="18"/>
      <c r="XAO4" s="18"/>
      <c r="XAP4" s="18"/>
      <c r="XAQ4" s="18"/>
      <c r="XAR4" s="18"/>
      <c r="XAS4" s="18"/>
      <c r="XAT4" s="18"/>
      <c r="XAU4" s="18"/>
      <c r="XAV4" s="18"/>
      <c r="XAW4" s="18"/>
      <c r="XAX4" s="18"/>
      <c r="XAY4" s="18"/>
      <c r="XAZ4" s="18"/>
      <c r="XBA4" s="18"/>
      <c r="XBB4" s="18"/>
      <c r="XBC4" s="18"/>
      <c r="XBD4" s="18"/>
      <c r="XBE4" s="18"/>
      <c r="XBF4" s="18"/>
      <c r="XBG4" s="18"/>
      <c r="XBH4" s="18"/>
      <c r="XBI4" s="18"/>
      <c r="XBJ4" s="18"/>
      <c r="XBK4" s="18"/>
      <c r="XBL4" s="18"/>
      <c r="XBM4" s="18"/>
      <c r="XBN4" s="18"/>
      <c r="XBO4" s="18"/>
      <c r="XBP4" s="18"/>
      <c r="XBQ4" s="18"/>
      <c r="XBR4" s="18"/>
      <c r="XBS4" s="18"/>
      <c r="XBT4" s="18"/>
      <c r="XBU4" s="18"/>
      <c r="XBV4" s="18"/>
      <c r="XBW4" s="18"/>
      <c r="XBX4" s="18"/>
      <c r="XBY4" s="18"/>
      <c r="XBZ4" s="18"/>
      <c r="XCA4" s="18"/>
      <c r="XCB4" s="18"/>
      <c r="XCC4" s="18"/>
      <c r="XCD4" s="18"/>
      <c r="XCE4" s="18"/>
      <c r="XCF4" s="18"/>
      <c r="XCG4" s="18"/>
      <c r="XCH4" s="18"/>
      <c r="XCI4" s="18"/>
      <c r="XCJ4" s="18"/>
      <c r="XCK4" s="18"/>
      <c r="XCL4" s="18"/>
      <c r="XCM4" s="18"/>
      <c r="XCN4" s="18"/>
      <c r="XCO4" s="18"/>
      <c r="XCP4" s="18"/>
      <c r="XCQ4" s="18"/>
      <c r="XCR4" s="18"/>
      <c r="XCS4" s="18"/>
      <c r="XCT4" s="18"/>
      <c r="XCU4" s="18"/>
      <c r="XCV4" s="18"/>
      <c r="XCW4" s="18"/>
      <c r="XCX4" s="18"/>
      <c r="XCY4" s="18"/>
      <c r="XCZ4" s="18"/>
      <c r="XDA4" s="18"/>
      <c r="XDB4" s="18"/>
      <c r="XDC4" s="18"/>
      <c r="XDD4" s="18"/>
      <c r="XDE4" s="18"/>
      <c r="XDF4" s="18"/>
      <c r="XDG4" s="18"/>
      <c r="XDH4" s="18"/>
      <c r="XDI4" s="18"/>
      <c r="XDJ4" s="18"/>
      <c r="XDK4" s="18"/>
      <c r="XDL4" s="18"/>
      <c r="XDM4" s="18"/>
      <c r="XDN4" s="18"/>
    </row>
    <row r="5" spans="1:16342" ht="22.5" customHeight="1" x14ac:dyDescent="0.3">
      <c r="A5" s="235">
        <v>1</v>
      </c>
      <c r="B5" s="236" t="str">
        <f>IFERROR(VLOOKUP(A5,Tbl_personal[],2,0),"-")</f>
        <v>Smith John</v>
      </c>
      <c r="C5" s="237" t="str">
        <f>IFERROR(VLOOKUP(A5,Tbl_personal[],6,0),"-")</f>
        <v>ADMINISTRACIÓN</v>
      </c>
      <c r="D5" s="121" t="str">
        <f>IFERROR(VLOOKUP(A5,Tbl_personal[],7,0),"-")</f>
        <v>EXTRAS</v>
      </c>
      <c r="E5" s="121" t="str">
        <f>IFERROR(VLOOKUP(A5,Tbl_personal[],8,0),"-")</f>
        <v>ADMINISTRACION_J1</v>
      </c>
      <c r="F5" s="238">
        <f>IFERROR(VLOOKUP(A5,Tbl_personal[],12,0),"-")</f>
        <v>43800</v>
      </c>
      <c r="G5" s="238">
        <f>IFERROR(IF(VLOOKUP(A5,Tbl_personal[],13,0)="","-",VLOOKUP(A5,Tbl_personal[],13,0)),"-")</f>
        <v>43830</v>
      </c>
      <c r="H5" s="238" t="str">
        <f>IFERROR(VLOOKUP(A5,Tbl_personal[],9,0),"-")</f>
        <v>NO</v>
      </c>
      <c r="I5" s="122">
        <f>SUMIFS(Tbl_tiempo[ANALISIS MARCAJE INICIAL],Tbl_tiempo[ID PERSONAL],Tbl_horario[[#This Row],[CODIGO]],Tbl_tiempo[FECHA],$I$2)</f>
        <v>0.875</v>
      </c>
      <c r="J5" s="122">
        <f>SUMIFS(Tbl_tiempo[ANALISIS MARCAJE FINAL],Tbl_tiempo[ID PERSONAL],Tbl_horario[[#This Row],[CODIGO]],Tbl_tiempo[FECHA],$I$2)</f>
        <v>1.2319444444444445</v>
      </c>
      <c r="K5" s="122">
        <f>IFERROR(IF(Tbl_horario[[#This Row],[SALIDA 01]]-Tbl_horario[[#This Row],[ENTRADA 01]]&lt;0,"REVISAR HORAS",(SUMIFS(Tbl_tiempo[REPORTE X DIA],Tbl_tiempo[FECHA],CONSOLIDADO!$I$2,Tbl_tiempo[ID PERSONAL],Tbl_horario[[#This Row],[CODIGO]]))/(COUNTIFS(Tbl_tiempo[FECHA],CONSOLIDADO!$I$2,Tbl_tiempo[ID PERSONAL],Tbl_horario[[#This Row],[CODIGO]]))),0)</f>
        <v>0.35694444444444456</v>
      </c>
      <c r="L5" s="122">
        <f ca="1">IFERROR(IF(Tbl_horario[[#This Row],[HORAS 01]]&gt;SUM(Tbl_horario[[#This Row],[EXTRAS DIURNAS 01]:[TIEMPO 01]]),Tbl_horario[[#This Row],[HORAS 01]]-SUM(Tbl_horario[[#This Row],[EXTRAS DIURNAS 01]:[TIEMPO 01]]),0),0)</f>
        <v>2.3611111111111249E-2</v>
      </c>
      <c r="M5" s="122">
        <f ca="1">IFERROR(IF(Tbl_horario[[#This Row],[HORAS 01]]=0,Tbl_horario[[#This Row],[TIEMPO 01]],IF(Tbl_horario[[#This Row],[HORAS 01]]&lt;SUM(Tbl_horario[[#This Row],[EXTRAS VESPERTINAS 5-6 01]:[TIEMPO 01]]),IF(WEEKDAY($I$2,1)=7,(IF((Tbl_horario[[#This Row],[HORAS 01]]+VLOOKUP(Tbl_horario[[#This Row],[JORNADA]],Tabla_Jornada[],11,0))&lt;(SUM(Tbl_horario[[#This Row],[EXTRAS VESPERTINAS 5-6 01]:[TIEMPO 01]])),(SUM(Tbl_horario[[#This Row],[EXTRAS VESPERTINAS 5-6 01]:[TIEMPO 01]]))-(Tbl_horario[[#This Row],[HORAS 01]]+VLOOKUP(Tbl_horario[[#This Row],[JORNADA]],Tabla_Jornada[],11,0)),0)),SUM(Tbl_horario[[#This Row],[EXTRAS VESPERTINAS 5-6 01]:[TIEMPO 01]])-Tbl_horario[[#This Row],[HORAS 01]]),0)),0)</f>
        <v>0</v>
      </c>
      <c r="N5" s="122">
        <f>SUMIFS(Tbl_tiempo[EXTRAS DIURNAS],Tbl_tiempo[ID PERSONAL],Tbl_horario[[#This Row],[CODIGO]],Tbl_tiempo[FECHA],$I$2)</f>
        <v>0</v>
      </c>
      <c r="O5" s="122">
        <f>SUMIFS(Tbl_tiempo[EXTRAS VESPERTINO - 6],Tbl_tiempo[ID PERSONAL],Tbl_horario[[#This Row],[CODIGO]],Tbl_tiempo[FECHA],$I$2)</f>
        <v>0</v>
      </c>
      <c r="P5" s="122">
        <f>SUMIFS(Tbl_tiempo[EXTRAS NOCTURNO 6 -8],Tbl_tiempo[ID PERSONAL],Tbl_horario[[#This Row],[CODIGO]],Tbl_tiempo[FECHA],$I$2)</f>
        <v>0</v>
      </c>
      <c r="Q5" s="122">
        <f>SUMIFS(Tbl_tiempo[EXTRAS NOCTURNO 8 +],Tbl_tiempo[ID PERSONAL],Tbl_horario[[#This Row],[CODIGO]],Tbl_tiempo[FECHA],$I$2)</f>
        <v>0</v>
      </c>
      <c r="R5" s="122">
        <f ca="1">IFERROR(IF(OR(Tbl_horario[[#This Row],[FERIADO 01]]="DIA FERIADO",Tbl_horario[[#This Row],[DIA 01]]="SEPTIMO DIA"),0,VLOOKUP(Tbl_horario[[#This Row],[JORNADA]],Tabla_Jornada[],(IF(WEEKDAY($I$2,1)=7,6,2)),0)),0)</f>
        <v>0.33333333333333331</v>
      </c>
      <c r="S5" s="122" t="str">
        <f>IF(WEEKDAY($I$2)=1,"SEPTIMO DIA",IF(Tbl_horario[[#This Row],[HORAS 01]]&gt;0,"LABORADO","NO LABORADO"))</f>
        <v>LABORADO</v>
      </c>
      <c r="T5" s="237" t="str">
        <f ca="1">IF(DATE(YEAR(TODAY()),MONTH(TODAY()),DAY(TODAY()))&gt;=$I$2,IF(AND(Tbl_horario[[#This Row],[FECHA DE INGRESO]]&lt;=$I$2,Tbl_horario[[#This Row],[FECHA DE BAJA]]&gt;=$I$2),IF((COUNTIF(Tabla_Feriados[FECHA],$I$2))=1,"DIA FERIADO","-"),"-"),"-")</f>
        <v>-</v>
      </c>
      <c r="U5" s="122">
        <f>SUMIFS(Tbl_tiempo[ANALISIS MARCAJE INICIAL],Tbl_tiempo[ID PERSONAL],Tbl_horario[[#This Row],[CODIGO]],Tbl_tiempo[FECHA],$U$2)</f>
        <v>0.33333333333333331</v>
      </c>
      <c r="V5" s="122">
        <f>SUMIFS(Tbl_tiempo[ANALISIS MARCAJE FINAL],Tbl_tiempo[ID PERSONAL],Tbl_horario[[#This Row],[CODIGO]],Tbl_tiempo[FECHA],$U$2)</f>
        <v>0.57638888888888895</v>
      </c>
      <c r="W5" s="122">
        <f>IFERROR(IF(Tbl_horario[[#This Row],[SALIDA 02]]-Tbl_horario[[#This Row],[ENTRADA 02]]&lt;0,"REVISAR HORAS",(SUMIFS(Tbl_tiempo[REPORTE X DIA],Tbl_tiempo[FECHA],CONSOLIDADO!$U$2,Tbl_tiempo[ID PERSONAL],Tbl_horario[[#This Row],[CODIGO]]))/(COUNTIFS(Tbl_tiempo[FECHA],CONSOLIDADO!$U$2,Tbl_tiempo[ID PERSONAL],Tbl_horario[[#This Row],[CODIGO]]))),0)</f>
        <v>0</v>
      </c>
      <c r="X5" s="122">
        <f ca="1">IFERROR(IF(Tbl_horario[[#This Row],[HORAS 02]]&gt;SUM(Tbl_horario[[#This Row],[EXTRAS DIURNAS 02]:[TIEMPO 02]]),Tbl_horario[[#This Row],[HORAS 02]]-SUM(Tbl_horario[[#This Row],[EXTRAS DIURNAS 02]:[TIEMPO 02]]),0),0)</f>
        <v>0</v>
      </c>
      <c r="Y5" s="122">
        <f ca="1">IFERROR(IF(Tbl_horario[[#This Row],[HORAS 02]]=0,Tbl_horario[[#This Row],[TIEMPO 02]],IF(Tbl_horario[[#This Row],[HORAS 02]]&lt;SUM(Tbl_horario[[#This Row],[EXTRAS VESPERTINAS 5-6 02]:[TIEMPO 02]]),IF(WEEKDAY($U$2,1)=7,(IF((Tbl_horario[[#This Row],[HORAS 02]]+VLOOKUP(Tbl_horario[[#This Row],[JORNADA]],Tabla_Jornada[],11,0))&lt;(SUM(Tbl_horario[[#This Row],[EXTRAS VESPERTINAS 5-6 02]:[TIEMPO 02]])),(SUM(Tbl_horario[[#This Row],[EXTRAS VESPERTINAS 5-6 02]:[TIEMPO 02]]))-(Tbl_horario[[#This Row],[HORAS 02]]+VLOOKUP(Tbl_horario[[#This Row],[JORNADA]],Tabla_Jornada[],11,0)),0)),SUM(Tbl_horario[[#This Row],[EXTRAS VESPERTINAS 5-6 02]:[TIEMPO 02]])-Tbl_horario[[#This Row],[HORAS 02]]),0)),0)</f>
        <v>0.33333333333333331</v>
      </c>
      <c r="Z5" s="122">
        <f>SUMIFS(Tbl_tiempo[EXTRAS DIURNAS],Tbl_tiempo[ID PERSONAL],Tbl_horario[[#This Row],[CODIGO]],Tbl_tiempo[FECHA],$U$2)</f>
        <v>0</v>
      </c>
      <c r="AA5" s="122">
        <f>SUMIFS(Tbl_tiempo[EXTRAS VESPERTINO - 6],Tbl_tiempo[ID PERSONAL],Tbl_horario[[#This Row],[CODIGO]],Tbl_tiempo[FECHA],$U$2)</f>
        <v>0</v>
      </c>
      <c r="AB5" s="122">
        <f>SUMIFS(Tbl_tiempo[EXTRAS NOCTURNO 6 -8],Tbl_tiempo[ID PERSONAL],Tbl_horario[[#This Row],[CODIGO]],Tbl_tiempo[FECHA],$U$2)</f>
        <v>0</v>
      </c>
      <c r="AC5" s="122">
        <f>SUMIFS(Tbl_tiempo[EXTRAS NOCTURNO 8 +],Tbl_tiempo[ID PERSONAL],Tbl_horario[[#This Row],[CODIGO]],Tbl_tiempo[FECHA],$U$2)</f>
        <v>0</v>
      </c>
      <c r="AD5" s="122">
        <f ca="1">IFERROR(IF(OR(Tbl_horario[[#This Row],[FERIADO 02]]="DIA FERIADO",Tbl_horario[[#This Row],[DIA 02]]="SEPTIMO DIA"),0,VLOOKUP(Tbl_horario[[#This Row],[JORNADA]],Tabla_Jornada[],(IF(WEEKDAY($U$2,1)=7,6,2)),0)),0)</f>
        <v>0.33333333333333331</v>
      </c>
      <c r="AE5" s="122" t="str">
        <f>IF(WEEKDAY($U$2)=1,"SEPTIMO DIA",IF(Tbl_horario[[#This Row],[HORAS 02]]&gt;0,"LABORADO","NO LABORADO"))</f>
        <v>NO LABORADO</v>
      </c>
      <c r="AF5" s="237" t="str">
        <f ca="1">IF(DATE(YEAR(TODAY()),MONTH(TODAY()),DAY(TODAY()))&gt;=$U$2,IF(AND(Tbl_horario[[#This Row],[FECHA DE INGRESO]]&lt;=$U$2,Tbl_horario[[#This Row],[FECHA DE BAJA]]&gt;=$U$2),IF((COUNTIF(Tabla_Feriados[FECHA],$U$2))=1,"DIA FERIADO","-"),"-"),"-")</f>
        <v>-</v>
      </c>
      <c r="AG5" s="122">
        <f>SUMIFS(Tbl_tiempo[ANALISIS MARCAJE INICIAL],Tbl_tiempo[ID PERSONAL],Tbl_horario[[#This Row],[CODIGO]],Tbl_tiempo[FECHA],$AG$2)</f>
        <v>0.34027777777777773</v>
      </c>
      <c r="AH5" s="122">
        <f>SUMIFS(Tbl_tiempo[ANALISIS MARCAJE FINAL],Tbl_tiempo[ID PERSONAL],Tbl_horario[[#This Row],[CODIGO]],Tbl_tiempo[FECHA],$AG$2)</f>
        <v>0.57986111111111105</v>
      </c>
      <c r="AI5" s="122">
        <f>IFERROR(IF(Tbl_horario[[#This Row],[SALIDA 03]]-Tbl_horario[[#This Row],[ENTRADA 03]]&lt;0,"REVISAR HORAS",(SUMIFS(Tbl_tiempo[REPORTE X DIA],Tbl_tiempo[FECHA],CONSOLIDADO!$AG$2,Tbl_tiempo[ID PERSONAL],Tbl_horario[[#This Row],[CODIGO]]))/(COUNTIFS(Tbl_tiempo[FECHA],CONSOLIDADO!$AG$2,Tbl_tiempo[ID PERSONAL],Tbl_horario[[#This Row],[CODIGO]]))),0)</f>
        <v>0</v>
      </c>
      <c r="AJ5" s="122">
        <f ca="1">IFERROR(IF(Tbl_horario[[#This Row],[HORAS 03]]&gt;SUM(Tbl_horario[[#This Row],[EXTRAS DIURNAS 03]:[TIEMPO 03]]),Tbl_horario[[#This Row],[HORAS 03]]-SUM(Tbl_horario[[#This Row],[EXTRAS DIURNAS 03]:[TIEMPO 03]]),0),0)</f>
        <v>0</v>
      </c>
      <c r="AK5" s="122">
        <f ca="1">IFERROR(IF(Tbl_horario[[#This Row],[HORAS 03]]=0,Tbl_horario[[#This Row],[TIEMPO 03]],IF(Tbl_horario[[#This Row],[HORAS 03]]&lt;SUM(Tbl_horario[[#This Row],[EXTRAS VESPERTINAS 5-6 03]:[TIEMPO 03]]),IF(WEEKDAY($AG$2,1)=7,(IF((Tbl_horario[[#This Row],[HORAS 03]]+VLOOKUP(Tbl_horario[[#This Row],[JORNADA]],Tabla_Jornada[],11,0))&lt;(SUM(Tbl_horario[[#This Row],[EXTRAS VESPERTINAS 5-6 03]:[TIEMPO 03]])),(SUM(Tbl_horario[[#This Row],[EXTRAS VESPERTINAS 5-6 03]:[TIEMPO 03]]))-(Tbl_horario[[#This Row],[HORAS 03]]+VLOOKUP(Tbl_horario[[#This Row],[JORNADA]],Tabla_Jornada[],11,0)),0)),SUM(Tbl_horario[[#This Row],[EXTRAS VESPERTINAS 5-6 03]:[TIEMPO 03]])-Tbl_horario[[#This Row],[HORAS 03]]),0)),0)</f>
        <v>0.22916666666666666</v>
      </c>
      <c r="AL5" s="122">
        <f>SUMIFS(Tbl_tiempo[EXTRAS DIURNAS],Tbl_tiempo[ID PERSONAL],Tbl_horario[[#This Row],[CODIGO]],Tbl_tiempo[FECHA],$AG$2)</f>
        <v>0</v>
      </c>
      <c r="AM5" s="122">
        <f>SUMIFS(Tbl_tiempo[EXTRAS VESPERTINO - 6],Tbl_tiempo[ID PERSONAL],Tbl_horario[[#This Row],[CODIGO]],Tbl_tiempo[FECHA],$AG$2)</f>
        <v>0</v>
      </c>
      <c r="AN5" s="122">
        <f>SUMIFS(Tbl_tiempo[EXTRAS NOCTURNO 6 -8],Tbl_tiempo[ID PERSONAL],Tbl_horario[[#This Row],[CODIGO]],Tbl_tiempo[FECHA],$AG$2)</f>
        <v>0</v>
      </c>
      <c r="AO5" s="122">
        <f>SUMIFS(Tbl_tiempo[EXTRAS NOCTURNO 8 +],Tbl_tiempo[ID PERSONAL],Tbl_horario[[#This Row],[CODIGO]],Tbl_tiempo[FECHA],$AG$2)</f>
        <v>0</v>
      </c>
      <c r="AP5" s="122">
        <f ca="1">IFERROR(IF(OR(Tbl_horario[[#This Row],[FERIADO 03]]="DIA FERIADO",Tbl_horario[[#This Row],[DIA 03]]="SEPTIMO DIA"),0,VLOOKUP(Tbl_horario[[#This Row],[JORNADA]],Tabla_Jornada[],(IF(WEEKDAY($AG$2,1)=7,6,2)),0)),0)</f>
        <v>0.22916666666666666</v>
      </c>
      <c r="AQ5" s="122" t="str">
        <f>IF(WEEKDAY($AG$2)=1,"SEPTIMO DIA",IF(Tbl_horario[[#This Row],[HORAS 03]]&gt;0,"LABORADO","NO LABORADO"))</f>
        <v>NO LABORADO</v>
      </c>
      <c r="AR5" s="237" t="str">
        <f ca="1">IF(DATE(YEAR(TODAY()),MONTH(TODAY()),DAY(TODAY()))&gt;=$AG$2,IF(AND(Tbl_horario[[#This Row],[FECHA DE INGRESO]]&lt;=$AG$2,Tbl_horario[[#This Row],[FECHA DE BAJA]]&gt;=$AG$2),IF((COUNTIF(Tabla_Feriados[FECHA],$AG$2))=1,"DIA FERIADO","-"),"-"),"-")</f>
        <v>-</v>
      </c>
      <c r="AS5" s="122">
        <f>SUMIFS(Tbl_tiempo[ANALISIS MARCAJE INICIAL],Tbl_tiempo[ID PERSONAL],Tbl_horario[[#This Row],[CODIGO]],Tbl_tiempo[FECHA],$AS$2)</f>
        <v>0.34375</v>
      </c>
      <c r="AT5" s="122">
        <f>SUMIFS(Tbl_tiempo[ANALISIS MARCAJE FINAL],Tbl_tiempo[ID PERSONAL],Tbl_horario[[#This Row],[CODIGO]],Tbl_tiempo[FECHA],$AS$2)</f>
        <v>0.58333333333333337</v>
      </c>
      <c r="AU5" s="122">
        <f>IFERROR(IF(Tbl_horario[[#This Row],[SALIDA 04]]-Tbl_horario[[#This Row],[ENTRADA 04]]&lt;0,"REVISAR HORAS",(SUMIFS(Tbl_tiempo[REPORTE X DIA],Tbl_tiempo[FECHA],CONSOLIDADO!$AS$2,Tbl_tiempo[ID PERSONAL],Tbl_horario[[#This Row],[CODIGO]]))/(COUNTIFS(Tbl_tiempo[FECHA],CONSOLIDADO!$AS$2,Tbl_tiempo[ID PERSONAL],Tbl_horario[[#This Row],[CODIGO]]))),0)</f>
        <v>0</v>
      </c>
      <c r="AV5" s="122">
        <f ca="1">IFERROR(IF(Tbl_horario[[#This Row],[HORAS 04]]&gt;SUM(Tbl_horario[[#This Row],[EXTRAS DIURNAS 04]:[TIEMPO 04]]),Tbl_horario[[#This Row],[HORAS 04]]-SUM(Tbl_horario[[#This Row],[EXTRAS DIURNAS 04]:[TIEMPO 04]]),0),0)</f>
        <v>0</v>
      </c>
      <c r="AW5" s="122">
        <f ca="1">IFERROR(IF(Tbl_horario[[#This Row],[HORAS 04]]=0,Tbl_horario[[#This Row],[TIEMPO 04]],IF(Tbl_horario[[#This Row],[HORAS 04]]&lt;SUM(Tbl_horario[[#This Row],[EXTRAS VESPERTINAS 5-6 04]:[TIEMPO 04]]),IF(WEEKDAY($AS$2,1)=7,(IF((Tbl_horario[[#This Row],[HORAS 04]]+VLOOKUP(Tbl_horario[[#This Row],[JORNADA]],Tabla_Jornada[],11,0))&lt;(SUM(Tbl_horario[[#This Row],[EXTRAS VESPERTINAS 5-6 04]:[TIEMPO 04]])),(SUM(Tbl_horario[[#This Row],[EXTRAS VESPERTINAS 5-6 04]:[TIEMPO 04]]))-(Tbl_horario[[#This Row],[HORAS 04]]+VLOOKUP(Tbl_horario[[#This Row],[JORNADA]],Tabla_Jornada[],11,0)),0)),SUM(Tbl_horario[[#This Row],[EXTRAS VESPERTINAS 5-6 04]:[TIEMPO 04]])-Tbl_horario[[#This Row],[HORAS 04]]),0)),0)</f>
        <v>0</v>
      </c>
      <c r="AX5" s="122">
        <f>SUMIFS(Tbl_tiempo[EXTRAS DIURNAS],Tbl_tiempo[ID PERSONAL],Tbl_horario[[#This Row],[CODIGO]],Tbl_tiempo[FECHA],$AS$2)</f>
        <v>0</v>
      </c>
      <c r="AY5" s="122">
        <f>SUMIFS(Tbl_tiempo[EXTRAS VESPERTINO - 6],Tbl_tiempo[ID PERSONAL],Tbl_horario[[#This Row],[CODIGO]],Tbl_tiempo[FECHA],$AS$2)</f>
        <v>0</v>
      </c>
      <c r="AZ5" s="122">
        <f>SUMIFS(Tbl_tiempo[EXTRAS NOCTURNO 6 -8],Tbl_tiempo[ID PERSONAL],Tbl_horario[[#This Row],[CODIGO]],Tbl_tiempo[FECHA],$AS$2)</f>
        <v>0</v>
      </c>
      <c r="BA5" s="122">
        <f>SUMIFS(Tbl_tiempo[EXTRAS NOCTURNO 8 +],Tbl_tiempo[ID PERSONAL],Tbl_horario[[#This Row],[CODIGO]],Tbl_tiempo[FECHA],$AS$2)</f>
        <v>0</v>
      </c>
      <c r="BB5" s="122">
        <f ca="1">IFERROR(IF(OR(Tbl_horario[[#This Row],[FERIADO 04]]="DIA FERIADO",Tbl_horario[[#This Row],[DIA 04]]="SEPTIMO DIA"),0,VLOOKUP(Tbl_horario[[#This Row],[JORNADA]],Tabla_Jornada[],(IF(WEEKDAY($AS$2,1)=7,6,2)),0)),0)</f>
        <v>0</v>
      </c>
      <c r="BC5" s="122" t="str">
        <f>IF(WEEKDAY($AS$2)=1,"SEPTIMO DIA",IF(Tbl_horario[[#This Row],[HORAS 04]]&gt;0,"LABORADO","NO LABORADO"))</f>
        <v>SEPTIMO DIA</v>
      </c>
      <c r="BD5" s="237" t="str">
        <f ca="1">IF(DATE(YEAR(TODAY()),MONTH(TODAY()),DAY(TODAY()))&gt;=$AS$2,IF(AND(Tbl_horario[[#This Row],[FECHA DE INGRESO]]&lt;=$AS$2,Tbl_horario[[#This Row],[FECHA DE BAJA]]&gt;=$AS$2),IF((COUNTIF(Tabla_Feriados[FECHA],$AS$2))=1,"DIA FERIADO","-"),"-"),"-")</f>
        <v>-</v>
      </c>
      <c r="BE5" s="122">
        <f>SUMIFS(Tbl_tiempo[ANALISIS MARCAJE INICIAL],Tbl_tiempo[ID PERSONAL],Tbl_horario[[#This Row],[CODIGO]],Tbl_tiempo[FECHA],$BE$2)</f>
        <v>0.34722222222222227</v>
      </c>
      <c r="BF5" s="122">
        <f>SUMIFS(Tbl_tiempo[ANALISIS MARCAJE FINAL],Tbl_tiempo[ID PERSONAL],Tbl_horario[[#This Row],[CODIGO]],Tbl_tiempo[FECHA],$BE$2)</f>
        <v>0.58680555555555558</v>
      </c>
      <c r="BG5" s="122">
        <f>IFERROR(IF(Tbl_horario[[#This Row],[SALIDA 05]]-Tbl_horario[[#This Row],[ENTRADA 05]]&lt;0,"REVISAR HORAS",(SUMIFS(Tbl_tiempo[REPORTE X DIA],Tbl_tiempo[FECHA],CONSOLIDADO!$BE$2,Tbl_tiempo[ID PERSONAL],Tbl_horario[[#This Row],[CODIGO]]))/(COUNTIFS(Tbl_tiempo[FECHA],CONSOLIDADO!$BE$2,Tbl_tiempo[ID PERSONAL],Tbl_horario[[#This Row],[CODIGO]]))),0)</f>
        <v>0</v>
      </c>
      <c r="BH5" s="122">
        <f ca="1">IFERROR(IF(Tbl_horario[[#This Row],[HORAS 05]]&gt;SUM(Tbl_horario[[#This Row],[EXTRAS DIURNAS 05]:[TIEMPO 05]]),Tbl_horario[[#This Row],[HORAS 05]]-SUM(Tbl_horario[[#This Row],[EXTRAS DIURNAS 05]:[TIEMPO 05]]),0),0)</f>
        <v>0</v>
      </c>
      <c r="BI5" s="122">
        <f ca="1">IFERROR(IF(Tbl_horario[[#This Row],[HORAS 05]]=0,Tbl_horario[[#This Row],[TIEMPO 05]],IF(Tbl_horario[[#This Row],[HORAS 05]]&lt;SUM(Tbl_horario[[#This Row],[EXTRAS VESPERTINAS 5-6 05]:[TIEMPO 05]]),IF(WEEKDAY($BE$2,1)=7,(IF((Tbl_horario[[#This Row],[HORAS 05]]+VLOOKUP(Tbl_horario[[#This Row],[JORNADA]],Tabla_Jornada[],11,0))&lt;(SUM(Tbl_horario[[#This Row],[EXTRAS VESPERTINAS 5-6 05]:[TIEMPO 05]])),(SUM(Tbl_horario[[#This Row],[EXTRAS VESPERTINAS 5-6 05]:[TIEMPO 05]]))-(Tbl_horario[[#This Row],[HORAS 05]]+VLOOKUP(Tbl_horario[[#This Row],[JORNADA]],Tabla_Jornada[],11,0)),0)),SUM(Tbl_horario[[#This Row],[EXTRAS VESPERTINAS 5-6 05]:[TIEMPO 05]])-Tbl_horario[[#This Row],[HORAS 05]]),0)),0)</f>
        <v>0.33333333333333331</v>
      </c>
      <c r="BJ5" s="122">
        <f>SUMIFS(Tbl_tiempo[EXTRAS DIURNAS],Tbl_tiempo[ID PERSONAL],Tbl_horario[[#This Row],[CODIGO]],Tbl_tiempo[FECHA],$BE$2)</f>
        <v>0</v>
      </c>
      <c r="BK5" s="122">
        <f>SUMIFS(Tbl_tiempo[EXTRAS VESPERTINO - 6],Tbl_tiempo[ID PERSONAL],Tbl_horario[[#This Row],[CODIGO]],Tbl_tiempo[FECHA],$BE$2)</f>
        <v>0</v>
      </c>
      <c r="BL5" s="122">
        <f>SUMIFS(Tbl_tiempo[EXTRAS NOCTURNO 6 -8],Tbl_tiempo[ID PERSONAL],Tbl_horario[[#This Row],[CODIGO]],Tbl_tiempo[FECHA],$BE$2)</f>
        <v>0</v>
      </c>
      <c r="BM5" s="122">
        <f>SUMIFS(Tbl_tiempo[EXTRAS NOCTURNO 8 +],Tbl_tiempo[ID PERSONAL],Tbl_horario[[#This Row],[CODIGO]],Tbl_tiempo[FECHA],$BE$2)</f>
        <v>0</v>
      </c>
      <c r="BN5" s="122">
        <f ca="1">IFERROR(IF(OR(Tbl_horario[[#This Row],[FERIADO 05]]="DIA FERIADO",Tbl_horario[[#This Row],[DIA 05]]="SEPTIMO DIA"),0,VLOOKUP(Tbl_horario[[#This Row],[JORNADA]],Tabla_Jornada[],(IF(WEEKDAY($BE$2,1)=7,6,2)),0)),0)</f>
        <v>0.33333333333333331</v>
      </c>
      <c r="BO5" s="122" t="str">
        <f>IF(WEEKDAY($BE$2)=1,"SEPTIMO DIA",IF(Tbl_horario[[#This Row],[HORAS 05]]&gt;0,"LABORADO","NO LABORADO"))</f>
        <v>NO LABORADO</v>
      </c>
      <c r="BP5" s="237" t="str">
        <f ca="1">IF(DATE(YEAR(TODAY()),MONTH(TODAY()),DAY(TODAY()))&gt;=$BE$2,IF(AND(Tbl_horario[[#This Row],[FECHA DE INGRESO]]&lt;=$BE$2,Tbl_horario[[#This Row],[FECHA DE BAJA]]&gt;=$BE$2),IF((COUNTIF(Tabla_Feriados[FECHA],$BE$2))=1,"DIA FERIADO","-"),"-"),"-")</f>
        <v>-</v>
      </c>
      <c r="BQ5" s="122">
        <f>SUMIFS(Tbl_tiempo[ANALISIS MARCAJE INICIAL],Tbl_tiempo[ID PERSONAL],Tbl_horario[[#This Row],[CODIGO]],Tbl_tiempo[FECHA],$BQ$2)</f>
        <v>0.35069444444444442</v>
      </c>
      <c r="BR5" s="122">
        <f>SUMIFS(Tbl_tiempo[ANALISIS MARCAJE FINAL],Tbl_tiempo[ID PERSONAL],Tbl_horario[[#This Row],[CODIGO]],Tbl_tiempo[FECHA],$BQ$2)</f>
        <v>0.59027777777777779</v>
      </c>
      <c r="BS5" s="122">
        <f>IFERROR(IF(Tbl_horario[[#This Row],[SALIDA 06]]-Tbl_horario[[#This Row],[ENTRADA 06]]&lt;0,"REVISAR HORAS",(SUMIFS(Tbl_tiempo[REPORTE X DIA],Tbl_tiempo[FECHA],CONSOLIDADO!$BQ$2,Tbl_tiempo[ID PERSONAL],Tbl_horario[[#This Row],[CODIGO]]))/(COUNTIFS(Tbl_tiempo[FECHA],CONSOLIDADO!$BQ$2,Tbl_tiempo[ID PERSONAL],Tbl_horario[[#This Row],[CODIGO]]))),0)</f>
        <v>0</v>
      </c>
      <c r="BT5" s="122">
        <f ca="1">IFERROR(IF(Tbl_horario[[#This Row],[HORAS 06]]&gt;SUM(Tbl_horario[[#This Row],[EXTRAS DIURNAS 06]:[TIEMPO 06]]),Tbl_horario[[#This Row],[HORAS 06]]-SUM(Tbl_horario[[#This Row],[EXTRAS DIURNAS 06]:[TIEMPO 06]]),0),0)</f>
        <v>0</v>
      </c>
      <c r="BU5" s="122">
        <f ca="1">IFERROR(IF(Tbl_horario[[#This Row],[HORAS 06]]=0,Tbl_horario[[#This Row],[TIEMPO 06]],IF(Tbl_horario[[#This Row],[HORAS 06]]&lt;SUM(Tbl_horario[[#This Row],[EXTRAS VESPERTINAS 5-6 06]:[TIEMPO 06]]),IF(WEEKDAY($BQ$2,1)=7,(IF((Tbl_horario[[#This Row],[HORAS 06]]+VLOOKUP(Tbl_horario[[#This Row],[JORNADA]],Tabla_Jornada[],11,0))&lt;(SUM(Tbl_horario[[#This Row],[EXTRAS VESPERTINAS 5-6 06]:[TIEMPO 06]])),(SUM(Tbl_horario[[#This Row],[EXTRAS VESPERTINAS 5-6 06]:[TIEMPO 06]]))-(Tbl_horario[[#This Row],[HORAS 06]]+VLOOKUP(Tbl_horario[[#This Row],[JORNADA]],Tabla_Jornada[],11,0)),0)),SUM(Tbl_horario[[#This Row],[EXTRAS VESPERTINAS 5-6 06]:[TIEMPO 06]])-Tbl_horario[[#This Row],[HORAS 06]]),0)),0)</f>
        <v>0.33333333333333331</v>
      </c>
      <c r="BV5" s="122">
        <f>SUMIFS(Tbl_tiempo[EXTRAS DIURNAS],Tbl_tiempo[ID PERSONAL],Tbl_horario[[#This Row],[CODIGO]],Tbl_tiempo[FECHA],$BQ$2)</f>
        <v>0</v>
      </c>
      <c r="BW5" s="122">
        <f>SUMIFS(Tbl_tiempo[EXTRAS VESPERTINO - 6],Tbl_tiempo[ID PERSONAL],Tbl_horario[[#This Row],[CODIGO]],Tbl_tiempo[FECHA],$BQ$2)</f>
        <v>0</v>
      </c>
      <c r="BX5" s="122">
        <f>SUMIFS(Tbl_tiempo[EXTRAS NOCTURNO 6 -8],Tbl_tiempo[ID PERSONAL],Tbl_horario[[#This Row],[CODIGO]],Tbl_tiempo[FECHA],$BQ$2)</f>
        <v>0</v>
      </c>
      <c r="BY5" s="122">
        <f>SUMIFS(Tbl_tiempo[EXTRAS NOCTURNO 8 +],Tbl_tiempo[ID PERSONAL],Tbl_horario[[#This Row],[CODIGO]],Tbl_tiempo[FECHA],$BQ$2)</f>
        <v>0</v>
      </c>
      <c r="BZ5" s="122">
        <f ca="1">IFERROR(IF(OR(Tbl_horario[[#This Row],[FERIADO 06]]="DIA FERIADO",Tbl_horario[[#This Row],[DIA 06]]="SEPTIMO DIA"),0,VLOOKUP(Tbl_horario[[#This Row],[JORNADA]],Tabla_Jornada[],(IF(WEEKDAY($BQ$2,1)=7,6,2)),0)),0)</f>
        <v>0.33333333333333331</v>
      </c>
      <c r="CA5" s="122" t="str">
        <f>IF(WEEKDAY($BQ$2)=1,"SEPTIMO DIA",IF(Tbl_horario[[#This Row],[HORAS 06]]&gt;0,"LABORADO","NO LABORADO"))</f>
        <v>NO LABORADO</v>
      </c>
      <c r="CB5" s="237" t="str">
        <f ca="1">IF(DATE(YEAR(TODAY()),MONTH(TODAY()),DAY(TODAY()))&gt;=$BQ$2,IF(AND(Tbl_horario[[#This Row],[FECHA DE INGRESO]]&lt;=$BQ$2,Tbl_horario[[#This Row],[FECHA DE BAJA]]&gt;=$BQ$2),IF((COUNTIF(Tabla_Feriados[FECHA],$BQ$2))=1,"DIA FERIADO","-"),"-"),"-")</f>
        <v>-</v>
      </c>
      <c r="CC5" s="122">
        <f>SUMIFS(Tbl_tiempo[ANALISIS MARCAJE INICIAL],Tbl_tiempo[ID PERSONAL],Tbl_horario[[#This Row],[CODIGO]],Tbl_tiempo[FECHA],$CC$2)</f>
        <v>0.35416666666666669</v>
      </c>
      <c r="CD5" s="122">
        <f>SUMIFS(Tbl_tiempo[ANALISIS MARCAJE FINAL],Tbl_tiempo[ID PERSONAL],Tbl_horario[[#This Row],[CODIGO]],Tbl_tiempo[FECHA],$CC$2)</f>
        <v>0.59375</v>
      </c>
      <c r="CE5" s="122">
        <f>IFERROR(IF(Tbl_horario[[#This Row],[SALIDA 07]]-Tbl_horario[[#This Row],[ENTRADA 07]]&lt;0,"REVISAR HORAS",(SUMIFS(Tbl_tiempo[REPORTE X DIA],Tbl_tiempo[FECHA],CONSOLIDADO!$CC$2,Tbl_tiempo[ID PERSONAL],Tbl_horario[[#This Row],[CODIGO]]))/(COUNTIFS(Tbl_tiempo[FECHA],CONSOLIDADO!$CC$2,Tbl_tiempo[ID PERSONAL],Tbl_horario[[#This Row],[CODIGO]]))),0)</f>
        <v>0</v>
      </c>
      <c r="CF5" s="122">
        <f ca="1">IFERROR(IF(Tbl_horario[[#This Row],[HORAS 07]]&gt;SUM(Tbl_horario[[#This Row],[EXTRAS DIURNAS 07]:[TIEMPO 07]]),Tbl_horario[[#This Row],[HORAS 07]]-SUM(Tbl_horario[[#This Row],[EXTRAS DIURNAS 07]:[TIEMPO 07]]),0),0)</f>
        <v>0</v>
      </c>
      <c r="CG5" s="122">
        <f ca="1">IFERROR(IF(Tbl_horario[[#This Row],[HORAS 07]]=0,Tbl_horario[[#This Row],[TIEMPO 07]],IF(Tbl_horario[[#This Row],[HORAS 07]]&lt;SUM(Tbl_horario[[#This Row],[EXTRAS VESPERTINAS 5-6 07]:[TIEMPO 07]]),IF(WEEKDAY($CC$2,1)=7,(IF((Tbl_horario[[#This Row],[HORAS 07]]+VLOOKUP(Tbl_horario[[#This Row],[JORNADA]],Tabla_Jornada[],11,0))&lt;(SUM(Tbl_horario[[#This Row],[EXTRAS VESPERTINAS 5-6 07]:[TIEMPO 07]])),(SUM(Tbl_horario[[#This Row],[EXTRAS VESPERTINAS 5-6 07]:[TIEMPO 07]]))-(Tbl_horario[[#This Row],[HORAS 07]]+VLOOKUP(Tbl_horario[[#This Row],[JORNADA]],Tabla_Jornada[],11,0)),0)),SUM(Tbl_horario[[#This Row],[EXTRAS VESPERTINAS 5-6 07]:[TIEMPO 07]])-Tbl_horario[[#This Row],[HORAS 07]]),0)),0)</f>
        <v>0.33333333333333331</v>
      </c>
      <c r="CH5" s="122">
        <f>SUMIFS(Tbl_tiempo[EXTRAS DIURNAS],Tbl_tiempo[ID PERSONAL],Tbl_horario[[#This Row],[CODIGO]],Tbl_tiempo[FECHA],$CC$2)</f>
        <v>0</v>
      </c>
      <c r="CI5" s="122">
        <f>SUMIFS(Tbl_tiempo[EXTRAS VESPERTINO - 6],Tbl_tiempo[ID PERSONAL],Tbl_horario[[#This Row],[CODIGO]],Tbl_tiempo[FECHA],$CC$2)</f>
        <v>0</v>
      </c>
      <c r="CJ5" s="122">
        <f>SUMIFS(Tbl_tiempo[EXTRAS NOCTURNO 6 -8],Tbl_tiempo[ID PERSONAL],Tbl_horario[[#This Row],[CODIGO]],Tbl_tiempo[FECHA],$CC$2)</f>
        <v>0</v>
      </c>
      <c r="CK5" s="122">
        <f>SUMIFS(Tbl_tiempo[EXTRAS NOCTURNO 8 +],Tbl_tiempo[ID PERSONAL],Tbl_horario[[#This Row],[CODIGO]],Tbl_tiempo[FECHA],$CC$2)</f>
        <v>0</v>
      </c>
      <c r="CL5" s="122">
        <f ca="1">IFERROR(IF(OR(Tbl_horario[[#This Row],[FERIADO 07]]="DIA FERIADO",Tbl_horario[[#This Row],[DIA 07]]="SEPTIMO DIA"),0,VLOOKUP(Tbl_horario[[#This Row],[JORNADA]],Tabla_Jornada[],(IF(WEEKDAY($CC$2,1)=7,6,2)),0)),0)</f>
        <v>0.33333333333333331</v>
      </c>
      <c r="CM5" s="122" t="str">
        <f>IF(WEEKDAY($CC$2)=1,"SEPTIMO DIA",IF(Tbl_horario[[#This Row],[HORAS 07]]&gt;0,"LABORADO","NO LABORADO"))</f>
        <v>NO LABORADO</v>
      </c>
      <c r="CN5" s="237" t="str">
        <f ca="1">IF(DATE(YEAR(TODAY()),MONTH(TODAY()),DAY(TODAY()))&gt;=$CC$2,IF(AND(Tbl_horario[[#This Row],[FECHA DE INGRESO]]&lt;=$CC$2,Tbl_horario[[#This Row],[FECHA DE BAJA]]&gt;=$CC$2),IF((COUNTIF(Tabla_Feriados[FECHA],$CC$2))=1,"DIA FERIADO","-"),"-"),"-")</f>
        <v>-</v>
      </c>
      <c r="CO5" s="122">
        <f>SUMIFS(Tbl_tiempo[ANALISIS MARCAJE INICIAL],Tbl_tiempo[ID PERSONAL],Tbl_horario[[#This Row],[CODIGO]],Tbl_tiempo[FECHA],$CO$2)</f>
        <v>0.3576388888888889</v>
      </c>
      <c r="CP5" s="122">
        <f>SUMIFS(Tbl_tiempo[ANALISIS MARCAJE FINAL],Tbl_tiempo[ID PERSONAL],Tbl_horario[[#This Row],[CODIGO]],Tbl_tiempo[FECHA],$CO$2)</f>
        <v>0.59722222222222221</v>
      </c>
      <c r="CQ5" s="122">
        <f>IFERROR(IF(Tbl_horario[[#This Row],[SALIDA 08]]-Tbl_horario[[#This Row],[ENTRADA 08]]&lt;0,"REVISAR HORAS",(SUMIFS(Tbl_tiempo[REPORTE X DIA],Tbl_tiempo[FECHA],CONSOLIDADO!$CO$2,Tbl_tiempo[ID PERSONAL],Tbl_horario[[#This Row],[CODIGO]]))/(COUNTIFS(Tbl_tiempo[FECHA],CONSOLIDADO!$CO$2,Tbl_tiempo[ID PERSONAL],Tbl_horario[[#This Row],[CODIGO]]))),0)</f>
        <v>0</v>
      </c>
      <c r="CR5" s="122">
        <f ca="1">IFERROR(IF(Tbl_horario[[#This Row],[HORAS 08]]&gt;SUM(Tbl_horario[[#This Row],[EXTRAS DIURNAS 08]:[TIEMPO 08]]),Tbl_horario[[#This Row],[HORAS 08]]-SUM(Tbl_horario[[#This Row],[EXTRAS DIURNAS 08]:[TIEMPO 08]]),0),0)</f>
        <v>0</v>
      </c>
      <c r="CS5" s="122">
        <f ca="1">IFERROR(IF(Tbl_horario[[#This Row],[HORAS 08]]=0,Tbl_horario[[#This Row],[TIEMPO 08]],IF(Tbl_horario[[#This Row],[HORAS 08]]&lt;SUM(Tbl_horario[[#This Row],[EXTRAS VESPERTINAS 5-6 08]:[TIEMPO 08]]),IF(WEEKDAY($CO$2,1)=7,(IF((Tbl_horario[[#This Row],[HORAS 08]]+VLOOKUP(Tbl_horario[[#This Row],[JORNADA]],Tabla_Jornada[],11,0))&lt;(SUM(Tbl_horario[[#This Row],[EXTRAS VESPERTINAS 5-6 08]:[TIEMPO 08]])),(SUM(Tbl_horario[[#This Row],[EXTRAS VESPERTINAS 5-6 08]:[TIEMPO 08]]))-(Tbl_horario[[#This Row],[HORAS 08]]+VLOOKUP(Tbl_horario[[#This Row],[JORNADA]],Tabla_Jornada[],11,0)),0)),SUM(Tbl_horario[[#This Row],[EXTRAS VESPERTINAS 5-6 08]:[TIEMPO 08]])-Tbl_horario[[#This Row],[HORAS 08]]),0)),0)</f>
        <v>0.33333333333333331</v>
      </c>
      <c r="CT5" s="122">
        <f>SUMIFS(Tbl_tiempo[EXTRAS DIURNAS],Tbl_tiempo[ID PERSONAL],Tbl_horario[[#This Row],[CODIGO]],Tbl_tiempo[FECHA],$CO$2)</f>
        <v>0</v>
      </c>
      <c r="CU5" s="122">
        <f>SUMIFS(Tbl_tiempo[EXTRAS VESPERTINO - 6],Tbl_tiempo[ID PERSONAL],Tbl_horario[[#This Row],[CODIGO]],Tbl_tiempo[FECHA],$CO$2)</f>
        <v>0</v>
      </c>
      <c r="CV5" s="122">
        <f>SUMIFS(Tbl_tiempo[EXTRAS NOCTURNO 6 -8],Tbl_tiempo[ID PERSONAL],Tbl_horario[[#This Row],[CODIGO]],Tbl_tiempo[FECHA],$CO$2)</f>
        <v>0</v>
      </c>
      <c r="CW5" s="122">
        <f>SUMIFS(Tbl_tiempo[EXTRAS NOCTURNO 8 +],Tbl_tiempo[ID PERSONAL],Tbl_horario[[#This Row],[CODIGO]],Tbl_tiempo[FECHA],$CO$2)</f>
        <v>0</v>
      </c>
      <c r="CX5" s="122">
        <f ca="1">IFERROR(IF(OR(Tbl_horario[[#This Row],[FERIADO 08]]="DIA FERIADO",Tbl_horario[[#This Row],[DIA 08]]="SEPTIMO DIA"),0,VLOOKUP(Tbl_horario[[#This Row],[JORNADA]],Tabla_Jornada[],(IF(WEEKDAY($CO$2,1)=7,6,2)),0)),0)</f>
        <v>0.33333333333333331</v>
      </c>
      <c r="CY5" s="122" t="str">
        <f>IF(WEEKDAY($CO$2)=1,"SEPTIMO DIA",IF(Tbl_horario[[#This Row],[HORAS 08]]&gt;0,"LABORADO","NO LABORADO"))</f>
        <v>NO LABORADO</v>
      </c>
      <c r="CZ5" s="237" t="str">
        <f ca="1">IF(DATE(YEAR(TODAY()),MONTH(TODAY()),DAY(TODAY()))&gt;=$CO$2,IF(AND(Tbl_horario[[#This Row],[FECHA DE INGRESO]]&lt;=$CO$2,Tbl_horario[[#This Row],[FECHA DE BAJA]]&gt;=$CO$2),IF((COUNTIF(Tabla_Feriados[FECHA],$CO$2))=1,"DIA FERIADO","-"),"-"),"-")</f>
        <v>-</v>
      </c>
      <c r="DA5" s="122">
        <f>SUMIFS(Tbl_tiempo[ANALISIS MARCAJE INICIAL],Tbl_tiempo[ID PERSONAL],Tbl_horario[[#This Row],[CODIGO]],Tbl_tiempo[FECHA],$DA$2)</f>
        <v>0.3611111111111111</v>
      </c>
      <c r="DB5" s="122">
        <f>SUMIFS(Tbl_tiempo[ANALISIS MARCAJE FINAL],Tbl_tiempo[ID PERSONAL],Tbl_horario[[#This Row],[CODIGO]],Tbl_tiempo[FECHA],$DA$2)</f>
        <v>0.60069444444444442</v>
      </c>
      <c r="DC5" s="122">
        <f>IFERROR(IF(Tbl_horario[[#This Row],[SALIDA 09]]-Tbl_horario[[#This Row],[ENTRADA 09]]&lt;0,"REVISAR HORAS",(SUMIFS(Tbl_tiempo[REPORTE X DIA],Tbl_tiempo[FECHA],CONSOLIDADO!$DA$2,Tbl_tiempo[ID PERSONAL],Tbl_horario[[#This Row],[CODIGO]]))/(COUNTIFS(Tbl_tiempo[FECHA],CONSOLIDADO!$DA$2,Tbl_tiempo[ID PERSONAL],Tbl_horario[[#This Row],[CODIGO]]))),0)</f>
        <v>0</v>
      </c>
      <c r="DD5" s="122">
        <f ca="1">IFERROR(IF(Tbl_horario[[#This Row],[HORAS 09]]&gt;SUM(Tbl_horario[[#This Row],[EXTRAS DIURNAS 09]:[TIEMPO 09]]),Tbl_horario[[#This Row],[HORAS 09]]-SUM(Tbl_horario[[#This Row],[EXTRAS DIURNAS 09]:[TIEMPO 09]]),0),0)</f>
        <v>0</v>
      </c>
      <c r="DE5" s="122">
        <f ca="1">IFERROR(IF(Tbl_horario[[#This Row],[HORAS 09]]=0,Tbl_horario[[#This Row],[TIEMPO 09]],IF(Tbl_horario[[#This Row],[HORAS 09]]&lt;SUM(Tbl_horario[[#This Row],[EXTRAS VESPERTINAS 5-6 09]:[TIEMPO 09]]),IF(WEEKDAY($DA$2,1)=7,(IF((Tbl_horario[[#This Row],[HORAS 09]]+VLOOKUP(Tbl_horario[[#This Row],[JORNADA]],Tabla_Jornada[],11,0))&lt;(SUM(Tbl_horario[[#This Row],[EXTRAS VESPERTINAS 5-6 09]:[TIEMPO 09]])),(SUM(Tbl_horario[[#This Row],[EXTRAS VESPERTINAS 5-6 09]:[TIEMPO 09]]))-(Tbl_horario[[#This Row],[HORAS 09]]+VLOOKUP(Tbl_horario[[#This Row],[JORNADA]],Tabla_Jornada[],11,0)),0)),SUM(Tbl_horario[[#This Row],[EXTRAS VESPERTINAS 5-6 09]:[TIEMPO 09]])-Tbl_horario[[#This Row],[HORAS 09]]),0)),0)</f>
        <v>0.33333333333333331</v>
      </c>
      <c r="DF5" s="122">
        <f>SUMIFS(Tbl_tiempo[EXTRAS DIURNAS],Tbl_tiempo[ID PERSONAL],Tbl_horario[[#This Row],[CODIGO]],Tbl_tiempo[FECHA],$DA$2)</f>
        <v>0</v>
      </c>
      <c r="DG5" s="122">
        <f>SUMIFS(Tbl_tiempo[EXTRAS VESPERTINO - 6],Tbl_tiempo[ID PERSONAL],Tbl_horario[[#This Row],[CODIGO]],Tbl_tiempo[FECHA],$DA$2)</f>
        <v>0</v>
      </c>
      <c r="DH5" s="122">
        <f>SUMIFS(Tbl_tiempo[EXTRAS NOCTURNO 6 -8],Tbl_tiempo[ID PERSONAL],Tbl_horario[[#This Row],[CODIGO]],Tbl_tiempo[FECHA],$DA$2)</f>
        <v>0</v>
      </c>
      <c r="DI5" s="122">
        <f>SUMIFS(Tbl_tiempo[EXTRAS NOCTURNO 8 +],Tbl_tiempo[ID PERSONAL],Tbl_horario[[#This Row],[CODIGO]],Tbl_tiempo[FECHA],$DA$2)</f>
        <v>0</v>
      </c>
      <c r="DJ5" s="122">
        <f ca="1">IFERROR(IF(OR(Tbl_horario[[#This Row],[FERIADO 09]]="DIA FERIADO",Tbl_horario[[#This Row],[DIA 09]]="SEPTIMO DIA"),0,VLOOKUP(Tbl_horario[[#This Row],[JORNADA]],Tabla_Jornada[],(IF(WEEKDAY($DA$2,1)=7,6,2)),0)),0)</f>
        <v>0.33333333333333331</v>
      </c>
      <c r="DK5" s="122" t="str">
        <f>IF(WEEKDAY($DA$2)=1,"SEPTIMO DIA",IF(Tbl_horario[[#This Row],[HORAS 09]]&gt;0,"LABORADO","NO LABORADO"))</f>
        <v>NO LABORADO</v>
      </c>
      <c r="DL5" s="237" t="str">
        <f ca="1">IF(DATE(YEAR(TODAY()),MONTH(TODAY()),DAY(TODAY()))&gt;=$DA$2,IF(AND(Tbl_horario[[#This Row],[FECHA DE INGRESO]]&lt;=$DA$2,Tbl_horario[[#This Row],[FECHA DE BAJA]]&gt;=$DA$2),IF((COUNTIF(Tabla_Feriados[FECHA],$DA$2))=1,"DIA FERIADO","-"),"-"),"-")</f>
        <v>-</v>
      </c>
      <c r="DM5" s="122">
        <f>SUMIFS(Tbl_tiempo[ANALISIS MARCAJE INICIAL],Tbl_tiempo[ID PERSONAL],Tbl_horario[[#This Row],[CODIGO]],Tbl_tiempo[FECHA],$DM$2)</f>
        <v>0.36458333333333331</v>
      </c>
      <c r="DN5" s="122">
        <f>SUMIFS(Tbl_tiempo[ANALISIS MARCAJE FINAL],Tbl_tiempo[ID PERSONAL],Tbl_horario[[#This Row],[CODIGO]],Tbl_tiempo[FECHA],$DM$2)</f>
        <v>0.60416666666666663</v>
      </c>
      <c r="DO5" s="122">
        <f>IFERROR(IF(Tbl_horario[[#This Row],[SALIDA 10]]-Tbl_horario[[#This Row],[ENTRADA 10]]&lt;0,"REVISAR HORAS",(SUMIFS(Tbl_tiempo[REPORTE X DIA],Tbl_tiempo[FECHA],CONSOLIDADO!$DM$2,Tbl_tiempo[ID PERSONAL],Tbl_horario[[#This Row],[CODIGO]]))/(COUNTIFS(Tbl_tiempo[FECHA],CONSOLIDADO!$DM$2,Tbl_tiempo[ID PERSONAL],Tbl_horario[[#This Row],[CODIGO]]))),0)</f>
        <v>0</v>
      </c>
      <c r="DP5" s="122">
        <f ca="1">IFERROR(IF(Tbl_horario[[#This Row],[HORAS 10]]&gt;SUM(Tbl_horario[[#This Row],[EXTRAS DIURNAS 10]:[TIEMPO 10]]),Tbl_horario[[#This Row],[HORAS 10]]-SUM(Tbl_horario[[#This Row],[EXTRAS DIURNAS 10]:[TIEMPO 10]]),0),0)</f>
        <v>0</v>
      </c>
      <c r="DQ5" s="122">
        <f ca="1">IFERROR(IF(Tbl_horario[[#This Row],[HORAS 10]]=0,Tbl_horario[[#This Row],[TIEMPO 10]],IF(Tbl_horario[[#This Row],[HORAS 10]]&lt;SUM(Tbl_horario[[#This Row],[EXTRAS VESPERTINAS 5-6 10]:[TIEMPO 10]]),IF(WEEKDAY($DM$2,1)=7,(IF((Tbl_horario[[#This Row],[HORAS 10]]+VLOOKUP(Tbl_horario[[#This Row],[JORNADA]],Tabla_Jornada[],11,0))&lt;(SUM(Tbl_horario[[#This Row],[EXTRAS VESPERTINAS 5-6 10]:[TIEMPO 10]])),(SUM(Tbl_horario[[#This Row],[EXTRAS VESPERTINAS 5-6 10]:[TIEMPO 10]]))-(Tbl_horario[[#This Row],[HORAS 10]]+VLOOKUP(Tbl_horario[[#This Row],[JORNADA]],Tabla_Jornada[],11,0)),0)),SUM(Tbl_horario[[#This Row],[EXTRAS VESPERTINAS 5-6 10]:[TIEMPO 10]])-Tbl_horario[[#This Row],[HORAS 10]]),0)),0)</f>
        <v>0.22916666666666666</v>
      </c>
      <c r="DR5" s="122">
        <f>SUMIFS(Tbl_tiempo[EXTRAS DIURNAS],Tbl_tiempo[ID PERSONAL],Tbl_horario[[#This Row],[CODIGO]],Tbl_tiempo[FECHA],$DM$2)</f>
        <v>0</v>
      </c>
      <c r="DS5" s="122">
        <f>SUMIFS(Tbl_tiempo[EXTRAS VESPERTINO - 6],Tbl_tiempo[ID PERSONAL],Tbl_horario[[#This Row],[CODIGO]],Tbl_tiempo[FECHA],$DM$2)</f>
        <v>0</v>
      </c>
      <c r="DT5" s="122">
        <f>SUMIFS(Tbl_tiempo[EXTRAS NOCTURNO 6 -8],Tbl_tiempo[ID PERSONAL],Tbl_horario[[#This Row],[CODIGO]],Tbl_tiempo[FECHA],$DM$2)</f>
        <v>0</v>
      </c>
      <c r="DU5" s="122">
        <f>SUMIFS(Tbl_tiempo[EXTRAS NOCTURNO 8 +],Tbl_tiempo[ID PERSONAL],Tbl_horario[[#This Row],[CODIGO]],Tbl_tiempo[FECHA],$DM$2)</f>
        <v>0</v>
      </c>
      <c r="DV5" s="122">
        <f ca="1">IFERROR(IF(OR(Tbl_horario[[#This Row],[FERIADO 10]]="DIA FERIADO",Tbl_horario[[#This Row],[DIA 10]]="SEPTIMO DIA"),0,VLOOKUP(Tbl_horario[[#This Row],[JORNADA]],Tabla_Jornada[],(IF(WEEKDAY($DM$2,1)=7,6,2)),0)),0)</f>
        <v>0.22916666666666666</v>
      </c>
      <c r="DW5" s="122" t="str">
        <f>IF(WEEKDAY($DM$2)=1,"SEPTIMO DIA",IF(Tbl_horario[[#This Row],[HORAS 10]]&gt;0,"LABORADO","NO LABORADO"))</f>
        <v>NO LABORADO</v>
      </c>
      <c r="DX5" s="237" t="str">
        <f ca="1">IF(DATE(YEAR(TODAY()),MONTH(TODAY()),DAY(TODAY()))&gt;=$DM$2,IF(AND(Tbl_horario[[#This Row],[FECHA DE INGRESO]]&lt;=$DM$2,Tbl_horario[[#This Row],[FECHA DE BAJA]]&gt;=$DM$2),IF((COUNTIF(Tabla_Feriados[FECHA],$CW$2))=1,"DIA FERIADO","-"),"-"),"-")</f>
        <v>-</v>
      </c>
      <c r="DY5" s="122">
        <f>SUMIFS(Tbl_tiempo[ANALISIS MARCAJE INICIAL],Tbl_tiempo[ID PERSONAL],Tbl_horario[[#This Row],[CODIGO]],Tbl_tiempo[FECHA],$DY$2)</f>
        <v>0.36805555555555558</v>
      </c>
      <c r="DZ5" s="122">
        <f>SUMIFS(Tbl_tiempo[ANALISIS MARCAJE FINAL],Tbl_tiempo[ID PERSONAL],Tbl_horario[[#This Row],[CODIGO]],Tbl_tiempo[FECHA],$DY$2)</f>
        <v>0.60763888888888895</v>
      </c>
      <c r="EA5" s="122">
        <f>IFERROR(IF(Tbl_horario[[#This Row],[SALIDA 11]]-Tbl_horario[[#This Row],[ENTRADA 11]]&lt;0,"REVISAR HORAS",(SUMIFS(Tbl_tiempo[REPORTE X DIA],Tbl_tiempo[FECHA],CONSOLIDADO!$DY$2,Tbl_tiempo[ID PERSONAL],Tbl_horario[[#This Row],[CODIGO]]))/(COUNTIFS(Tbl_tiempo[FECHA],CONSOLIDADO!$DY$2,Tbl_tiempo[ID PERSONAL],Tbl_horario[[#This Row],[CODIGO]]))),0)</f>
        <v>0</v>
      </c>
      <c r="EB5" s="122">
        <f ca="1">IFERROR(IF(Tbl_horario[[#This Row],[HORAS 11]]&gt;SUM(Tbl_horario[[#This Row],[EXTRAS DIURNAS 11]:[TIEMPO 11]]),Tbl_horario[[#This Row],[HORAS 11]]-SUM(Tbl_horario[[#This Row],[EXTRAS DIURNAS 11]:[TIEMPO 11]]),0),0)</f>
        <v>0</v>
      </c>
      <c r="EC5" s="122">
        <f ca="1">IFERROR(IF(Tbl_horario[[#This Row],[HORAS 11]]=0,Tbl_horario[[#This Row],[TIEMPO 11]],IF(Tbl_horario[[#This Row],[HORAS 11]]&lt;SUM(Tbl_horario[[#This Row],[EXTRAS VESPERTINAS 5-6 11]:[TIEMPO 11]]),IF(WEEKDAY($DY$2,1)=7,(IF((Tbl_horario[[#This Row],[HORAS 11]]+VLOOKUP(Tbl_horario[[#This Row],[JORNADA]],Tabla_Jornada[],11,0))&lt;(SUM(Tbl_horario[[#This Row],[EXTRAS VESPERTINAS 5-6 11]:[TIEMPO 11]])),(SUM(Tbl_horario[[#This Row],[EXTRAS VESPERTINAS 5-6 11]:[TIEMPO 11]]))-(Tbl_horario[[#This Row],[HORAS 11]]+VLOOKUP(Tbl_horario[[#This Row],[JORNADA]],Tabla_Jornada[],11,0)),0)),SUM(Tbl_horario[[#This Row],[EXTRAS VESPERTINAS 5-6 11]:[TIEMPO 11]])-Tbl_horario[[#This Row],[HORAS 11]]),0)),0)</f>
        <v>0</v>
      </c>
      <c r="ED5" s="122">
        <f>SUMIFS(Tbl_tiempo[EXTRAS DIURNAS],Tbl_tiempo[ID PERSONAL],Tbl_horario[[#This Row],[CODIGO]],Tbl_tiempo[FECHA],$DY$2)</f>
        <v>0</v>
      </c>
      <c r="EE5" s="122">
        <f>SUMIFS(Tbl_tiempo[EXTRAS VESPERTINO - 6],Tbl_tiempo[ID PERSONAL],Tbl_horario[[#This Row],[CODIGO]],Tbl_tiempo[FECHA],$DY$2)</f>
        <v>0</v>
      </c>
      <c r="EF5" s="122">
        <f>SUMIFS(Tbl_tiempo[EXTRAS NOCTURNO 6 -8],Tbl_tiempo[ID PERSONAL],Tbl_horario[[#This Row],[CODIGO]],Tbl_tiempo[FECHA],$DY$2)</f>
        <v>0</v>
      </c>
      <c r="EG5" s="122">
        <f>SUMIFS(Tbl_tiempo[EXTRAS NOCTURNO 8 +],Tbl_tiempo[ID PERSONAL],Tbl_horario[[#This Row],[CODIGO]],Tbl_tiempo[FECHA],$DY$2)</f>
        <v>0</v>
      </c>
      <c r="EH5" s="122">
        <f ca="1">IFERROR(IF(OR(Tbl_horario[[#This Row],[FERIADO 11]]="DIA FERIADO",Tbl_horario[[#This Row],[DIA 11]]="SEPTIMO DIA"),0,VLOOKUP(Tbl_horario[[#This Row],[JORNADA]],Tabla_Jornada[],(IF(WEEKDAY($DY$2,1)=7,6,2)),0)),0)</f>
        <v>0</v>
      </c>
      <c r="EI5" s="122" t="str">
        <f>IF(WEEKDAY($DY$2)=1,"SEPTIMO DIA",IF(Tbl_horario[[#This Row],[HORAS 11]]&gt;0,"LABORADO","NO LABORADO"))</f>
        <v>SEPTIMO DIA</v>
      </c>
      <c r="EJ5" s="237" t="str">
        <f ca="1">IF(DATE(YEAR(TODAY()),MONTH(TODAY()),DAY(TODAY()))&gt;=$DY$2,IF(AND(Tbl_horario[[#This Row],[FECHA DE INGRESO]]&lt;=$DY$2,Tbl_horario[[#This Row],[FECHA DE BAJA]]&gt;=$DY$2),IF((COUNTIF(Tabla_Feriados[FECHA],$DY$2))=1,"DIA FERIADO","-"),"-"),"-")</f>
        <v>-</v>
      </c>
      <c r="EK5" s="122">
        <f>SUMIFS(Tbl_tiempo[ANALISIS MARCAJE INICIAL],Tbl_tiempo[ID PERSONAL],Tbl_horario[[#This Row],[CODIGO]],Tbl_tiempo[FECHA],$EK$2)</f>
        <v>0.37152777777777773</v>
      </c>
      <c r="EL5" s="122">
        <f>SUMIFS(Tbl_tiempo[ANALISIS MARCAJE FINAL],Tbl_tiempo[ID PERSONAL],Tbl_horario[[#This Row],[CODIGO]],Tbl_tiempo[FECHA],$EK$2)</f>
        <v>0.61111111111111105</v>
      </c>
      <c r="EM5" s="122">
        <f>IFERROR(IF(Tbl_horario[[#This Row],[SALIDA 12]]-Tbl_horario[[#This Row],[ENTRADA 12]]&lt;0,"REVISAR HORAS",(SUMIFS(Tbl_tiempo[REPORTE X DIA],Tbl_tiempo[FECHA],CONSOLIDADO!$EK$2,Tbl_tiempo[ID PERSONAL],Tbl_horario[[#This Row],[CODIGO]]))/(COUNTIFS(Tbl_tiempo[FECHA],CONSOLIDADO!$EK$2,Tbl_tiempo[ID PERSONAL],Tbl_horario[[#This Row],[CODIGO]]))),0)</f>
        <v>0</v>
      </c>
      <c r="EN5" s="122">
        <f ca="1">IFERROR(IF(Tbl_horario[[#This Row],[HORAS 12]]&gt;SUM(Tbl_horario[[#This Row],[EXTRAS DIURNAS 12]:[TIEMPO 12]]),Tbl_horario[[#This Row],[HORAS 12]]-SUM(Tbl_horario[[#This Row],[EXTRAS DIURNAS 12]:[TIEMPO 12]]),0),0)</f>
        <v>0</v>
      </c>
      <c r="EO5" s="122">
        <f ca="1">IFERROR(IF(Tbl_horario[[#This Row],[HORAS 12]]=0,Tbl_horario[[#This Row],[TIEMPO 12]],IF(Tbl_horario[[#This Row],[HORAS 12]]&lt;SUM(Tbl_horario[[#This Row],[EXTRAS VESPERTINAS 5-6 12]:[TIEMPO 12]]),IF(WEEKDAY($EK$2,1)=7,(IF((Tbl_horario[[#This Row],[HORAS 12]]+VLOOKUP(Tbl_horario[[#This Row],[JORNADA]],Tabla_Jornada[],11,0))&lt;(SUM(Tbl_horario[[#This Row],[EXTRAS VESPERTINAS 5-6 12]:[TIEMPO 12]])),(SUM(Tbl_horario[[#This Row],[EXTRAS VESPERTINAS 5-6 12]:[TIEMPO 12]]))-(Tbl_horario[[#This Row],[HORAS 12]]+VLOOKUP(Tbl_horario[[#This Row],[JORNADA]],Tabla_Jornada[],11,0)),0)),SUM(Tbl_horario[[#This Row],[EXTRAS VESPERTINAS 5-6 12]:[TIEMPO 12]])-Tbl_horario[[#This Row],[HORAS 12]]),0)),0)</f>
        <v>0.33333333333333331</v>
      </c>
      <c r="EP5" s="122">
        <f>SUMIFS(Tbl_tiempo[EXTRAS DIURNAS],Tbl_tiempo[ID PERSONAL],Tbl_horario[[#This Row],[CODIGO]],Tbl_tiempo[FECHA],$EK$2)</f>
        <v>0</v>
      </c>
      <c r="EQ5" s="122">
        <f>SUMIFS(Tbl_tiempo[EXTRAS VESPERTINO - 6],Tbl_tiempo[ID PERSONAL],Tbl_horario[[#This Row],[CODIGO]],Tbl_tiempo[FECHA],$EK$2)</f>
        <v>0</v>
      </c>
      <c r="ER5" s="122">
        <f>SUMIFS(Tbl_tiempo[EXTRAS NOCTURNO 6 -8],Tbl_tiempo[ID PERSONAL],Tbl_horario[[#This Row],[CODIGO]],Tbl_tiempo[FECHA],$EK$2)</f>
        <v>0</v>
      </c>
      <c r="ES5" s="122">
        <f>SUMIFS(Tbl_tiempo[EXTRAS NOCTURNO 8 +],Tbl_tiempo[ID PERSONAL],Tbl_horario[[#This Row],[CODIGO]],Tbl_tiempo[FECHA],$EK$2)</f>
        <v>0</v>
      </c>
      <c r="ET5" s="122">
        <f ca="1">IFERROR(IF(OR(Tbl_horario[[#This Row],[FERIADO 12]]="DIA FERIADO",Tbl_horario[[#This Row],[DIA 12]]="SEPTIMO DIA"),0,VLOOKUP(Tbl_horario[[#This Row],[JORNADA]],Tabla_Jornada[],(IF(WEEKDAY($EK$2,1)=7,6,2)),0)),0)</f>
        <v>0.33333333333333331</v>
      </c>
      <c r="EU5" s="122" t="str">
        <f>IF(WEEKDAY($EK$2)=1,"SEPTIMO DIA",IF(Tbl_horario[[#This Row],[HORAS 12]]&gt;0,"LABORADO","NO LABORADO"))</f>
        <v>NO LABORADO</v>
      </c>
      <c r="EV5" s="237" t="str">
        <f ca="1">IF(DATE(YEAR(TODAY()),MONTH(TODAY()),DAY(TODAY()))&gt;=$EK$2,IF(AND(Tbl_horario[[#This Row],[FECHA DE INGRESO]]&lt;=$EK$2,Tbl_horario[[#This Row],[FECHA DE BAJA]]&gt;=$EK$2),IF((COUNTIF(Tabla_Feriados[FECHA],$EK$2))=1,"DIA FERIADO","-"),"-"),"-")</f>
        <v>-</v>
      </c>
      <c r="EW5" s="122">
        <f>SUMIFS(Tbl_tiempo[ANALISIS MARCAJE INICIAL],Tbl_tiempo[ID PERSONAL],Tbl_horario[[#This Row],[CODIGO]],Tbl_tiempo[FECHA],$EW$2)</f>
        <v>0.375</v>
      </c>
      <c r="EX5" s="122">
        <f>SUMIFS(Tbl_tiempo[ANALISIS MARCAJE FINAL],Tbl_tiempo[ID PERSONAL],Tbl_horario[[#This Row],[CODIGO]],Tbl_tiempo[FECHA],$EW$2)</f>
        <v>0.61458333333333337</v>
      </c>
      <c r="EY5" s="122">
        <f>IFERROR(IF(Tbl_horario[[#This Row],[SALIDA 13]]-Tbl_horario[[#This Row],[ENTRADA 13]]&lt;0,"REVISAR HORAS",(SUMIFS(Tbl_tiempo[REPORTE X DIA],Tbl_tiempo[FECHA],CONSOLIDADO!$EW$2,Tbl_tiempo[ID PERSONAL],Tbl_horario[[#This Row],[CODIGO]]))/(COUNTIFS(Tbl_tiempo[FECHA],CONSOLIDADO!$EW$2,Tbl_tiempo[ID PERSONAL],Tbl_horario[[#This Row],[CODIGO]]))),0)</f>
        <v>0</v>
      </c>
      <c r="EZ5" s="122">
        <f ca="1">IFERROR(IF(Tbl_horario[[#This Row],[HORAS 13]]&gt;SUM(Tbl_horario[[#This Row],[EXTRAS DIURNAS 13]:[TIEMPO 13]]),Tbl_horario[[#This Row],[HORAS 13]]-SUM(Tbl_horario[[#This Row],[EXTRAS DIURNAS 13]:[TIEMPO 13]]),0),0)</f>
        <v>0</v>
      </c>
      <c r="FA5" s="122">
        <f ca="1">IFERROR(IF(Tbl_horario[[#This Row],[HORAS 13]]=0,Tbl_horario[[#This Row],[TIEMPO 13]],IF(Tbl_horario[[#This Row],[HORAS 13]]&lt;SUM(Tbl_horario[[#This Row],[EXTRAS VESPERTINAS 5-6 13]:[TIEMPO 13]]),IF(WEEKDAY($EW$2,1)=7,(IF((Tbl_horario[[#This Row],[HORAS 13]]+VLOOKUP(Tbl_horario[[#This Row],[JORNADA]],Tabla_Jornada[],11,0))&lt;(SUM(Tbl_horario[[#This Row],[EXTRAS VESPERTINAS 5-6 13]:[TIEMPO 13]])),(SUM(Tbl_horario[[#This Row],[EXTRAS VESPERTINAS 5-6 13]:[TIEMPO 13]]))-(Tbl_horario[[#This Row],[HORAS 13]]+VLOOKUP(Tbl_horario[[#This Row],[JORNADA]],Tabla_Jornada[],11,0)),0)),SUM(Tbl_horario[[#This Row],[EXTRAS VESPERTINAS 5-6 13]:[TIEMPO 13]])-Tbl_horario[[#This Row],[HORAS 13]]),0)),0)</f>
        <v>0.33333333333333331</v>
      </c>
      <c r="FB5" s="122">
        <f>SUMIFS(Tbl_tiempo[EXTRAS DIURNAS],Tbl_tiempo[ID PERSONAL],Tbl_horario[[#This Row],[CODIGO]],Tbl_tiempo[FECHA],$EW$2)</f>
        <v>0</v>
      </c>
      <c r="FC5" s="122">
        <f>SUMIFS(Tbl_tiempo[EXTRAS VESPERTINO - 6],Tbl_tiempo[ID PERSONAL],Tbl_horario[[#This Row],[CODIGO]],Tbl_tiempo[FECHA],$EW$2)</f>
        <v>0</v>
      </c>
      <c r="FD5" s="122">
        <f>SUMIFS(Tbl_tiempo[EXTRAS NOCTURNO 6 -8],Tbl_tiempo[ID PERSONAL],Tbl_horario[[#This Row],[CODIGO]],Tbl_tiempo[FECHA],$EW$2)</f>
        <v>0</v>
      </c>
      <c r="FE5" s="122">
        <f>SUMIFS(Tbl_tiempo[EXTRAS NOCTURNO 8 +],Tbl_tiempo[ID PERSONAL],Tbl_horario[[#This Row],[CODIGO]],Tbl_tiempo[FECHA],$EW$2)</f>
        <v>0</v>
      </c>
      <c r="FF5" s="122">
        <f ca="1">IFERROR(IF(OR(Tbl_horario[[#This Row],[FERIADO 13]]="DIA FERIADO",Tbl_horario[[#This Row],[DIA 13]]="SEPTIMO DIA"),0,VLOOKUP(Tbl_horario[[#This Row],[JORNADA]],Tabla_Jornada[],(IF(WEEKDAY($EW$2,1)=7,6,2)),0)),0)</f>
        <v>0.33333333333333331</v>
      </c>
      <c r="FG5" s="122" t="str">
        <f>IF(WEEKDAY($EW$2)=1,"SEPTIMO DIA",IF(Tbl_horario[[#This Row],[HORAS 13]]&gt;0,"LABORADO","NO LABORADO"))</f>
        <v>NO LABORADO</v>
      </c>
      <c r="FH5" s="237" t="str">
        <f ca="1">IF(DATE(YEAR(TODAY()),MONTH(TODAY()),DAY(TODAY()))&gt;=$EW$2,IF(AND(Tbl_horario[[#This Row],[FECHA DE INGRESO]]&lt;=$EW$2,Tbl_horario[[#This Row],[FECHA DE BAJA]]&gt;=$EW$2),IF((COUNTIF(Tabla_Feriados[FECHA],$EW$2))=1,"DIA FERIADO","-"),"-"),"-")</f>
        <v>-</v>
      </c>
      <c r="FI5" s="122">
        <f>SUMIFS(Tbl_tiempo[ANALISIS MARCAJE INICIAL],Tbl_tiempo[ID PERSONAL],Tbl_horario[[#This Row],[CODIGO]],Tbl_tiempo[FECHA],$FI$2)</f>
        <v>0.37847222222222227</v>
      </c>
      <c r="FJ5" s="122">
        <f>SUMIFS(Tbl_tiempo[ANALISIS MARCAJE FINAL],Tbl_tiempo[ID PERSONAL],Tbl_horario[[#This Row],[CODIGO]],Tbl_tiempo[FECHA],$FI$2)</f>
        <v>0.61805555555555558</v>
      </c>
      <c r="FK5" s="122">
        <f>IFERROR(IF(Tbl_horario[[#This Row],[SALIDA 14]]-Tbl_horario[[#This Row],[ENTRADA 14]]&lt;0,"REVISAR HORAS",(SUMIFS(Tbl_tiempo[REPORTE X DIA],Tbl_tiempo[FECHA],CONSOLIDADO!$FI$2,Tbl_tiempo[ID PERSONAL],Tbl_horario[[#This Row],[CODIGO]]))/(COUNTIFS(Tbl_tiempo[FECHA],CONSOLIDADO!$FI$2,Tbl_tiempo[ID PERSONAL],Tbl_horario[[#This Row],[CODIGO]]))),0)</f>
        <v>0</v>
      </c>
      <c r="FL5" s="122">
        <f ca="1">IFERROR(IF(Tbl_horario[[#This Row],[HORAS 14]]&gt;SUM(Tbl_horario[[#This Row],[EXTRAS DIURNAS 14]:[TIEMPO 14]]),Tbl_horario[[#This Row],[HORAS 14]]-SUM(Tbl_horario[[#This Row],[EXTRAS DIURNAS 14]:[TIEMPO 14]]),0),0)</f>
        <v>0</v>
      </c>
      <c r="FM5" s="122">
        <f ca="1">IFERROR(IF(Tbl_horario[[#This Row],[HORAS 14]]=0,Tbl_horario[[#This Row],[TIEMPO 14]],IF(Tbl_horario[[#This Row],[HORAS 14]]&lt;SUM(Tbl_horario[[#This Row],[EXTRAS VESPERTINAS 5-6 14]:[TIEMPO 14]]),IF(WEEKDAY($FI$2,1)=7,(IF((Tbl_horario[[#This Row],[HORAS 14]]+VLOOKUP(Tbl_horario[[#This Row],[JORNADA]],Tabla_Jornada[],11,0))&lt;(SUM(Tbl_horario[[#This Row],[EXTRAS VESPERTINAS 5-6 14]:[TIEMPO 14]])),(SUM(Tbl_horario[[#This Row],[EXTRAS VESPERTINAS 5-6 14]:[TIEMPO 14]]))-(Tbl_horario[[#This Row],[HORAS 14]]+VLOOKUP(Tbl_horario[[#This Row],[JORNADA]],Tabla_Jornada[],11,0)),0)),SUM(Tbl_horario[[#This Row],[EXTRAS VESPERTINAS 5-6 14]:[TIEMPO 14]])-Tbl_horario[[#This Row],[HORAS 14]]),0)),0)</f>
        <v>0.33333333333333331</v>
      </c>
      <c r="FN5" s="122">
        <f>SUMIFS(Tbl_tiempo[EXTRAS DIURNAS],Tbl_tiempo[ID PERSONAL],Tbl_horario[[#This Row],[CODIGO]],Tbl_tiempo[FECHA],$FI$2)</f>
        <v>0</v>
      </c>
      <c r="FO5" s="122">
        <f>SUMIFS(Tbl_tiempo[EXTRAS VESPERTINO - 6],Tbl_tiempo[ID PERSONAL],Tbl_horario[[#This Row],[CODIGO]],Tbl_tiempo[FECHA],$FI$2)</f>
        <v>0</v>
      </c>
      <c r="FP5" s="122">
        <f>SUMIFS(Tbl_tiempo[EXTRAS NOCTURNO 6 -8],Tbl_tiempo[ID PERSONAL],Tbl_horario[[#This Row],[CODIGO]],Tbl_tiempo[FECHA],$FI$2)</f>
        <v>0</v>
      </c>
      <c r="FQ5" s="122">
        <f>SUMIFS(Tbl_tiempo[EXTRAS NOCTURNO 8 +],Tbl_tiempo[ID PERSONAL],Tbl_horario[[#This Row],[CODIGO]],Tbl_tiempo[FECHA],$FI$2)</f>
        <v>0</v>
      </c>
      <c r="FR5" s="122">
        <f ca="1">IFERROR(IF(OR(Tbl_horario[[#This Row],[FERIADO 14]]="DIA FERIADO",Tbl_horario[[#This Row],[DIA 14]]="SEPTIMO DIA"),0,VLOOKUP(Tbl_horario[[#This Row],[JORNADA]],Tabla_Jornada[],(IF(WEEKDAY($FI$2,1)=7,6,2)),0)),0)</f>
        <v>0.33333333333333331</v>
      </c>
      <c r="FS5" s="122" t="str">
        <f>IFERROR(IF(WEEKDAY($FI$2)=1,"SEPTIMO DIA",IF(Tbl_horario[[#This Row],[HORAS 14]]&gt;0,"LABORADO","NO LABORADO")),"FIN")</f>
        <v>NO LABORADO</v>
      </c>
      <c r="FT5" s="237" t="str">
        <f ca="1">IF(DATE(YEAR(TODAY()),MONTH(TODAY()),DAY(TODAY()))&gt;=$FI$2,IF(AND(Tbl_horario[[#This Row],[FECHA DE INGRESO]]&lt;=$FI$2,Tbl_horario[[#This Row],[FECHA DE BAJA]]&gt;=$FI$2),IF((COUNTIF(Tabla_Feriados[FECHA],$FI$2))=1,"DIA FERIADO","-"),"-"),"-")</f>
        <v>-</v>
      </c>
      <c r="FU5" s="122">
        <f>SUMIFS(Tbl_tiempo[ANALISIS MARCAJE INICIAL],Tbl_tiempo[ID PERSONAL],Tbl_horario[[#This Row],[CODIGO]],Tbl_tiempo[FECHA],$FU$2)</f>
        <v>0.38194444444444442</v>
      </c>
      <c r="FV5" s="122">
        <f>SUMIFS(Tbl_tiempo[ANALISIS MARCAJE FINAL],Tbl_tiempo[ID PERSONAL],Tbl_horario[[#This Row],[CODIGO]],Tbl_tiempo[FECHA],$FU$2)</f>
        <v>0.62152777777777779</v>
      </c>
      <c r="FW5" s="122">
        <f>IFERROR(IF(Tbl_horario[[#This Row],[SALIDA 15]]-Tbl_horario[[#This Row],[ENTRADA 15]]&lt;0,"REVISAR HORAS",(SUMIFS(Tbl_tiempo[REPORTE X DIA],Tbl_tiempo[FECHA],CONSOLIDADO!$FU$2,Tbl_tiempo[ID PERSONAL],Tbl_horario[[#This Row],[CODIGO]]))/(COUNTIFS(Tbl_tiempo[FECHA],CONSOLIDADO!$FU$2,Tbl_tiempo[ID PERSONAL],Tbl_horario[[#This Row],[CODIGO]]))),0)</f>
        <v>0</v>
      </c>
      <c r="FX5" s="122">
        <f ca="1">IFERROR(IF(Tbl_horario[[#This Row],[HORAS 15]]&gt;SUM(Tbl_horario[[#This Row],[EXTRAS DIURNAS 15]:[TIEMPO 15]]),Tbl_horario[[#This Row],[HORAS 15]]-SUM(Tbl_horario[[#This Row],[EXTRAS DIURNAS 15]:[TIEMPO 15]]),0),0)</f>
        <v>0</v>
      </c>
      <c r="FY5" s="122">
        <f ca="1">IFERROR(IF(Tbl_horario[[#This Row],[HORAS 15]]=0,Tbl_horario[[#This Row],[TIEMPO 15]],IF(Tbl_horario[[#This Row],[HORAS 15]]&lt;SUM(Tbl_horario[[#This Row],[EXTRAS VESPERTINAS 5-6 15]:[TIEMPO 15]]),IF(WEEKDAY($FU$2,1)=7,(IF((Tbl_horario[[#This Row],[HORAS 15]]+VLOOKUP(Tbl_horario[[#This Row],[JORNADA]],Tabla_Jornada[],11,0))&lt;(SUM(Tbl_horario[[#This Row],[EXTRAS VESPERTINAS 5-6 15]:[TIEMPO 15]])),(SUM(Tbl_horario[[#This Row],[EXTRAS VESPERTINAS 5-6 15]:[TIEMPO 15]]))-(Tbl_horario[[#This Row],[HORAS 15]]+VLOOKUP(Tbl_horario[[#This Row],[JORNADA]],Tabla_Jornada[],11,0)),0)),SUM(Tbl_horario[[#This Row],[EXTRAS VESPERTINAS 5-6 15]:[TIEMPO 15]])-Tbl_horario[[#This Row],[HORAS 15]]),0)),0)</f>
        <v>0.33333333333333331</v>
      </c>
      <c r="FZ5" s="122">
        <f>SUMIFS(Tbl_tiempo[EXTRAS DIURNAS],Tbl_tiempo[ID PERSONAL],Tbl_horario[[#This Row],[CODIGO]],Tbl_tiempo[FECHA],$FU$2)</f>
        <v>0</v>
      </c>
      <c r="GA5" s="122">
        <f>SUMIFS(Tbl_tiempo[EXTRAS VESPERTINO - 6],Tbl_tiempo[ID PERSONAL],Tbl_horario[[#This Row],[CODIGO]],Tbl_tiempo[FECHA],$FU$2)</f>
        <v>0</v>
      </c>
      <c r="GB5" s="122">
        <f>SUMIFS(Tbl_tiempo[EXTRAS NOCTURNO 6 -8],Tbl_tiempo[ID PERSONAL],Tbl_horario[[#This Row],[CODIGO]],Tbl_tiempo[FECHA],$FU$2)</f>
        <v>0</v>
      </c>
      <c r="GC5" s="122">
        <f>SUMIFS(Tbl_tiempo[EXTRAS NOCTURNO 8 +],Tbl_tiempo[ID PERSONAL],Tbl_horario[[#This Row],[CODIGO]],Tbl_tiempo[FECHA],$FU$2)</f>
        <v>0</v>
      </c>
      <c r="GD5" s="122">
        <f ca="1">IFERROR(IF(OR(Tbl_horario[[#This Row],[FERIADO 15]]="DIA FERIADO",Tbl_horario[[#This Row],[DIA 15]]="SEPTIMO DIA"),0,VLOOKUP(Tbl_horario[[#This Row],[JORNADA]],Tabla_Jornada[],(IF(WEEKDAY($FU$2,1)=7,6,2)),0)),0)</f>
        <v>0.33333333333333331</v>
      </c>
      <c r="GE5" s="122" t="str">
        <f>IFERROR(IF(WEEKDAY($FU$2)=1,"SEPTIMO DIA",IF(Tbl_horario[[#This Row],[HORAS 15]]&gt;0,"LABORADO","NO LABORADO")),"FIN")</f>
        <v>NO LABORADO</v>
      </c>
      <c r="GF5" s="237" t="str">
        <f ca="1">IF(DATE(YEAR(TODAY()),MONTH(TODAY()),DAY(TODAY()))&gt;=$FU$2,IF(AND(Tbl_horario[[#This Row],[FECHA DE INGRESO]]&lt;=$FU$2,Tbl_horario[[#This Row],[FECHA DE BAJA]]&gt;=$FU$2),IF((COUNTIF(Tabla_Feriados[FECHA],$FU$2))=1,"DIA FERIADO","-"),"-"),"-")</f>
        <v>-</v>
      </c>
      <c r="GG5" s="122">
        <f>SUMIFS(Tbl_tiempo[ANALISIS MARCAJE INICIAL],Tbl_tiempo[ID PERSONAL],Tbl_horario[[#This Row],[CODIGO]],Tbl_tiempo[FECHA],$GG$2)</f>
        <v>0</v>
      </c>
      <c r="GH5" s="122">
        <f>SUMIFS(Tbl_tiempo[ANALISIS MARCAJE FINAL],Tbl_tiempo[ID PERSONAL],Tbl_horario[[#This Row],[CODIGO]],Tbl_tiempo[FECHA],$GG$2)</f>
        <v>0</v>
      </c>
      <c r="GI5" s="122">
        <f>IFERROR(IF(Tbl_horario[[#This Row],[SALIDA 16]]-Tbl_horario[[#This Row],[ENTRADA 16]]&lt;0,"REVISAR HORAS",(SUMIFS(Tbl_tiempo[REPORTE X DIA],Tbl_tiempo[FECHA],CONSOLIDADO!$GG$2,Tbl_tiempo[ID PERSONAL],Tbl_horario[[#This Row],[CODIGO]]))/(COUNTIFS(Tbl_tiempo[FECHA],CONSOLIDADO!$GG$2,Tbl_tiempo[ID PERSONAL],Tbl_horario[[#This Row],[CODIGO]]))),0)</f>
        <v>0</v>
      </c>
      <c r="GJ5" s="122">
        <f ca="1">IFERROR(IF(Tbl_horario[[#This Row],[HORAS 16]]&gt;SUM(Tbl_horario[[#This Row],[EXTRAS DIURNAS 16]:[TIEMPO 16]]),Tbl_horario[[#This Row],[HORAS 16]]-SUM(Tbl_horario[[#This Row],[EXTRAS DIURNAS 16]:[TIEMPO 16]]),0),0)</f>
        <v>0</v>
      </c>
      <c r="GK5" s="122">
        <f ca="1">IFERROR(IF(Tbl_horario[[#This Row],[HORAS 16]]=0,Tbl_horario[[#This Row],[TIEMPO 16]],IF(Tbl_horario[[#This Row],[HORAS 16]]&lt;SUM(Tbl_horario[[#This Row],[EXTRAS VESPERTINAS 5-6 16]:[TIEMPO 16]]),IF(WEEKDAY($GG$2,1)=7,(IF((Tbl_horario[[#This Row],[HORAS 16]]+VLOOKUP(Tbl_horario[[#This Row],[JORNADA]],Tabla_Jornada[],11,0))&lt;(SUM(Tbl_horario[[#This Row],[EXTRAS VESPERTINAS 5-6 16]:[TIEMPO 16]])),(SUM(Tbl_horario[[#This Row],[EXTRAS VESPERTINAS 5-6 16]:[TIEMPO 16]]))-(Tbl_horario[[#This Row],[HORAS 16]]+VLOOKUP(Tbl_horario[[#This Row],[JORNADA]],Tabla_Jornada[],11,0)),0)),SUM(Tbl_horario[[#This Row],[EXTRAS VESPERTINAS 5-6 16]:[TIEMPO 16]])-Tbl_horario[[#This Row],[HORAS 16]]),0)),0)</f>
        <v>0.33333333333333331</v>
      </c>
      <c r="GL5" s="122">
        <f>SUMIFS(Tbl_tiempo[EXTRAS DIURNAS],Tbl_tiempo[ID PERSONAL],Tbl_horario[[#This Row],[CODIGO]],Tbl_tiempo[FECHA],$GG$2)</f>
        <v>0</v>
      </c>
      <c r="GM5" s="122">
        <f>SUMIFS(Tbl_tiempo[EXTRAS VESPERTINO - 6],Tbl_tiempo[ID PERSONAL],Tbl_horario[[#This Row],[CODIGO]],Tbl_tiempo[FECHA],$GG$2)</f>
        <v>0</v>
      </c>
      <c r="GN5" s="122">
        <f>SUMIFS(Tbl_tiempo[EXTRAS NOCTURNO 6 -8],Tbl_tiempo[ID PERSONAL],Tbl_horario[[#This Row],[CODIGO]],Tbl_tiempo[FECHA],$GG$2)</f>
        <v>0</v>
      </c>
      <c r="GO5" s="122">
        <f>SUMIFS(Tbl_tiempo[EXTRAS NOCTURNO 8 +],Tbl_tiempo[ID PERSONAL],Tbl_horario[[#This Row],[CODIGO]],Tbl_tiempo[FECHA],$GG$2)</f>
        <v>0</v>
      </c>
      <c r="GP5" s="122">
        <f ca="1">IFERROR(IF(OR(Tbl_horario[[#This Row],[FERIADO 06]]="DIA FERIADO",Tbl_horario[[#This Row],[DIA 16]]="SEPTIMO DIA"),0,VLOOKUP(Tbl_horario[[#This Row],[JORNADA]],Tabla_Jornada[],(IF(WEEKDAY($GG$2,1)=7,6,2)),0)),0)</f>
        <v>0.33333333333333331</v>
      </c>
      <c r="GQ5" s="122" t="str">
        <f>IFERROR(IF(WEEKDAY($GG$2)=1,"SEPTIMO DIA",IF(Tbl_horario[[#This Row],[HORAS 16]]&gt;0,"LABORADO","NO LABORADO")),"FIN")</f>
        <v>NO LABORADO</v>
      </c>
      <c r="GR5" s="258" t="str">
        <f ca="1">IF(DATE(YEAR(TODAY()),MONTH(TODAY()),DAY(TODAY()))&gt;=$GG$2,IF(AND(Tbl_horario[[#This Row],[FECHA DE INGRESO]]&lt;=$GG$2,Tbl_horario[[#This Row],[FECHA DE BAJA]]&gt;=$GG$2),IF((COUNTIF(Tabla_Feriados[FECHA],$GG$2))=1,"DIA FERIADO","-"),"-"),"-")</f>
        <v>-</v>
      </c>
      <c r="GS5" s="71">
        <f ca="1">SUM(Tbl_horario[[#This Row],[TIEMPO 01]],Tbl_horario[[#This Row],[TIEMPO 02]],Tbl_horario[[#This Row],[TIEMPO 03]],Tbl_horario[[#This Row],[TIEMPO 04]],Tbl_horario[[#This Row],[TIEMPO 05]],Tbl_horario[[#This Row],[TIEMPO 06]],Tbl_horario[[#This Row],[TIEMPO 07]],Tbl_horario[[#This Row],[TIEMPO 08]],Tbl_horario[[#This Row],[TIEMPO 09]],Tbl_horario[[#This Row],[TIEMPO 10]],Tbl_horario[[#This Row],[TIEMPO 11]],Tbl_horario[[#This Row],[TIEMPO 12]],Tbl_horario[[#This Row],[TIEMPO 13]],Tbl_horario[[#This Row],[TIEMPO 14]],Tbl_horario[[#This Row],[TIEMPO 15]],Tbl_horario[[#This Row],[TIEMPO 16]])</f>
        <v>4.458333333333333</v>
      </c>
      <c r="GT5" s="254">
        <f>SUM(Tbl_horario[[#This Row],[HORAS 01]],Tbl_horario[[#This Row],[HORAS 02]],Tbl_horario[[#This Row],[HORAS 03]],Tbl_horario[[#This Row],[HORAS 04]],Tbl_horario[[#This Row],[HORAS 05]],Tbl_horario[[#This Row],[HORAS 06]],Tbl_horario[[#This Row],[HORAS 07]],Tbl_horario[[#This Row],[HORAS 08]],Tbl_horario[[#This Row],[HORAS 09]],Tbl_horario[[#This Row],[HORAS 10]],Tbl_horario[[#This Row],[HORAS 11]],Tbl_horario[[#This Row],[HORAS 12]],Tbl_horario[[#This Row],[HORAS 13]],Tbl_horario[[#This Row],[HORAS 14]],Tbl_horario[[#This Row],[HORAS 15]],Tbl_horario[[#This Row],[HORAS 16]])</f>
        <v>0.35694444444444456</v>
      </c>
      <c r="GU5" s="123">
        <f>Tbl_horario[[#This Row],[TOTAL DE HORAS LABORADAS]]-Tbl_horario[[#This Row],[HORAS EXTRAS LABORADAS]]</f>
        <v>0.35694444444444456</v>
      </c>
      <c r="GV5" s="123">
        <f>SUM(Tbl_horario[[#This Row],[EXTRAS DIURNAS ]]+Tbl_horario[[#This Row],[EXTRAS VESPERTINAS ]])+Tbl_horario[[#This Row],[EXTRAS NOCTURNAS 6-8 ]]+Tbl_horario[[#This Row],[EXTRAS NOCTURNAS 8+ ]]</f>
        <v>0</v>
      </c>
      <c r="GW5" s="123">
        <f ca="1"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f>
        <v>4.125</v>
      </c>
      <c r="GX5" s="123">
        <f>SUM(Tbl_horario[[#This Row],[EXTRAS DIURNAS 01]],Tbl_horario[[#This Row],[EXTRAS DIURNAS 02]],Tbl_horario[[#This Row],[EXTRAS DIURNAS 03]],Tbl_horario[[#This Row],[EXTRAS DIURNAS 04]],Tbl_horario[[#This Row],[EXTRAS DIURNAS 05]],Tbl_horario[[#This Row],[EXTRAS DIURNAS 06]],Tbl_horario[[#This Row],[EXTRAS DIURNAS 07]],Tbl_horario[[#This Row],[EXTRAS DIURNAS 08]],Tbl_horario[[#This Row],[EXTRAS DIURNAS 09]],Tbl_horario[[#This Row],[EXTRAS DIURNAS 10]],Tbl_horario[[#This Row],[EXTRAS DIURNAS 11]],Tbl_horario[[#This Row],[EXTRAS DIURNAS 12]],Tbl_horario[[#This Row],[EXTRAS DIURNAS 13]],Tbl_horario[[#This Row],[EXTRAS DIURNAS 14]],Tbl_horario[[#This Row],[EXTRAS DIURNAS 15]],Tbl_horario[[#This Row],[EXTRAS DIURNAS 16]])</f>
        <v>0</v>
      </c>
      <c r="GY5" s="123">
        <f>SUM(Tbl_horario[[#This Row],[EXTRAS VESPERTINAS 5-6 01]],Tbl_horario[[#This Row],[EXTRAS VESPERTINAS 5-6 02]],Tbl_horario[[#This Row],[EXTRAS VESPERTINAS 5-6 03]],Tbl_horario[[#This Row],[EXTRAS VESPERTINAS 5-6 04]],Tbl_horario[[#This Row],[EXTRAS VESPERTINAS 5-6 05]],Tbl_horario[[#This Row],[EXTRAS VESPERTINAS 5-6 06]],Tbl_horario[[#This Row],[EXTRAS VESPERTINAS 5-6 07]],Tbl_horario[[#This Row],[EXTRAS VESPERTINAS 5-6 08]],Tbl_horario[[#This Row],[EXTRAS VESPERTINAS 5-6 09]],Tbl_horario[[#This Row],[EXTRAS VESPERTINAS 5-6 10]],Tbl_horario[[#This Row],[EXTRAS VESPERTINAS 5-6 11]],Tbl_horario[[#This Row],[EXTRAS VESPERTINAS 5-6 12]],Tbl_horario[[#This Row],[EXTRAS VESPERTINAS 5-6 13]],Tbl_horario[[#This Row],[EXTRAS VESPERTINAS 5-6 14]],Tbl_horario[[#This Row],[EXTRAS VESPERTINAS 5-6 15]],Tbl_horario[[#This Row],[EXTRAS VESPERTINAS 5-6 16]])</f>
        <v>0</v>
      </c>
      <c r="GZ5" s="123">
        <f>SUM(Tbl_horario[[#This Row],[EXTRAS NOCTURNAS 6-8 01]],Tbl_horario[[#This Row],[EXTRAS NOCTURNAS 6-8 02]],Tbl_horario[[#This Row],[EXTRAS NOCTURNAS 6-8 03]],Tbl_horario[[#This Row],[EXTRAS NOCTURNAS 6-8 04]],Tbl_horario[[#This Row],[EXTRAS NOCTURNAS 6-8 05]],Tbl_horario[[#This Row],[EXTRAS NOCTURNAS 6-8 06]],Tbl_horario[[#This Row],[EXTRAS NOCTURNAS 6-8 07]],Tbl_horario[[#This Row],[EXTRAS NOCTURNAS 6-8 08]],Tbl_horario[[#This Row],[EXTRAS NOCTURNAS 6-8 09]],Tbl_horario[[#This Row],[EXTRAS NOCTURNAS 6-8 10]],Tbl_horario[[#This Row],[EXTRAS NOCTURNAS 6-8 11]],Tbl_horario[[#This Row],[EXTRAS NOCTURNAS 6-8 12]],Tbl_horario[[#This Row],[EXTRAS NOCTURNAS 6-8 13]],Tbl_horario[[#This Row],[EXTRAS NOCTURNAS 6-8 14]],Tbl_horario[[#This Row],[EXTRAS NOCTURNAS 6-8 15]],Tbl_horario[[#This Row],[EXTRAS NOCTURNAS 6-8 16]])</f>
        <v>0</v>
      </c>
      <c r="HA5" s="123">
        <f>SUM(Tbl_horario[[#This Row],[EXTRAS NOCTURNAS 8+ 01]],Tbl_horario[[#This Row],[EXTRAS NOCTURNAS 8+ 02]],Tbl_horario[[#This Row],[EXTRAS NOCTURNAS 8+ 03]],Tbl_horario[[#This Row],[EXTRAS NOCTURNAS 8+ 04]],Tbl_horario[[#This Row],[EXTRAS NOCTURNAS 8+ 05]],Tbl_horario[[#This Row],[EXTRAS NOCTURNAS 8+ 06]],Tbl_horario[[#This Row],[EXTRAS NOCTURNAS 8+ 07]],Tbl_horario[[#This Row],[EXTRAS NOCTURNAS 8+ 08]],Tbl_horario[[#This Row],[EXTRAS NOCTURNAS 8+ 09]],Tbl_horario[[#This Row],[EXTRAS NOCTURNAS 8+ 10]],Tbl_horario[[#This Row],[EXTRAS NOCTURNAS 8+ 11]],Tbl_horario[[#This Row],[EXTRAS NOCTURNAS 8+ 12]],Tbl_horario[[#This Row],[EXTRAS NOCTURNAS 8+ 13]],Tbl_horario[[#This Row],[EXTRAS NOCTURNAS 8+ 14]],Tbl_horario[[#This Row],[EXTRAS NOCTURNAS 8+ 15]],Tbl_horario[[#This Row],[EXTRAS NOCTURNAS 8+ 16]])</f>
        <v>0</v>
      </c>
      <c r="HB5" s="70">
        <f ca="1">SUM(Tbl_horario[[#This Row],[TIEMPO A FAVOR 01]],Tbl_horario[[#This Row],[TIEMPO A FAVOR 02]],Tbl_horario[[#This Row],[TIEMPO A FAVOR 03]],Tbl_horario[[#This Row],[TIEMPO A FAVOR 04]],Tbl_horario[[#This Row],[TIEMPO A FAVOR 05]],Tbl_horario[[#This Row],[TIEMPO A FAVOR 06]],Tbl_horario[[#This Row],[TIEMPO A FAVOR 07]],Tbl_horario[[#This Row],[TIEMPO A FAVOR 08]],Tbl_horario[[#This Row],[TIEMPO A FAVOR 09]],Tbl_horario[[#This Row],[TIEMPO A FAVOR 10]],Tbl_horario[[#This Row],[TIEMPO A FAVOR 11]],Tbl_horario[[#This Row],[TIEMPO A FAVOR 12]],Tbl_horario[[#This Row],[TIEMPO A FAVOR 13]],Tbl_horario[[#This Row],[TIEMPO A FAVOR 14]],Tbl_horario[[#This Row],[TIEMPO A FAVOR 15]],Tbl_horario[[#This Row],[TIEMPO A FAVOR 16]])</f>
        <v>2.3611111111111249E-2</v>
      </c>
      <c r="HC5" s="69">
        <f ca="1"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f>
        <v>4.125</v>
      </c>
      <c r="HD5" s="123">
        <f ca="1">IF(Tbl_horario[[#This Row],[TIEMPO A FAVOR]]&gt;Tbl_horario[[#This Row],[TIEMPO PENDIENTE]],Tbl_horario[[#This Row],[TIEMPO A FAVOR]]-Tbl_horario[[#This Row],[TIEMPO PENDIENTE]],0)</f>
        <v>0</v>
      </c>
      <c r="HE5" s="123">
        <f ca="1">IF(Tbl_horario[[#This Row],[TIEMPO A FAVOR]]&lt;Tbl_horario[[#This Row],[TIEMPO PENDIENTE]],Tbl_horario[[#This Row],[TIEMPO PENDIENTE]]-Tbl_horario[[#This Row],[TIEMPO A FAVOR]],0)</f>
        <v>4.1013888888888888</v>
      </c>
      <c r="HF5" s="255">
        <f ca="1">COUNTIF(Tbl_horario[[#This Row],[ENTRADA 01]:[DIA 16]],"LABORADO")</f>
        <v>1</v>
      </c>
      <c r="HG5" s="124">
        <f ca="1">COUNTIF(Tbl_horario[[#This Row],[ENTRADA 01]:[FERIADO 16]],"DIA FERIADO")</f>
        <v>0</v>
      </c>
      <c r="HH5" s="255">
        <f ca="1">IF(((COUNTIF(Tbl_horario[[#This Row],[ENTRADA 01]:[DIA 16]],"NO LABORADO"))-Tbl_horario[[#This Row],[FERIADOS]])&lt;0,0,(COUNTIF(Tbl_horario[[#This Row],[ENTRADA 01]:[DIA 16]],"NO LABORADO"))-Tbl_horario[[#This Row],[FERIADOS]])</f>
        <v>13</v>
      </c>
      <c r="HI5" s="256">
        <f ca="1">Tbl_horario[[#This Row],[RESTANTES]]+Tbl_horario[[#This Row],[FERIADOS]]+Tbl_horario[[#This Row],[DIAS LABORADOS]]</f>
        <v>14</v>
      </c>
      <c r="HJ5" s="125">
        <f ca="1">COUNTIF(Tbl_horario[[#This Row],[ENTRADA 01]:[DIA 16]],"SEPTIMO DIA")</f>
        <v>2</v>
      </c>
      <c r="HK5" s="121" t="str">
        <f>IF(Tbl_horario[[#This Row],[CONTROL]]="NO","SIN CONTROL DE HORAS",IF((Tbl_horario[[#This Row],[DIAS LABORADOS]])+Tbl_horario[[#This Row],[FERIADOS]]&gt;=Tbl_horario[[#This Row],[DIAS A LABORAR]],"COMPLETO LOS DIAS",Tbl_horario[[#This Row],[DIAS LABORADOS]]+Tbl_horario[[#This Row],[FERIADOS]]))</f>
        <v>SIN CONTROL DE HORAS</v>
      </c>
      <c r="HL5" s="121" t="str">
        <f>IF(COUNTIFS(Tbl_Exonerar[ID PERSONAL],Tbl_horario[[#This Row],[CODIGO]],Tbl_Exonerar[QUINCENA DE EXONERACIÓN],"&gt;="&amp;INICIO_QUINCENA,Tbl_Exonerar[QUINCENA DE EXONERACIÓN],"&lt;="&amp;FINAL_QUINCENA)&gt;=1,"EXONERADO","")</f>
        <v/>
      </c>
      <c r="HM5" s="121" t="str">
        <f>IF(COUNTIFS(Tbl_Anular[ID PERSONAL],Tbl_horario[[#This Row],[CODIGO]],Tbl_Anular[QUINCENA DE ANULACIÓN],"&gt;="&amp;INICIO_QUINCENA,Tbl_Anular[QUINCENA DE ANULACIÓN],"&lt;="&amp;FINAL_QUINCENA)&gt;=1,"ANULADO","")</f>
        <v/>
      </c>
      <c r="HN5" s="121" t="str">
        <f>IFERROR(VLOOKUP(A5,Tbl_personal[],9,0),"-")</f>
        <v>NO</v>
      </c>
      <c r="HO5" s="4"/>
      <c r="HP5"/>
      <c r="HQ5" s="4"/>
      <c r="HR5" s="23"/>
      <c r="HS5" s="23"/>
      <c r="HT5" s="23"/>
      <c r="HU5" s="23"/>
      <c r="HV5"/>
      <c r="HY5" s="4"/>
      <c r="HZ5" s="4"/>
      <c r="IA5" s="4"/>
      <c r="IB5" s="4"/>
      <c r="IC5" s="4"/>
      <c r="ID5" s="4"/>
    </row>
    <row r="6" spans="1:16342" ht="22.5" customHeight="1" x14ac:dyDescent="0.3">
      <c r="A6"/>
      <c r="B6" s="272">
        <f>SUBTOTAL(103,Tbl_horario[NOMBRE Y APELLIDO])</f>
        <v>1</v>
      </c>
      <c r="C6" s="273"/>
      <c r="D6" s="2"/>
      <c r="E6" s="2"/>
      <c r="F6" s="259"/>
      <c r="G6" s="259"/>
      <c r="H6" s="2"/>
      <c r="I6"/>
      <c r="J6"/>
      <c r="K6"/>
      <c r="L6"/>
      <c r="M6"/>
      <c r="N6"/>
      <c r="O6"/>
      <c r="P6"/>
      <c r="Q6"/>
      <c r="R6"/>
      <c r="S6" s="2"/>
      <c r="T6" s="2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 s="23">
        <f>SUBTOTAL(109,Tbl_horario[HORAS EXTRAS LABORADAS])</f>
        <v>0</v>
      </c>
      <c r="GW6" s="73">
        <f ca="1">SUBTOTAL(109,Tbl_horario[HORAS RESTANTES])</f>
        <v>4.125</v>
      </c>
      <c r="GX6" s="23">
        <f>SUBTOTAL(109,Tbl_horario[[EXTRAS DIURNAS ]])</f>
        <v>0</v>
      </c>
      <c r="GY6" s="23">
        <f>SUBTOTAL(109,Tbl_horario[[EXTRAS VESPERTINAS ]])</f>
        <v>0</v>
      </c>
      <c r="GZ6" s="23">
        <f>SUBTOTAL(109,Tbl_horario[EXTRAS NOCTURNAS 6-8 ])</f>
        <v>0</v>
      </c>
      <c r="HA6" s="23">
        <f>SUBTOTAL(109,Tbl_horario[EXTRAS NOCTURNAS 8+ ])</f>
        <v>0</v>
      </c>
      <c r="HB6" s="23">
        <f ca="1">SUBTOTAL(109,Tbl_horario[TIEMPO A FAVOR])</f>
        <v>2.3611111111111249E-2</v>
      </c>
      <c r="HC6" s="73">
        <f ca="1">SUBTOTAL(109,Tbl_horario[TIEMPO PENDIENTE])</f>
        <v>4.125</v>
      </c>
      <c r="HD6" s="107">
        <f ca="1">SUBTOTAL(109,Tbl_horario[SALDO DE TIEMPO A FAVOR])</f>
        <v>0</v>
      </c>
      <c r="HE6" s="23"/>
      <c r="HG6"/>
      <c r="HJ6"/>
      <c r="HK6"/>
      <c r="HL6"/>
      <c r="HN6"/>
    </row>
    <row r="7" spans="1:16342" ht="22.5" customHeight="1" x14ac:dyDescent="0.3"/>
    <row r="8" spans="1:16342" ht="22.5" customHeight="1" x14ac:dyDescent="0.3"/>
    <row r="9" spans="1:16342" ht="22.5" customHeight="1" x14ac:dyDescent="0.3"/>
    <row r="10" spans="1:16342" ht="22.5" customHeight="1" x14ac:dyDescent="0.3"/>
    <row r="11" spans="1:16342" ht="22.5" customHeight="1" x14ac:dyDescent="0.3"/>
    <row r="12" spans="1:16342" ht="22.5" customHeight="1" x14ac:dyDescent="0.3"/>
    <row r="13" spans="1:16342" ht="22.5" customHeight="1" x14ac:dyDescent="0.3"/>
    <row r="14" spans="1:16342" ht="22.5" customHeight="1" x14ac:dyDescent="0.3"/>
    <row r="15" spans="1:16342" ht="22.5" customHeight="1" x14ac:dyDescent="0.3"/>
    <row r="16" spans="1:16342" ht="22.5" customHeight="1" x14ac:dyDescent="0.3"/>
    <row r="17" ht="22.5" customHeight="1" x14ac:dyDescent="0.3"/>
    <row r="18" ht="22.5" customHeight="1" x14ac:dyDescent="0.3"/>
    <row r="19" ht="22.5" customHeight="1" x14ac:dyDescent="0.3"/>
    <row r="20" ht="22.5" customHeight="1" x14ac:dyDescent="0.3"/>
    <row r="21" ht="22.5" customHeight="1" x14ac:dyDescent="0.3"/>
    <row r="22" ht="22.5" customHeight="1" x14ac:dyDescent="0.3"/>
    <row r="23" ht="22.5" customHeight="1" x14ac:dyDescent="0.3"/>
    <row r="24" ht="22.5" customHeight="1" x14ac:dyDescent="0.3"/>
    <row r="25" ht="22.5" customHeight="1" x14ac:dyDescent="0.3"/>
    <row r="26" ht="22.5" customHeight="1" x14ac:dyDescent="0.3"/>
    <row r="27" ht="22.5" customHeight="1" x14ac:dyDescent="0.3"/>
    <row r="28" ht="22.5" customHeight="1" x14ac:dyDescent="0.3"/>
    <row r="29" ht="22.5" customHeight="1" x14ac:dyDescent="0.3"/>
    <row r="30" ht="22.5" customHeight="1" x14ac:dyDescent="0.3"/>
    <row r="31" ht="22.5" customHeight="1" x14ac:dyDescent="0.3"/>
    <row r="32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</sheetData>
  <sheetProtection algorithmName="SHA-512" hashValue="lxyjypaf5GxKjVtsS7bkj2juK6QeYQzCKPX3++GJ4xBpCMgxORuF4BC4bMYjtpwhg1WdkQQyk3/P20FKmTBq3g==" saltValue="Toh1ImEweFm9tfCIbAcNHQ==" spinCount="100000" sheet="1" objects="1" scenarios="1"/>
  <mergeCells count="35">
    <mergeCell ref="EW2:FH2"/>
    <mergeCell ref="EK2:EV2"/>
    <mergeCell ref="DY2:EJ2"/>
    <mergeCell ref="DM2:DX2"/>
    <mergeCell ref="DM3:DX3"/>
    <mergeCell ref="DY3:EJ3"/>
    <mergeCell ref="EK3:EV3"/>
    <mergeCell ref="EW3:FH3"/>
    <mergeCell ref="GG3:GR3"/>
    <mergeCell ref="GG2:GR2"/>
    <mergeCell ref="FU3:GF3"/>
    <mergeCell ref="FU2:GF2"/>
    <mergeCell ref="FI2:FT2"/>
    <mergeCell ref="FI3:FT3"/>
    <mergeCell ref="I3:T3"/>
    <mergeCell ref="U3:AF3"/>
    <mergeCell ref="AG3:AR3"/>
    <mergeCell ref="AS3:BD3"/>
    <mergeCell ref="BE3:BP3"/>
    <mergeCell ref="CC2:CN2"/>
    <mergeCell ref="CC3:CN3"/>
    <mergeCell ref="CO3:CZ3"/>
    <mergeCell ref="CO2:CZ2"/>
    <mergeCell ref="DA3:DL3"/>
    <mergeCell ref="DA2:DL2"/>
    <mergeCell ref="AG2:AR2"/>
    <mergeCell ref="AS2:BD2"/>
    <mergeCell ref="BE2:BP2"/>
    <mergeCell ref="BQ3:CB3"/>
    <mergeCell ref="BQ2:CB2"/>
    <mergeCell ref="C2:D2"/>
    <mergeCell ref="A1:C1"/>
    <mergeCell ref="A2:B2"/>
    <mergeCell ref="I2:T2"/>
    <mergeCell ref="U2:AF2"/>
  </mergeCells>
  <conditionalFormatting sqref="HK5:HN5">
    <cfRule type="containsText" dxfId="13" priority="547" operator="containsText" text="COMPLETO">
      <formula>NOT(ISERROR(SEARCH("COMPLETO",HK5)))</formula>
    </cfRule>
  </conditionalFormatting>
  <conditionalFormatting sqref="HD5">
    <cfRule type="cellIs" dxfId="12" priority="376" operator="greaterThan">
      <formula>0</formula>
    </cfRule>
  </conditionalFormatting>
  <conditionalFormatting sqref="HE5">
    <cfRule type="cellIs" dxfId="11" priority="375" operator="greaterThan">
      <formula>0</formula>
    </cfRule>
  </conditionalFormatting>
  <conditionalFormatting sqref="HL5">
    <cfRule type="containsText" dxfId="10" priority="260" operator="containsText" text="EXONERADO">
      <formula>NOT(ISERROR(SEARCH("EXONERADO",HL5)))</formula>
    </cfRule>
  </conditionalFormatting>
  <conditionalFormatting sqref="HM5:HN5">
    <cfRule type="containsText" dxfId="9" priority="258" operator="containsText" text="ANULADO">
      <formula>NOT(ISERROR(SEARCH("ANULADO",HM5)))</formula>
    </cfRule>
  </conditionalFormatting>
  <conditionalFormatting sqref="FZ5:GD5">
    <cfRule type="cellIs" dxfId="8" priority="1" operator="greaterThan">
      <formula>0</formula>
    </cfRule>
  </conditionalFormatting>
  <pageMargins left="0.7" right="0.7" top="0.75" bottom="0.75" header="0.3" footer="0.3"/>
  <pageSetup scale="10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-0.249977111117893"/>
  </sheetPr>
  <dimension ref="A1:CF6"/>
  <sheetViews>
    <sheetView showGridLines="0" topLeftCell="A2" zoomScaleNormal="100" workbookViewId="0">
      <pane xSplit="2" topLeftCell="G1" activePane="topRight" state="frozen"/>
      <selection sqref="A1:R1"/>
      <selection pane="topRight" activeCell="B27" sqref="B27"/>
    </sheetView>
  </sheetViews>
  <sheetFormatPr baseColWidth="10" defaultColWidth="11.44140625" defaultRowHeight="16.5" customHeight="1" x14ac:dyDescent="0.3"/>
  <cols>
    <col min="1" max="1" width="14.77734375" style="28" customWidth="1"/>
    <col min="2" max="2" width="34" style="28" customWidth="1"/>
    <col min="3" max="3" width="20" style="28" bestFit="1" customWidth="1"/>
    <col min="4" max="4" width="23.21875" style="28" bestFit="1" customWidth="1"/>
    <col min="5" max="5" width="21.21875" style="28" bestFit="1" customWidth="1"/>
    <col min="6" max="6" width="18.77734375" style="114" customWidth="1"/>
    <col min="7" max="7" width="23" style="28" customWidth="1"/>
    <col min="8" max="8" width="20.77734375" style="28" customWidth="1"/>
    <col min="9" max="9" width="16.77734375" style="28" customWidth="1"/>
    <col min="10" max="10" width="18.21875" style="28" customWidth="1"/>
    <col min="11" max="11" width="17.21875" style="28" customWidth="1"/>
    <col min="12" max="12" width="16.5546875" style="28" customWidth="1"/>
    <col min="13" max="13" width="17.5546875" style="28" customWidth="1"/>
    <col min="14" max="17" width="17.5546875" style="66" customWidth="1"/>
    <col min="18" max="18" width="14.5546875" style="28" customWidth="1"/>
    <col min="19" max="19" width="15.44140625" style="28" customWidth="1"/>
    <col min="20" max="20" width="17.21875" style="28" customWidth="1"/>
    <col min="21" max="21" width="14" style="28" customWidth="1"/>
    <col min="22" max="23" width="16.77734375" style="28" customWidth="1"/>
    <col min="24" max="24" width="17.21875" style="28" customWidth="1"/>
    <col min="25" max="25" width="16.44140625" style="28" customWidth="1"/>
    <col min="26" max="26" width="20" style="28" customWidth="1"/>
    <col min="27" max="27" width="17.21875" style="28" customWidth="1"/>
    <col min="28" max="29" width="18.77734375" style="28" customWidth="1"/>
    <col min="30" max="30" width="17.77734375" style="28" customWidth="1"/>
    <col min="31" max="31" width="16.44140625" style="28" customWidth="1"/>
    <col min="32" max="33" width="20.44140625" style="28" customWidth="1"/>
    <col min="34" max="34" width="16.44140625" style="28" customWidth="1"/>
    <col min="35" max="35" width="16.77734375" style="28" customWidth="1"/>
    <col min="36" max="36" width="17.21875" style="28" customWidth="1"/>
    <col min="37" max="40" width="14.21875" style="28" customWidth="1"/>
    <col min="41" max="41" width="16.44140625" style="28" customWidth="1"/>
    <col min="42" max="42" width="14.21875" customWidth="1"/>
    <col min="43" max="46" width="18.77734375" style="28" customWidth="1"/>
    <col min="47" max="56" width="17.77734375" style="28" customWidth="1"/>
    <col min="57" max="57" width="17.21875" style="28" customWidth="1"/>
    <col min="58" max="58" width="14.21875" customWidth="1"/>
    <col min="59" max="59" width="17.21875" style="28" customWidth="1"/>
    <col min="60" max="60" width="14.77734375" style="28" customWidth="1"/>
    <col min="61" max="61" width="16.44140625" style="28" bestFit="1" customWidth="1"/>
    <col min="62" max="62" width="11.44140625" style="93"/>
    <col min="63" max="63" width="16.77734375" style="94" customWidth="1"/>
    <col min="64" max="65" width="17.21875" style="94" customWidth="1"/>
    <col min="66" max="68" width="11.44140625" style="94"/>
    <col min="69" max="71" width="11.44140625" style="93"/>
    <col min="72" max="76" width="11.44140625" style="94"/>
    <col min="77" max="80" width="11.44140625" style="28"/>
    <col min="81" max="82" width="12.77734375" style="28" customWidth="1"/>
    <col min="83" max="16384" width="11.44140625" style="28"/>
  </cols>
  <sheetData>
    <row r="1" spans="1:84" ht="36" customHeight="1" x14ac:dyDescent="0.3">
      <c r="A1" s="40" t="s">
        <v>180</v>
      </c>
      <c r="B1" s="41"/>
      <c r="C1" s="41"/>
      <c r="D1" s="42"/>
      <c r="E1" s="80"/>
      <c r="F1" s="113"/>
      <c r="G1" s="43"/>
      <c r="H1" s="43"/>
      <c r="I1" s="43"/>
      <c r="J1" s="43"/>
      <c r="K1" s="44"/>
      <c r="L1" s="44"/>
      <c r="M1" s="44"/>
      <c r="N1" s="63"/>
      <c r="O1" s="63"/>
      <c r="P1" s="63"/>
      <c r="Q1" s="63"/>
      <c r="R1" s="44"/>
      <c r="S1" s="44"/>
      <c r="T1" s="44"/>
      <c r="U1" s="44"/>
      <c r="V1" s="44"/>
      <c r="W1" s="44"/>
      <c r="X1" s="44"/>
      <c r="Y1" s="44"/>
      <c r="Z1" s="44"/>
      <c r="AA1" s="44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</row>
    <row r="2" spans="1:84" ht="15.6" x14ac:dyDescent="0.3">
      <c r="A2" s="45" t="str">
        <f>CONCATENATE("PLANILLA DE PAGO DEL PERSONAL DEL ",DAY(FECHA_HORAS)," DE ",VLOOKUP(MONTH(FECHA_HORAS),Tabla_Meses[],2,0)," DEL ",YEAR(FECHA_HORAS)," AL ",(IF(DAY(FECHA_HORAS)=26,10,25))," DE ",(IF(DAY(FECHA_HORAS)=26,VLOOKUP(MONTH(FECHA_HORAS)+1,Tabla_Meses[],2,0),VLOOKUP(MONTH(FECHA_HORAS),Tabla_Meses[],2,0)))," DEL ",(IF(AND(DAY(FECHA_HORAS)=26,(MONTH(FECHA_HORAS)=12)),YEAR(FECHA_HORAS)+1,YEAR(FECHA_HORAS))))</f>
        <v>PLANILLA DE PAGO DEL PERSONAL DEL 26 DE MARZO DEL 2020 AL 10 DE ABRIL DEL 2020</v>
      </c>
      <c r="B2" s="41"/>
      <c r="C2" s="46"/>
      <c r="D2" s="41"/>
      <c r="E2" s="43"/>
      <c r="F2" s="113"/>
      <c r="G2" s="43"/>
      <c r="H2" s="43"/>
      <c r="I2" s="43"/>
      <c r="J2" s="43"/>
      <c r="K2" s="44"/>
      <c r="L2" s="44"/>
      <c r="M2" s="44"/>
      <c r="N2" s="63"/>
      <c r="O2" s="63"/>
      <c r="P2" s="63"/>
      <c r="Q2" s="63"/>
      <c r="R2" s="44"/>
      <c r="S2" s="44"/>
      <c r="T2" s="44"/>
      <c r="U2" s="44"/>
      <c r="V2" s="44"/>
      <c r="W2" s="44"/>
      <c r="X2" s="44"/>
      <c r="Y2" s="44"/>
      <c r="Z2" s="44"/>
      <c r="AA2" s="44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</row>
    <row r="3" spans="1:84" ht="24" customHeight="1" x14ac:dyDescent="0.25">
      <c r="A3" s="43"/>
      <c r="B3" s="43"/>
      <c r="C3" s="43"/>
      <c r="D3" s="43"/>
      <c r="E3" s="43"/>
      <c r="F3" s="113"/>
      <c r="G3" s="43"/>
      <c r="H3" s="43"/>
      <c r="I3" s="43"/>
      <c r="J3" s="43"/>
      <c r="K3" s="350" t="s">
        <v>267</v>
      </c>
      <c r="L3" s="350"/>
      <c r="M3" s="350"/>
      <c r="N3" s="64"/>
      <c r="O3" s="64"/>
      <c r="P3" s="64"/>
      <c r="Q3" s="64"/>
      <c r="R3" s="350" t="s">
        <v>268</v>
      </c>
      <c r="S3" s="350"/>
      <c r="T3" s="350"/>
      <c r="U3" s="350"/>
      <c r="V3" s="350"/>
      <c r="W3" s="350"/>
      <c r="X3" s="350" t="s">
        <v>269</v>
      </c>
      <c r="Y3" s="350"/>
      <c r="Z3" s="350"/>
      <c r="AA3" s="350"/>
      <c r="AB3" s="350" t="s">
        <v>275</v>
      </c>
      <c r="AC3" s="350"/>
      <c r="AD3" s="350"/>
      <c r="AE3" s="350"/>
      <c r="AF3" s="350"/>
      <c r="AG3" s="350"/>
      <c r="AH3" s="350"/>
      <c r="AI3" s="350"/>
      <c r="AJ3" s="350"/>
      <c r="AK3" s="88"/>
      <c r="AL3" s="88"/>
      <c r="AM3" s="88"/>
      <c r="AN3" s="88"/>
      <c r="AO3" s="88"/>
      <c r="AP3" s="51"/>
      <c r="AQ3" s="88"/>
      <c r="AR3" s="88"/>
      <c r="AS3" s="88"/>
      <c r="AT3" s="88"/>
      <c r="AU3" s="350" t="s">
        <v>347</v>
      </c>
      <c r="AV3" s="350"/>
      <c r="AW3" s="350"/>
      <c r="AX3" s="350"/>
      <c r="AY3" s="350"/>
      <c r="AZ3" s="350"/>
      <c r="BA3" s="350"/>
      <c r="BB3" s="350"/>
      <c r="BC3" s="350"/>
      <c r="BD3" s="350"/>
      <c r="BE3" s="51"/>
      <c r="BF3" s="51"/>
      <c r="BG3" s="51"/>
      <c r="BH3" s="51"/>
      <c r="BI3" s="51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</row>
    <row r="4" spans="1:84" s="29" customFormat="1" ht="35.25" customHeight="1" x14ac:dyDescent="0.3">
      <c r="A4" s="47" t="s">
        <v>5</v>
      </c>
      <c r="B4" s="47" t="s">
        <v>6</v>
      </c>
      <c r="C4" s="47" t="s">
        <v>7</v>
      </c>
      <c r="D4" s="47" t="s">
        <v>2</v>
      </c>
      <c r="E4" s="48" t="s">
        <v>3</v>
      </c>
      <c r="F4" s="48" t="s">
        <v>452</v>
      </c>
      <c r="G4" s="47" t="s">
        <v>329</v>
      </c>
      <c r="H4" s="47" t="s">
        <v>429</v>
      </c>
      <c r="I4" s="47" t="s">
        <v>333</v>
      </c>
      <c r="J4" s="47" t="s">
        <v>370</v>
      </c>
      <c r="K4" s="49" t="s">
        <v>181</v>
      </c>
      <c r="L4" s="49" t="s">
        <v>183</v>
      </c>
      <c r="M4" s="49" t="s">
        <v>182</v>
      </c>
      <c r="N4" s="49" t="s">
        <v>348</v>
      </c>
      <c r="O4" s="49" t="s">
        <v>349</v>
      </c>
      <c r="P4" s="49" t="s">
        <v>350</v>
      </c>
      <c r="Q4" s="49" t="s">
        <v>351</v>
      </c>
      <c r="R4" s="50" t="s">
        <v>190</v>
      </c>
      <c r="S4" s="50" t="s">
        <v>191</v>
      </c>
      <c r="T4" s="50" t="s">
        <v>327</v>
      </c>
      <c r="U4" s="50" t="s">
        <v>194</v>
      </c>
      <c r="V4" s="50" t="s">
        <v>193</v>
      </c>
      <c r="W4" s="50" t="s">
        <v>184</v>
      </c>
      <c r="X4" s="50" t="s">
        <v>185</v>
      </c>
      <c r="Y4" s="50" t="s">
        <v>186</v>
      </c>
      <c r="Z4" s="50" t="s">
        <v>187</v>
      </c>
      <c r="AA4" s="49" t="s">
        <v>369</v>
      </c>
      <c r="AB4" s="49" t="s">
        <v>265</v>
      </c>
      <c r="AC4" s="49" t="s">
        <v>266</v>
      </c>
      <c r="AD4" s="49" t="s">
        <v>270</v>
      </c>
      <c r="AE4" s="49" t="s">
        <v>274</v>
      </c>
      <c r="AF4" s="49" t="s">
        <v>188</v>
      </c>
      <c r="AG4" s="49" t="s">
        <v>189</v>
      </c>
      <c r="AH4" s="49" t="s">
        <v>336</v>
      </c>
      <c r="AI4" s="49" t="s">
        <v>410</v>
      </c>
      <c r="AJ4" s="49" t="s">
        <v>276</v>
      </c>
      <c r="AK4" s="49" t="s">
        <v>277</v>
      </c>
      <c r="AL4" s="49" t="s">
        <v>331</v>
      </c>
      <c r="AM4" s="49" t="s">
        <v>278</v>
      </c>
      <c r="AN4" s="49" t="s">
        <v>330</v>
      </c>
      <c r="AO4" s="49" t="s">
        <v>279</v>
      </c>
      <c r="AP4" s="49" t="s">
        <v>422</v>
      </c>
      <c r="AQ4" s="49" t="s">
        <v>280</v>
      </c>
      <c r="AR4" s="49" t="s">
        <v>281</v>
      </c>
      <c r="AS4" s="49" t="s">
        <v>282</v>
      </c>
      <c r="AT4" s="49" t="s">
        <v>192</v>
      </c>
      <c r="AU4" s="49" t="s">
        <v>337</v>
      </c>
      <c r="AV4" s="49" t="s">
        <v>338</v>
      </c>
      <c r="AW4" s="49" t="s">
        <v>339</v>
      </c>
      <c r="AX4" s="49" t="s">
        <v>340</v>
      </c>
      <c r="AY4" s="49" t="s">
        <v>341</v>
      </c>
      <c r="AZ4" s="49" t="s">
        <v>342</v>
      </c>
      <c r="BA4" s="49" t="s">
        <v>343</v>
      </c>
      <c r="BB4" s="49" t="s">
        <v>344</v>
      </c>
      <c r="BC4" s="49" t="s">
        <v>345</v>
      </c>
      <c r="BD4" s="49" t="s">
        <v>346</v>
      </c>
      <c r="BE4" s="49" t="s">
        <v>367</v>
      </c>
      <c r="BF4" s="74" t="s">
        <v>366</v>
      </c>
      <c r="BG4" s="49" t="s">
        <v>402</v>
      </c>
      <c r="BH4" s="47" t="s">
        <v>427</v>
      </c>
      <c r="BI4" s="90" t="s">
        <v>242</v>
      </c>
      <c r="BJ4" s="91" t="s">
        <v>500</v>
      </c>
      <c r="BK4" s="90" t="s">
        <v>409</v>
      </c>
      <c r="BL4" s="91" t="s">
        <v>335</v>
      </c>
      <c r="BM4" s="91" t="s">
        <v>411</v>
      </c>
      <c r="BN4" s="91" t="s">
        <v>412</v>
      </c>
      <c r="BO4" s="91" t="s">
        <v>420</v>
      </c>
      <c r="BP4" s="91" t="s">
        <v>421</v>
      </c>
      <c r="BQ4" s="91" t="s">
        <v>498</v>
      </c>
      <c r="BR4" s="91" t="s">
        <v>423</v>
      </c>
      <c r="BS4" s="90" t="s">
        <v>413</v>
      </c>
      <c r="BT4" s="91" t="s">
        <v>425</v>
      </c>
      <c r="BU4" s="91" t="s">
        <v>499</v>
      </c>
      <c r="BV4" s="90" t="s">
        <v>414</v>
      </c>
      <c r="BW4" s="49" t="s">
        <v>466</v>
      </c>
      <c r="BX4" s="49" t="s">
        <v>465</v>
      </c>
      <c r="BY4" s="49" t="s">
        <v>467</v>
      </c>
      <c r="BZ4" s="49" t="s">
        <v>497</v>
      </c>
      <c r="CA4" s="49" t="s">
        <v>495</v>
      </c>
      <c r="CB4" s="49" t="s">
        <v>496</v>
      </c>
      <c r="CC4" s="209" t="s">
        <v>494</v>
      </c>
      <c r="CD4" s="49" t="s">
        <v>502</v>
      </c>
      <c r="CE4" s="49" t="s">
        <v>503</v>
      </c>
      <c r="CF4" s="49" t="s">
        <v>504</v>
      </c>
    </row>
    <row r="5" spans="1:84" ht="16.5" customHeight="1" x14ac:dyDescent="0.25">
      <c r="A5" s="239">
        <v>1</v>
      </c>
      <c r="B5" s="240" t="str">
        <f>IFERROR(VLOOKUP(Tbl_planilla[ID PERSONAL],Tbl_personal[],2,0),"")</f>
        <v>Smith John</v>
      </c>
      <c r="C5" s="241" t="str">
        <f>IFERROR(VLOOKUP(Tbl_planilla[ID PERSONAL],Tbl_personal[],3,0),"")</f>
        <v>0001-1234</v>
      </c>
      <c r="D5" s="241" t="str">
        <f>IFERROR(VLOOKUP(Tbl_planilla[ID PERSONAL],Tbl_personal[],6,0),"")</f>
        <v>ADMINISTRACIÓN</v>
      </c>
      <c r="E5" s="242">
        <f>IFERROR(VLOOKUP(Tbl_planilla[ID PERSONAL],Tbl_personal[],12,0),"")</f>
        <v>43800</v>
      </c>
      <c r="F5" s="242">
        <f>IFERROR(VLOOKUP(Tbl_planilla[ID PERSONAL],Tbl_personal[],13,0),"")</f>
        <v>43830</v>
      </c>
      <c r="G5" s="241" t="str">
        <f>IFERROR(VLOOKUP(Tbl_planilla[ID PERSONAL],Tbl_personal[],11,0),"")</f>
        <v>SERVICIO PROFESIONAL</v>
      </c>
      <c r="H5" s="241" t="str">
        <f>IFERROR(VLOOKUP(Tbl_planilla[ID PERSONAL],Tbl_personal[],8,0),"")</f>
        <v>ADMINISTRACION_J1</v>
      </c>
      <c r="I5" s="241" t="str">
        <f>IFERROR(VLOOKUP(Tbl_planilla[ID PERSONAL],Tbl_personal[],14,0),"")</f>
        <v>ACH</v>
      </c>
      <c r="J5" s="241" t="str">
        <f>IFERROR(VLOOKUP(Tbl_planilla[ID PERSONAL],Tbl_personal[],9,0),"")</f>
        <v>NO</v>
      </c>
      <c r="K5" s="243">
        <f>IFERROR(VLOOKUP(Tbl_planilla[ID PERSONAL],Tbl_personal[],10,0),"")</f>
        <v>500</v>
      </c>
      <c r="L5" s="243">
        <f>IFERROR(Tbl_planilla[SALARIO BASICO MENSUAL]/2,0)</f>
        <v>250</v>
      </c>
      <c r="M5" s="243">
        <f>IFERROR(Tbl_planilla[[#This Row],[SALARIO BASICO MENSUAL]]/((VLOOKUP(Tbl_planilla[[#This Row],[JORNADA]],Tabla_Jornada[],10,0)*24)*#REF!),0)</f>
        <v>0</v>
      </c>
      <c r="N5" s="243">
        <f>Tbl_planilla[[#This Row],[SALARIO BASICO POR HORA]]*PARAMETROS!$AH$4</f>
        <v>0</v>
      </c>
      <c r="O5" s="243">
        <f>Tbl_planilla[[#This Row],[SALARIO BASICO POR HORA]]*PARAMETROS!$AH$4</f>
        <v>0</v>
      </c>
      <c r="P5" s="243">
        <f>Tbl_planilla[[#This Row],[SALARIO BASICO POR HORA]]*PARAMETROS!$AH$5</f>
        <v>0</v>
      </c>
      <c r="Q5" s="243">
        <f>Tbl_planilla[[#This Row],[SALARIO BASICO POR HORA]]*PARAMETROS!$AH$6</f>
        <v>0</v>
      </c>
      <c r="R5" s="244">
        <f>IFERROR(VLOOKUP(Tbl_planilla[ID PERSONAL],Tbl_horario[],202,0),0)</f>
        <v>0.35694444444444456</v>
      </c>
      <c r="S5" s="244">
        <f>IFERROR(IF(Tbl_horario[[#This Row],[ANULACIÓN DE HORAS EXTRAS]]="ANULADO",0,VLOOKUP(Tbl_planilla[ID PERSONAL],Tbl_horario[],204,0)),0)</f>
        <v>0</v>
      </c>
      <c r="T5" s="244">
        <f ca="1">IFERROR(VLOOKUP(Tbl_planilla[ID PERSONAL],Tbl_horario[],210,0),0)</f>
        <v>2.3611111111111249E-2</v>
      </c>
      <c r="U5" s="245">
        <f>IFERROR(VLOOKUP(Tbl_planilla[ID PERSONAL],Tbl_horario[],203,0),0)</f>
        <v>0.35694444444444456</v>
      </c>
      <c r="V5" s="245">
        <f>IFERROR(IF(Tbl_planilla[[#This Row],[CONTROL HORARIO]]="NO",0,IF(Tbl_planilla[[#This Row],[EXONERACIÓN DE HORAS RESTANTES]]="EXONERADO",0,VLOOKUP(Tbl_planilla[ID PERSONAL],Tbl_horario[],213,0))),0)</f>
        <v>0</v>
      </c>
      <c r="W5" s="246">
        <f>IFERROR(IF(Tbl_planilla[[#This Row],[ANULACIÓN DE HORAS EXTRAS]]="ANULADO",0,VLOOKUP(Tbl_planilla[ID PERSONAL],Tbl_horario[],206,0)),0)</f>
        <v>0</v>
      </c>
      <c r="X5" s="246">
        <f>IFERROR(IF(Tbl_planilla[[#This Row],[ANULACIÓN DE HORAS EXTRAS]]="ANULADO",0,VLOOKUP(Tbl_planilla[ID PERSONAL],Tbl_horario[],207,0)),0)</f>
        <v>0</v>
      </c>
      <c r="Y5" s="246">
        <f>IFERROR(IF(Tbl_planilla[[#This Row],[ANULACIÓN DE HORAS EXTRAS]]="ANULADO",0,VLOOKUP(Tbl_planilla[ID PERSONAL],Tbl_horario[],208,0)),0)</f>
        <v>0</v>
      </c>
      <c r="Z5" s="246">
        <f>IFERROR(IF(Tbl_planilla[[#This Row],[ANULACIÓN DE HORAS EXTRAS]]="ANULADO",0,VLOOKUP(Tbl_planilla[ID PERSONAL],Tbl_horario[],209,0)),0)</f>
        <v>0</v>
      </c>
      <c r="AA5" s="247">
        <f>Tbl_planilla[[#This Row],[SALARIO BASICO QUINCENAL]]</f>
        <v>250</v>
      </c>
      <c r="AB5" s="247">
        <f>IFERROR(Tbl_planilla[[#This Row],[TOTAL HORAS RESTANTES]]*Tbl_planilla[[#This Row],[SALARIO BASICO POR HORA]]*24,0)</f>
        <v>0</v>
      </c>
      <c r="AC5" s="247">
        <f>IF(Tbl_planilla[[#This Row],[CONTROL HORARIO]]="NO",Tbl_planilla[[#This Row],[SALARIO BASE QUINCENAL ]],IF(Tbl_planilla[[#This Row],[CONTROL HORARIO]]="SI",IF(Tbl_planilla[[#This Row],[EXONERACIÓN DE HORAS RESTANTES]]="EXONERADO",Tbl_planilla[[#This Row],[SALARIO BASE QUINCENAL ]],IF(Tbl_planilla[[#This Row],[TOTAL HORAS LABORADAS]]=0,0,Tbl_planilla[[#This Row],[SALARIO BASE QUINCENAL ]]-Tbl_planilla[[#This Row],[EGRESO HORAS RESTANTES]]))))</f>
        <v>250</v>
      </c>
      <c r="AD5" s="248">
        <f>Tbl_planilla[[#This Row],[H.E. DIURNAS]]*Tbl_planilla[[#This Row],[VALOR EXTRAS DIURNAS]]*24</f>
        <v>0</v>
      </c>
      <c r="AE5" s="248">
        <f>Tbl_planilla[[#This Row],[H.E. VESPERTINO 5-6]]*Tbl_planilla[[#This Row],[VALOR EXTRAS VESPERTINAS 5 - 6]]*24</f>
        <v>0</v>
      </c>
      <c r="AF5" s="248">
        <f>Tbl_planilla[[#This Row],[H.E. NOCTURNO 6-8]]*Tbl_planilla[[#This Row],[VALOR EXTRAS VESPERTINAS 6 - 8]]*24</f>
        <v>0</v>
      </c>
      <c r="AG5" s="248">
        <f>Tbl_planilla[[#This Row],[H.E. NOCTURNO 8+]]*Tbl_planilla[[#This Row],[VALOR EXTRAS NOCTUNAS 8 +]]*24</f>
        <v>0</v>
      </c>
      <c r="AH5" s="248">
        <f>SUMIFS(Tbl_Comision[COMISION],Tbl_Comision[ID PERSONAL],Tbl_planilla[[#This Row],[ID PERSONAL]],Tbl_Comision[QUINCENA DE CARGO],"&gt;="&amp;INICIO_QUINCENA,Tbl_Comision[QUINCENA DE CARGO],"&lt;="&amp;FINAL_QUINCENA)</f>
        <v>0</v>
      </c>
      <c r="AI5" s="249">
        <f>SUMIFS(Tbl_Ajuste[AJUSTE],Tbl_Ajuste[ID PERSONAL],Tbl_planilla[[#This Row],[ID PERSONAL]],Tbl_Ajuste[QUINCENA DE CARGO],"&gt;="&amp;INICIO_QUINCENA,Tbl_Ajuste[QUINCENA DE CARGO],"&lt;="&amp;FINAL_QUINCENA)</f>
        <v>0</v>
      </c>
      <c r="AJ5" s="248">
        <f>SUM(Tbl_planilla[[#This Row],[INGRESOS ORDINARIOS]:[AJUSTE SALARIAL]])</f>
        <v>250</v>
      </c>
      <c r="AK5" s="243" t="e">
        <f>SUMIFS(#REF!,#REF!,Tbl_planilla[[#This Row],[ID PERSONAL]],#REF!,PARAMETROS!$AN$11,#REF!,"&gt;="&amp;INICIO_QUINCENA,#REF!,"&lt;="&amp;FINAL_QUINCENA)</f>
        <v>#REF!</v>
      </c>
      <c r="AL5" s="243" t="e">
        <f>SUMIFS(#REF!,#REF!,Tbl_planilla[[#This Row],[ID PERSONAL]],#REF!,PARAMETROS!$AN$12,#REF!,"&gt;="&amp;INICIO_QUINCENA,#REF!,"&lt;="&amp;FINAL_QUINCENA)</f>
        <v>#REF!</v>
      </c>
      <c r="AM5" s="243" t="e">
        <f>SUMIFS(#REF!,#REF!,Tbl_planilla[[#This Row],[ID PERSONAL]],#REF!,PARAMETROS!$AN$13,#REF!,"&gt;="&amp;INICIO_QUINCENA,#REF!,"&lt;="&amp;FINAL_QUINCENA)</f>
        <v>#REF!</v>
      </c>
      <c r="AN5" s="243" t="e">
        <f>SUMIFS(#REF!,#REF!,Tbl_planilla[[#This Row],[ID PERSONAL]],#REF!,PARAMETROS!$AN$14,#REF!,"&gt;="&amp;INICIO_QUINCENA,#REF!,"&lt;="&amp;FINAL_QUINCENA)</f>
        <v>#REF!</v>
      </c>
      <c r="AO5" s="243" t="e">
        <f>SUMIFS(#REF!,#REF!,Tbl_planilla[[#This Row],[ID PERSONAL]],#REF!,PARAMETROS!$AN$15,#REF!,"&gt;="&amp;INICIO_QUINCENA,#REF!,"&lt;="&amp;FINAL_QUINCENA)</f>
        <v>#REF!</v>
      </c>
      <c r="AP5" s="243">
        <f>SUMIFS(Tbl_Viatico[VIATICO],Tbl_Viatico[ID PERSONAL],Tbl_planilla[[#This Row],[ID PERSONAL]],Tbl_Viatico[FECHA DE CARGO],"&gt;="&amp;INICIO_QUINCENA,Tbl_Viatico[FECHA DE CARGO],"&lt;="&amp;FINAL_QUINCENA)*-1</f>
        <v>0</v>
      </c>
      <c r="AQ5" s="243">
        <f>IFERROR((Tbl_planilla[[#This Row],[INGRESOS BRUTOS]])*EMPLEADO_SS,0)</f>
        <v>0</v>
      </c>
      <c r="AR5" s="243">
        <f>IFERROR((Tbl_planilla[[#This Row],[INGRESOS BRUTOS]])*EMPLEADO_SE,0)</f>
        <v>0</v>
      </c>
      <c r="AS5" s="243" t="e">
        <f>SUM(Tbl_planilla[[#This Row],[PRESTAMOS PERSONALES]:[SEGURO EDUCATIVO]])</f>
        <v>#REF!</v>
      </c>
      <c r="AT5" s="249" t="e">
        <f>ROUND(IF(Tbl_planilla[[#This Row],[INGRESOS BRUTOS]]-Tbl_planilla[[#This Row],[TOTAL DE DEDUCCIÓNES]]&lt;0,0,Tbl_planilla[[#This Row],[INGRESOS BRUTOS]]-Tbl_planilla[[#This Row],[TOTAL DE DEDUCCIÓNES]]),2)</f>
        <v>#REF!</v>
      </c>
      <c r="AU5" s="243" t="e">
        <f>SUMIFS(#REF!,#REF!,Tbl_planilla[[#This Row],[ID PERSONAL]],#REF!,C_PRESTAMOP,#REF!,ACTIVO)</f>
        <v>#REF!</v>
      </c>
      <c r="AV5" s="243" t="e">
        <f>CONCATENATE(SUMIFS(#REF!,#REF!,Tbl_planilla[[#This Row],[ID PERSONAL]],#REF!,C_PRESTAMOP,#REF!,ACTIVO),"/",SUMIFS(#REF!,#REF!,Tbl_planilla[[#This Row],[ID PERSONAL]],#REF!,C_PRESTAMOP,#REF!,ACTIVO))</f>
        <v>#REF!</v>
      </c>
      <c r="AW5" s="243" t="e">
        <f>SUMIFS(#REF!,#REF!,Tbl_planilla[[#This Row],[ID PERSONAL]],#REF!,C_PRESTAMOB,#REF!,ACTIVO)</f>
        <v>#REF!</v>
      </c>
      <c r="AX5" s="243" t="e">
        <f>CONCATENATE(SUMIFS(#REF!,#REF!,Tbl_planilla[[#This Row],[ID PERSONAL]],#REF!,C_PRESTAMOB,#REF!,ACTIVO),"/",SUMIFS(#REF!,#REF!,Tbl_planilla[[#This Row],[ID PERSONAL]],#REF!,C_PRESTAMOB,#REF!,ACTIVO))</f>
        <v>#REF!</v>
      </c>
      <c r="AY5" s="243" t="e">
        <f>SUMIFS(#REF!,#REF!,Tbl_planilla[[#This Row],[ID PERSONAL]],#REF!,C_VALE,#REF!,ACTIVO)</f>
        <v>#REF!</v>
      </c>
      <c r="AZ5" s="243" t="e">
        <f>CONCATENATE(SUMIFS(#REF!,#REF!,Tbl_planilla[[#This Row],[ID PERSONAL]],#REF!,C_VALE,#REF!,ACTIVO),"/",SUMIFS(#REF!,#REF!,Tbl_planilla[[#This Row],[ID PERSONAL]],#REF!,C_VALE,#REF!,ACTIVO))</f>
        <v>#REF!</v>
      </c>
      <c r="BA5" s="243" t="e">
        <f>SUMIFS(#REF!,#REF!,Tbl_planilla[[#This Row],[ID PERSONAL]],#REF!,C_VENTAF,#REF!,ACTIVO)</f>
        <v>#REF!</v>
      </c>
      <c r="BB5" s="243" t="e">
        <f>CONCATENATE(SUMIFS(#REF!,#REF!,Tbl_planilla[[#This Row],[ID PERSONAL]],#REF!,C_VENTAF,#REF!,ACTIVO),"/",SUMIFS(#REF!,#REF!,Tbl_planilla[[#This Row],[ID PERSONAL]],#REF!,C_VENTAF,#REF!,ACTIVO))</f>
        <v>#REF!</v>
      </c>
      <c r="BC5" s="243" t="e">
        <f>SUMIFS(#REF!,#REF!,Tbl_planilla[[#This Row],[ID PERSONAL]],#REF!,C_OTROSD,#REF!,ACTIVO)</f>
        <v>#REF!</v>
      </c>
      <c r="BD5" s="243" t="e">
        <f>CONCATENATE(SUMIFS(#REF!,#REF!,Tbl_planilla[[#This Row],[ID PERSONAL]],#REF!,C_OTROSD,#REF!,ACTIVO),"/",SUMIFS(#REF!,#REF!,Tbl_planilla[[#This Row],[ID PERSONAL]],#REF!,C_OTROSD,#REF!,ACTIVO))</f>
        <v>#REF!</v>
      </c>
      <c r="BE5" s="247" t="str">
        <f>IF(COUNTIFS(Tbl_Exonerar[ID PERSONAL],Tbl_planilla[[#This Row],[ID PERSONAL]],Tbl_Exonerar[QUINCENA DE EXONERACIÓN],"&gt;="&amp;INICIO_QUINCENA,Tbl_Exonerar[QUINCENA DE EXONERACIÓN],"&lt;="&amp;FINAL_QUINCENA)&gt;=1,"EXONERADO","")</f>
        <v/>
      </c>
      <c r="BF5" s="247" t="str">
        <f>IF(COUNTIFS(Tbl_Anular[ID PERSONAL],Tbl_planilla[[#This Row],[ID PERSONAL]],Tbl_Anular[QUINCENA DE ANULACIÓN],"&gt;="&amp;INICIO_QUINCENA,Tbl_Anular[QUINCENA DE ANULACIÓN],"&lt;="&amp;FINAL_QUINCENA)&gt;=1,"ANULADO","")</f>
        <v/>
      </c>
      <c r="BG5" s="247" t="str">
        <f>IFERROR(VLOOKUP(Tbl_planilla[ID PERSONAL],Tbl_personal[],14,0),"")</f>
        <v>ACH</v>
      </c>
      <c r="BH5" s="250" t="str">
        <f>IFERROR(VLOOKUP(Tbl_planilla[ID PERSONAL],Tbl_personal[],15,0),"")</f>
        <v>-</v>
      </c>
      <c r="BI5" s="251">
        <f>Tbl_planilla[[#This Row],[SALARIO BASE QUINCENAL ]]</f>
        <v>250</v>
      </c>
      <c r="BJ5" s="251">
        <f>Tbl_planilla[[#This Row],[EGRESO HORAS RESTANTES]]</f>
        <v>0</v>
      </c>
      <c r="BK5" s="251">
        <f>SUM(Tbl_planilla[[#This Row],[INGRESO H.E DIURNAS]:[INGRESO H.E. NOCTURNO 8+]])</f>
        <v>0</v>
      </c>
      <c r="BL5" s="92">
        <f>Tbl_planilla[[#This Row],[COMISIONES]]</f>
        <v>0</v>
      </c>
      <c r="BM5" s="251">
        <f>Tbl_planilla[[#This Row],[AJUSTE SALARIAL]]</f>
        <v>0</v>
      </c>
      <c r="BN5" s="251">
        <f>Tbl_planilla[[#This Row],[INGRESOS BRUTOS]]</f>
        <v>250</v>
      </c>
      <c r="BO5" s="251">
        <f>Tbl_planilla[[#This Row],[SEGURO SOCIAL]]</f>
        <v>0</v>
      </c>
      <c r="BP5" s="251">
        <f>Tbl_planilla[[#This Row],[SEGURO EDUCATIVO]]</f>
        <v>0</v>
      </c>
      <c r="BQ5" s="251" t="e">
        <f>Tbl_planilla[[#This Row],[PRESTAMOS BANCARIOS]]</f>
        <v>#REF!</v>
      </c>
      <c r="BR5" s="251" t="e">
        <f>SUM(Tbl_planilla[[#This Row],[VALES]],Tbl_planilla[[#This Row],[OTRAS DEDUCCIONES]])</f>
        <v>#REF!</v>
      </c>
      <c r="BS5" s="251" t="e">
        <f>SUM(Tbl_planilla[[#This Row],[VENTAS FLORENCIA]],Tbl_planilla[[#This Row],[PRESTAMOS PERSONALES]])</f>
        <v>#REF!</v>
      </c>
      <c r="BT5" s="251">
        <f>Tbl_planilla[[#This Row],[VIATICO PERSONAL]]</f>
        <v>0</v>
      </c>
      <c r="BU5" s="251" t="e">
        <f>Tbl_planilla[[#This Row],[TOTAL DE DEDUCCIÓNES]]</f>
        <v>#REF!</v>
      </c>
      <c r="BV5" s="251" t="e">
        <f>ROUND(Tbl_planilla[[#This Row],[INGRESOS NETOS]],2)</f>
        <v>#REF!</v>
      </c>
      <c r="BW5" s="251">
        <f>Tbl_planilla[[#This Row],[INGRESOS BRUTOS]]/12</f>
        <v>20.833333333333332</v>
      </c>
      <c r="BX5" s="251" t="e">
        <f>Tbl_planilla[[#This Row],[DECIMO QUINCENAL]]*EMPLEADO_DTM</f>
        <v>#REF!</v>
      </c>
      <c r="BY5" s="251" t="e">
        <f>Tbl_planilla[[#This Row],[DECIMO QUINCENAL]]-Tbl_planilla[[#This Row],[SEGURO SOCIAL DECIMO]]</f>
        <v>#REF!</v>
      </c>
      <c r="BZ5" s="251">
        <f>Tbl_planilla[[#This Row],[SALARIO BRUTO]]/11</f>
        <v>22.727272727272727</v>
      </c>
      <c r="CA5" s="251">
        <f>Tbl_planilla[[#This Row],[SEGURO SOCIAL]]/11</f>
        <v>0</v>
      </c>
      <c r="CB5" s="251">
        <f>Tbl_planilla[[#This Row],[S.E]]/11</f>
        <v>0</v>
      </c>
      <c r="CC5" s="251">
        <f>Tbl_planilla[[#This Row],[VACACION QUINCENAL]]-Tbl_planilla[[#This Row],[S.S. VACACION]]</f>
        <v>22.727272727272727</v>
      </c>
      <c r="CD5" s="251">
        <f>Tbl_planilla[[#This Row],[VACACION QUINCENAL]]/12</f>
        <v>1.8939393939393938</v>
      </c>
      <c r="CE5" s="251" t="e">
        <f>Tbl_planilla[[#This Row],[DECIMO VACACION]]*EMPLEADO_DTM</f>
        <v>#REF!</v>
      </c>
      <c r="CF5" s="251" t="e">
        <f>Tbl_planilla[[#This Row],[DECIMO VACACION]]-Tbl_planilla[[#This Row],[SEGURO SOCIAL DECIMO VACACION]]</f>
        <v>#REF!</v>
      </c>
    </row>
    <row r="6" spans="1:84" ht="16.5" customHeight="1" x14ac:dyDescent="0.3">
      <c r="A6" s="27"/>
      <c r="B6" s="2">
        <f>SUBTOTAL(103,Tbl_planilla[NOMBRE DEL COLABORADOR])</f>
        <v>1</v>
      </c>
      <c r="C6" s="2"/>
      <c r="D6" s="2"/>
      <c r="E6" s="2"/>
      <c r="F6" s="259"/>
      <c r="G6" s="2"/>
      <c r="H6" s="2"/>
      <c r="I6" s="2"/>
      <c r="J6" s="2"/>
      <c r="K6" s="2"/>
      <c r="L6" s="2"/>
      <c r="M6" s="2"/>
      <c r="N6" s="260"/>
      <c r="O6" s="260"/>
      <c r="P6" s="260"/>
      <c r="Q6" s="260"/>
      <c r="R6" s="2"/>
      <c r="S6" s="2"/>
      <c r="T6" s="2"/>
      <c r="U6" s="2"/>
      <c r="V6" s="2"/>
      <c r="W6" s="2"/>
      <c r="X6" s="2"/>
      <c r="Y6" s="2"/>
      <c r="Z6" s="2"/>
      <c r="AA6" s="260">
        <f>SUBTOTAL(109,Tbl_planilla[[SALARIO BASE QUINCENAL ]])</f>
        <v>250</v>
      </c>
      <c r="AB6" s="260"/>
      <c r="AC6" s="260">
        <f>SUBTOTAL(109,Tbl_planilla[INGRESOS ORDINARIOS])</f>
        <v>250</v>
      </c>
      <c r="AD6" s="260"/>
      <c r="AE6" s="260"/>
      <c r="AF6" s="260"/>
      <c r="AG6" s="269"/>
      <c r="AH6" s="269"/>
      <c r="AI6" s="269"/>
      <c r="AJ6" s="270">
        <f>SUBTOTAL(109,Tbl_planilla[INGRESOS BRUTOS])</f>
        <v>250</v>
      </c>
      <c r="AK6" s="269"/>
      <c r="AL6" s="269"/>
      <c r="AM6" s="269"/>
      <c r="AN6" s="269"/>
      <c r="AO6" s="269"/>
      <c r="AP6" s="269"/>
      <c r="AQ6" s="269"/>
      <c r="AR6" s="269"/>
      <c r="AS6" s="269"/>
      <c r="AT6" s="270" t="e">
        <f>SUBTOTAL(109,Tbl_planilla[INGRESOS NETOS])</f>
        <v>#REF!</v>
      </c>
      <c r="AU6" s="270" t="e">
        <f>SUBTOTAL(109,Tbl_planilla[[SALDO PRESTAMO PERSONAL ]])</f>
        <v>#REF!</v>
      </c>
      <c r="AV6" s="270" t="e">
        <f>SUBTOTAL(109,Tbl_planilla[[ CUOTAS PRESTAMO PERSONAL ]])</f>
        <v>#REF!</v>
      </c>
      <c r="AW6" s="270" t="e">
        <f>SUBTOTAL(109,Tbl_planilla[[ SALDO PRESTAMO BANCARIO ]])</f>
        <v>#REF!</v>
      </c>
      <c r="AX6" s="270" t="e">
        <f>SUBTOTAL(109,Tbl_planilla[[ CUOTA PRESTAMO BANCARIO ]])</f>
        <v>#REF!</v>
      </c>
      <c r="AY6" s="270" t="e">
        <f>SUBTOTAL(109,Tbl_planilla[[ SALDO VALE ]])</f>
        <v>#REF!</v>
      </c>
      <c r="AZ6" s="270" t="e">
        <f>SUBTOTAL(109,Tbl_planilla[[ CUOTA VALE ]])</f>
        <v>#REF!</v>
      </c>
      <c r="BA6" s="270" t="e">
        <f>SUBTOTAL(109,Tbl_planilla[[ SALDO VENTA FLORENCIA ]])</f>
        <v>#REF!</v>
      </c>
      <c r="BB6" s="270" t="e">
        <f>SUBTOTAL(109,Tbl_planilla[[ CUOTA VENTA FLORENCIA ]])</f>
        <v>#REF!</v>
      </c>
      <c r="BC6" s="270" t="e">
        <f>SUBTOTAL(109,Tbl_planilla[[ SALDO OTRAS DEDUCCIONES ]])</f>
        <v>#REF!</v>
      </c>
      <c r="BD6" s="270" t="e">
        <f>SUBTOTAL(109,Tbl_planilla[[ CUOTA OTRAS DEDUCCIONES ]])</f>
        <v>#REF!</v>
      </c>
      <c r="BE6" s="269"/>
      <c r="BF6" s="269"/>
      <c r="BG6" s="269"/>
      <c r="BH6" s="269"/>
      <c r="BI6" s="271">
        <f>SUBTOTAL(109,Tbl_planilla[SALARIO])</f>
        <v>250</v>
      </c>
      <c r="BJ6" s="271">
        <f>SUBTOTAL(109,Tbl_planilla[AUSENCIA/ TARDANZA])</f>
        <v>0</v>
      </c>
      <c r="BK6" s="271">
        <f>SUBTOTAL(109,Tbl_planilla[SOBRE TIEMPO])</f>
        <v>0</v>
      </c>
      <c r="BL6" s="271">
        <f>SUBTOTAL(109,Tbl_planilla[COMISION])</f>
        <v>0</v>
      </c>
      <c r="BM6" s="271">
        <f>SUBTOTAL(109,Tbl_planilla[AJUSTE])</f>
        <v>0</v>
      </c>
      <c r="BN6" s="271">
        <f>SUBTOTAL(109,Tbl_planilla[SALARIO BRUTO])</f>
        <v>250</v>
      </c>
      <c r="BO6" s="271">
        <f>SUBTOTAL(109,Tbl_planilla[S.S])</f>
        <v>0</v>
      </c>
      <c r="BP6" s="271">
        <f>SUBTOTAL(109,Tbl_planilla[S.E])</f>
        <v>0</v>
      </c>
      <c r="BQ6" s="271" t="e">
        <f>SUBTOTAL(109,Tbl_planilla[PRESTAMO])</f>
        <v>#REF!</v>
      </c>
      <c r="BR6" s="271" t="e">
        <f>SUBTOTAL(109,Tbl_planilla[VALES/ OTROS])</f>
        <v>#REF!</v>
      </c>
      <c r="BS6" s="271" t="e">
        <f>SUBTOTAL(109,Tbl_planilla[CUENTAS F.I.S.A])</f>
        <v>#REF!</v>
      </c>
      <c r="BT6" s="271">
        <f>SUBTOTAL(109,Tbl_planilla[VIATICO])</f>
        <v>0</v>
      </c>
      <c r="BU6" s="271" t="e">
        <f>SUBTOTAL(109,Tbl_planilla[TOTAL DEDUCCION])</f>
        <v>#REF!</v>
      </c>
      <c r="BV6" s="270" t="e">
        <f>SUBTOTAL(109,Tbl_planilla[SALARIO NETO])</f>
        <v>#REF!</v>
      </c>
      <c r="BW6" s="269"/>
      <c r="BX6" s="269"/>
      <c r="CA6" s="94">
        <f>SUBTOTAL(109,Tbl_planilla[S.S. VACACION])</f>
        <v>0</v>
      </c>
      <c r="CB6" s="94"/>
    </row>
  </sheetData>
  <sheetProtection algorithmName="SHA-512" hashValue="4iDwVSuxVbsAWtMjMWYmGyneZiwU0YkiU9ZsFFNLl2G4hpeQqajR00cngMokseT3rwBJqUAwLyLjgiled2XlRg==" saltValue="3hT3S1vjtrI3xK7A8B0lUA==" spinCount="100000" sheet="1" objects="1" scenarios="1"/>
  <mergeCells count="5">
    <mergeCell ref="AU3:BD3"/>
    <mergeCell ref="AB3:AJ3"/>
    <mergeCell ref="K3:M3"/>
    <mergeCell ref="R3:W3"/>
    <mergeCell ref="X3:AA3"/>
  </mergeCells>
  <pageMargins left="0.7" right="0.7" top="0.75" bottom="0.75" header="0.3" footer="0.3"/>
  <pageSetup orientation="portrait" horizontalDpi="4294967293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-0.249977111117893"/>
    <pageSetUpPr fitToPage="1"/>
  </sheetPr>
  <dimension ref="A1:R500"/>
  <sheetViews>
    <sheetView showGridLines="0" zoomScale="90" zoomScaleNormal="90" workbookViewId="0">
      <selection sqref="A1:R1"/>
    </sheetView>
  </sheetViews>
  <sheetFormatPr baseColWidth="10" defaultColWidth="11.44140625" defaultRowHeight="12" x14ac:dyDescent="0.3"/>
  <cols>
    <col min="1" max="1" width="7.77734375" style="274" customWidth="1"/>
    <col min="2" max="2" width="51.5546875" style="81" customWidth="1"/>
    <col min="3" max="4" width="11.44140625" style="274"/>
    <col min="5" max="16384" width="11.44140625" style="81"/>
  </cols>
  <sheetData>
    <row r="1" spans="1:18" ht="25.05" customHeight="1" thickBot="1" x14ac:dyDescent="0.35">
      <c r="A1" s="351" t="s">
        <v>554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25.05" customHeight="1" thickBot="1" x14ac:dyDescent="0.35">
      <c r="A2" s="82" t="s">
        <v>205</v>
      </c>
      <c r="B2" s="83" t="s">
        <v>416</v>
      </c>
      <c r="C2" s="210" t="s">
        <v>402</v>
      </c>
      <c r="D2" s="83" t="s">
        <v>427</v>
      </c>
      <c r="E2" s="96" t="s">
        <v>242</v>
      </c>
      <c r="F2" s="96" t="s">
        <v>500</v>
      </c>
      <c r="G2" s="96" t="s">
        <v>409</v>
      </c>
      <c r="H2" s="96" t="s">
        <v>335</v>
      </c>
      <c r="I2" s="96" t="s">
        <v>411</v>
      </c>
      <c r="J2" s="96" t="s">
        <v>412</v>
      </c>
      <c r="K2" s="96" t="s">
        <v>420</v>
      </c>
      <c r="L2" s="96" t="s">
        <v>421</v>
      </c>
      <c r="M2" s="96" t="s">
        <v>498</v>
      </c>
      <c r="N2" s="96" t="s">
        <v>423</v>
      </c>
      <c r="O2" s="96" t="s">
        <v>413</v>
      </c>
      <c r="P2" s="96" t="s">
        <v>425</v>
      </c>
      <c r="Q2" s="96" t="s">
        <v>499</v>
      </c>
      <c r="R2" s="215" t="s">
        <v>414</v>
      </c>
    </row>
    <row r="3" spans="1:18" ht="19.95" customHeight="1" thickBot="1" x14ac:dyDescent="0.35">
      <c r="A3" s="292">
        <v>1</v>
      </c>
      <c r="B3" s="293" t="s">
        <v>524</v>
      </c>
      <c r="C3" s="290" t="s">
        <v>354</v>
      </c>
      <c r="D3" s="289" t="s">
        <v>355</v>
      </c>
      <c r="E3" s="291">
        <v>250</v>
      </c>
      <c r="F3" s="291">
        <v>0</v>
      </c>
      <c r="G3" s="291">
        <v>0</v>
      </c>
      <c r="H3" s="291">
        <v>0</v>
      </c>
      <c r="I3" s="291">
        <v>0</v>
      </c>
      <c r="J3" s="291">
        <v>250</v>
      </c>
      <c r="K3" s="291">
        <v>0</v>
      </c>
      <c r="L3" s="291">
        <v>0</v>
      </c>
      <c r="M3" s="291" t="e">
        <v>#REF!</v>
      </c>
      <c r="N3" s="291" t="e">
        <v>#REF!</v>
      </c>
      <c r="O3" s="291" t="e">
        <v>#REF!</v>
      </c>
      <c r="P3" s="291">
        <v>0</v>
      </c>
      <c r="Q3" s="291" t="e">
        <v>#REF!</v>
      </c>
      <c r="R3" s="294" t="e">
        <v>#REF!</v>
      </c>
    </row>
    <row r="4" spans="1:18" ht="19.95" customHeight="1" thickBot="1" x14ac:dyDescent="0.35">
      <c r="A4" s="352" t="s">
        <v>519</v>
      </c>
      <c r="B4" s="353"/>
      <c r="C4" s="354"/>
      <c r="D4" s="211">
        <v>1</v>
      </c>
      <c r="E4" s="97">
        <v>250</v>
      </c>
      <c r="F4" s="97">
        <v>0</v>
      </c>
      <c r="G4" s="97">
        <v>0</v>
      </c>
      <c r="H4" s="97">
        <v>0</v>
      </c>
      <c r="I4" s="97">
        <v>0</v>
      </c>
      <c r="J4" s="97">
        <v>250</v>
      </c>
      <c r="K4" s="97">
        <v>0</v>
      </c>
      <c r="L4" s="97">
        <v>0</v>
      </c>
      <c r="M4" s="97" t="e">
        <v>#REF!</v>
      </c>
      <c r="N4" s="97" t="e">
        <v>#REF!</v>
      </c>
      <c r="O4" s="97" t="e">
        <v>#REF!</v>
      </c>
      <c r="P4" s="97">
        <v>0</v>
      </c>
      <c r="Q4" s="97" t="e">
        <v>#REF!</v>
      </c>
      <c r="R4" s="227" t="e">
        <v>#REF!</v>
      </c>
    </row>
    <row r="5" spans="1:18" ht="19.95" customHeight="1" x14ac:dyDescent="0.3"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</row>
    <row r="6" spans="1:18" ht="19.95" customHeight="1" x14ac:dyDescent="0.3"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</row>
    <row r="7" spans="1:18" ht="19.95" customHeight="1" x14ac:dyDescent="0.3"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</row>
    <row r="8" spans="1:18" ht="19.95" customHeight="1" x14ac:dyDescent="0.3"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</row>
    <row r="9" spans="1:18" ht="19.95" customHeight="1" x14ac:dyDescent="0.3"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</row>
    <row r="10" spans="1:18" ht="19.95" customHeight="1" x14ac:dyDescent="0.3"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</row>
    <row r="11" spans="1:18" ht="19.95" customHeight="1" x14ac:dyDescent="0.3"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</row>
    <row r="12" spans="1:18" ht="19.95" customHeight="1" x14ac:dyDescent="0.3"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</row>
    <row r="13" spans="1:18" ht="19.95" customHeight="1" x14ac:dyDescent="0.3"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</row>
    <row r="14" spans="1:18" ht="19.95" customHeight="1" x14ac:dyDescent="0.3"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</row>
    <row r="15" spans="1:18" ht="19.95" customHeight="1" x14ac:dyDescent="0.3"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</row>
    <row r="16" spans="1:18" ht="19.95" customHeight="1" x14ac:dyDescent="0.3"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</row>
    <row r="17" spans="6:18" ht="19.95" customHeight="1" x14ac:dyDescent="0.3"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</row>
    <row r="18" spans="6:18" ht="19.95" customHeight="1" x14ac:dyDescent="0.3"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</row>
    <row r="19" spans="6:18" ht="19.95" customHeight="1" x14ac:dyDescent="0.3"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</row>
    <row r="20" spans="6:18" ht="19.95" customHeight="1" x14ac:dyDescent="0.3"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</row>
    <row r="21" spans="6:18" ht="19.95" customHeight="1" x14ac:dyDescent="0.3"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</row>
    <row r="22" spans="6:18" ht="19.95" customHeight="1" x14ac:dyDescent="0.3"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</row>
    <row r="23" spans="6:18" ht="19.95" customHeight="1" x14ac:dyDescent="0.3"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</row>
    <row r="24" spans="6:18" ht="19.95" customHeight="1" x14ac:dyDescent="0.3"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</row>
    <row r="25" spans="6:18" ht="19.95" customHeight="1" x14ac:dyDescent="0.3"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</row>
    <row r="26" spans="6:18" ht="19.95" customHeight="1" x14ac:dyDescent="0.3"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</row>
    <row r="27" spans="6:18" ht="19.95" customHeight="1" x14ac:dyDescent="0.3"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</row>
    <row r="28" spans="6:18" ht="19.95" customHeight="1" x14ac:dyDescent="0.3"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</row>
    <row r="29" spans="6:18" ht="19.95" customHeight="1" x14ac:dyDescent="0.3"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</row>
    <row r="30" spans="6:18" ht="19.95" customHeight="1" x14ac:dyDescent="0.3"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</row>
    <row r="31" spans="6:18" ht="19.95" customHeight="1" x14ac:dyDescent="0.3"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</row>
    <row r="32" spans="6:18" ht="19.95" customHeight="1" x14ac:dyDescent="0.3"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</row>
    <row r="33" spans="6:18" ht="19.95" customHeight="1" x14ac:dyDescent="0.3"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</row>
    <row r="34" spans="6:18" ht="19.95" customHeight="1" x14ac:dyDescent="0.3"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</row>
    <row r="35" spans="6:18" ht="19.95" customHeight="1" x14ac:dyDescent="0.3"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</row>
    <row r="36" spans="6:18" ht="19.95" customHeight="1" x14ac:dyDescent="0.3"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</row>
    <row r="37" spans="6:18" ht="19.95" customHeight="1" x14ac:dyDescent="0.3"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</row>
    <row r="38" spans="6:18" ht="19.95" customHeight="1" x14ac:dyDescent="0.3"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</row>
    <row r="39" spans="6:18" ht="19.95" customHeight="1" x14ac:dyDescent="0.3"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</row>
    <row r="40" spans="6:18" ht="19.95" customHeight="1" x14ac:dyDescent="0.3"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</row>
    <row r="41" spans="6:18" ht="19.95" customHeight="1" x14ac:dyDescent="0.3"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  <row r="42" spans="6:18" ht="19.95" customHeight="1" x14ac:dyDescent="0.3"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</row>
    <row r="43" spans="6:18" ht="19.95" customHeight="1" x14ac:dyDescent="0.3"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6:18" ht="19.95" customHeight="1" x14ac:dyDescent="0.3"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  <row r="45" spans="6:18" ht="19.95" customHeight="1" x14ac:dyDescent="0.3"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</row>
    <row r="46" spans="6:18" ht="19.95" customHeight="1" x14ac:dyDescent="0.3"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</row>
    <row r="47" spans="6:18" ht="19.95" customHeight="1" x14ac:dyDescent="0.3"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</row>
    <row r="48" spans="6:18" ht="19.95" customHeight="1" x14ac:dyDescent="0.3"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</row>
    <row r="49" spans="6:18" ht="19.95" customHeight="1" x14ac:dyDescent="0.3"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</row>
    <row r="50" spans="6:18" ht="19.95" customHeight="1" x14ac:dyDescent="0.3"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</row>
    <row r="51" spans="6:18" ht="19.95" customHeight="1" x14ac:dyDescent="0.3"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</row>
    <row r="52" spans="6:18" ht="19.95" customHeight="1" x14ac:dyDescent="0.3"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</row>
    <row r="53" spans="6:18" ht="19.95" customHeight="1" x14ac:dyDescent="0.3"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</row>
    <row r="54" spans="6:18" ht="19.95" customHeight="1" x14ac:dyDescent="0.3"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</row>
    <row r="55" spans="6:18" ht="19.95" customHeight="1" x14ac:dyDescent="0.3"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</row>
    <row r="56" spans="6:18" ht="19.95" customHeight="1" x14ac:dyDescent="0.3"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</row>
    <row r="57" spans="6:18" ht="19.95" customHeight="1" x14ac:dyDescent="0.3"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</row>
    <row r="58" spans="6:18" ht="19.95" customHeight="1" x14ac:dyDescent="0.3"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</row>
    <row r="59" spans="6:18" ht="19.95" customHeight="1" x14ac:dyDescent="0.3"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</row>
    <row r="60" spans="6:18" ht="19.95" customHeight="1" x14ac:dyDescent="0.3"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</row>
    <row r="61" spans="6:18" ht="19.95" customHeight="1" x14ac:dyDescent="0.3"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</row>
    <row r="62" spans="6:18" ht="19.95" customHeight="1" x14ac:dyDescent="0.3"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</row>
    <row r="63" spans="6:18" ht="19.95" customHeight="1" x14ac:dyDescent="0.3"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</row>
    <row r="64" spans="6:18" ht="19.95" customHeight="1" x14ac:dyDescent="0.3"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</row>
    <row r="65" spans="6:18" ht="19.95" customHeight="1" x14ac:dyDescent="0.3"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</row>
    <row r="66" spans="6:18" ht="19.95" customHeight="1" x14ac:dyDescent="0.3"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</row>
    <row r="67" spans="6:18" ht="19.95" customHeight="1" x14ac:dyDescent="0.3"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</row>
    <row r="68" spans="6:18" ht="19.95" customHeight="1" x14ac:dyDescent="0.3"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</row>
    <row r="69" spans="6:18" ht="19.95" customHeight="1" x14ac:dyDescent="0.3"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</row>
    <row r="70" spans="6:18" ht="19.95" customHeight="1" x14ac:dyDescent="0.3"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</row>
    <row r="71" spans="6:18" ht="19.95" customHeight="1" x14ac:dyDescent="0.3"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</row>
    <row r="72" spans="6:18" ht="19.95" customHeight="1" x14ac:dyDescent="0.3"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</row>
    <row r="73" spans="6:18" ht="19.95" customHeight="1" x14ac:dyDescent="0.3"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</row>
    <row r="74" spans="6:18" ht="19.95" customHeight="1" x14ac:dyDescent="0.3"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</row>
    <row r="75" spans="6:18" ht="19.95" customHeight="1" x14ac:dyDescent="0.3"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</row>
    <row r="76" spans="6:18" ht="19.95" customHeight="1" x14ac:dyDescent="0.3"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</row>
    <row r="77" spans="6:18" ht="19.95" customHeight="1" x14ac:dyDescent="0.3"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</row>
    <row r="78" spans="6:18" ht="19.95" customHeight="1" x14ac:dyDescent="0.3"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</row>
    <row r="79" spans="6:18" ht="19.95" customHeight="1" x14ac:dyDescent="0.3"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</row>
    <row r="80" spans="6:18" ht="19.95" customHeight="1" x14ac:dyDescent="0.3"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</row>
    <row r="81" spans="6:18" ht="19.95" customHeight="1" x14ac:dyDescent="0.3"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</row>
    <row r="82" spans="6:18" ht="19.95" customHeight="1" x14ac:dyDescent="0.3"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</row>
    <row r="83" spans="6:18" ht="19.95" customHeight="1" x14ac:dyDescent="0.3"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</row>
    <row r="84" spans="6:18" ht="19.95" customHeight="1" x14ac:dyDescent="0.3"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</row>
    <row r="85" spans="6:18" ht="19.95" customHeight="1" x14ac:dyDescent="0.3"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</row>
    <row r="86" spans="6:18" ht="19.95" customHeight="1" x14ac:dyDescent="0.3"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</row>
    <row r="87" spans="6:18" ht="19.95" customHeight="1" x14ac:dyDescent="0.3"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</row>
    <row r="88" spans="6:18" ht="19.95" customHeight="1" x14ac:dyDescent="0.3"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</row>
    <row r="89" spans="6:18" ht="19.95" customHeight="1" x14ac:dyDescent="0.3"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</row>
    <row r="90" spans="6:18" ht="19.95" customHeight="1" x14ac:dyDescent="0.3"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</row>
    <row r="91" spans="6:18" ht="19.95" customHeight="1" x14ac:dyDescent="0.3"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</row>
    <row r="92" spans="6:18" ht="19.95" customHeight="1" x14ac:dyDescent="0.3"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</row>
    <row r="93" spans="6:18" ht="19.95" customHeight="1" x14ac:dyDescent="0.3"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</row>
    <row r="94" spans="6:18" ht="19.95" customHeight="1" x14ac:dyDescent="0.3"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</row>
    <row r="95" spans="6:18" ht="19.95" customHeight="1" x14ac:dyDescent="0.3"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</row>
    <row r="96" spans="6:18" ht="19.95" customHeight="1" x14ac:dyDescent="0.3"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</row>
    <row r="97" spans="6:18" ht="19.95" customHeight="1" x14ac:dyDescent="0.3"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</row>
    <row r="98" spans="6:18" ht="19.95" customHeight="1" x14ac:dyDescent="0.3"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</row>
    <row r="99" spans="6:18" ht="19.95" customHeight="1" x14ac:dyDescent="0.3"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</row>
    <row r="100" spans="6:18" ht="19.95" customHeight="1" x14ac:dyDescent="0.3"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</row>
    <row r="101" spans="6:18" ht="19.95" customHeight="1" x14ac:dyDescent="0.3"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</row>
    <row r="102" spans="6:18" ht="19.95" customHeight="1" x14ac:dyDescent="0.3"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</row>
    <row r="103" spans="6:18" ht="19.95" customHeight="1" x14ac:dyDescent="0.3"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</row>
    <row r="104" spans="6:18" ht="19.95" customHeight="1" x14ac:dyDescent="0.3"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</row>
    <row r="105" spans="6:18" ht="19.95" customHeight="1" x14ac:dyDescent="0.3"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</row>
    <row r="106" spans="6:18" ht="19.95" customHeight="1" x14ac:dyDescent="0.3"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</row>
    <row r="107" spans="6:18" ht="19.95" customHeight="1" x14ac:dyDescent="0.3"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</row>
    <row r="108" spans="6:18" ht="19.95" customHeight="1" x14ac:dyDescent="0.3"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</row>
    <row r="109" spans="6:18" ht="19.95" customHeight="1" x14ac:dyDescent="0.3"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</row>
    <row r="110" spans="6:18" ht="19.95" customHeight="1" x14ac:dyDescent="0.3"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</row>
    <row r="111" spans="6:18" ht="19.95" customHeight="1" x14ac:dyDescent="0.3"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</row>
    <row r="112" spans="6:18" ht="19.95" customHeight="1" x14ac:dyDescent="0.3"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</row>
    <row r="113" spans="6:18" ht="19.95" customHeight="1" x14ac:dyDescent="0.3"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</row>
    <row r="114" spans="6:18" ht="19.95" customHeight="1" x14ac:dyDescent="0.3"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</row>
    <row r="115" spans="6:18" ht="19.95" customHeight="1" x14ac:dyDescent="0.3"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</row>
    <row r="116" spans="6:18" ht="19.95" customHeight="1" x14ac:dyDescent="0.3"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</row>
    <row r="117" spans="6:18" ht="19.95" customHeight="1" x14ac:dyDescent="0.3"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</row>
    <row r="118" spans="6:18" ht="19.95" customHeight="1" x14ac:dyDescent="0.3"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</row>
    <row r="119" spans="6:18" ht="19.95" customHeight="1" x14ac:dyDescent="0.3"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</row>
    <row r="120" spans="6:18" ht="19.95" customHeight="1" x14ac:dyDescent="0.3"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</row>
    <row r="121" spans="6:18" ht="19.95" customHeight="1" x14ac:dyDescent="0.3"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</row>
    <row r="122" spans="6:18" ht="19.95" customHeight="1" x14ac:dyDescent="0.3"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</row>
    <row r="123" spans="6:18" ht="19.95" customHeight="1" x14ac:dyDescent="0.3"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</row>
    <row r="124" spans="6:18" ht="19.95" customHeight="1" x14ac:dyDescent="0.3"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</row>
    <row r="125" spans="6:18" ht="19.95" customHeight="1" x14ac:dyDescent="0.3"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</row>
    <row r="126" spans="6:18" ht="19.95" customHeight="1" x14ac:dyDescent="0.3"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</row>
    <row r="127" spans="6:18" ht="19.95" customHeight="1" x14ac:dyDescent="0.3"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</row>
    <row r="128" spans="6:18" ht="19.95" customHeight="1" x14ac:dyDescent="0.3"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</row>
    <row r="129" spans="6:18" ht="19.95" customHeight="1" x14ac:dyDescent="0.3"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</row>
    <row r="130" spans="6:18" ht="19.95" customHeight="1" x14ac:dyDescent="0.3"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</row>
    <row r="131" spans="6:18" ht="19.95" customHeight="1" x14ac:dyDescent="0.3"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</row>
    <row r="132" spans="6:18" ht="19.95" customHeight="1" x14ac:dyDescent="0.3"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</row>
    <row r="133" spans="6:18" ht="19.95" customHeight="1" x14ac:dyDescent="0.3"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</row>
    <row r="134" spans="6:18" ht="19.95" customHeight="1" x14ac:dyDescent="0.3"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</row>
    <row r="135" spans="6:18" ht="19.95" customHeight="1" x14ac:dyDescent="0.3"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</row>
    <row r="136" spans="6:18" ht="19.95" customHeight="1" x14ac:dyDescent="0.3"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</row>
    <row r="137" spans="6:18" ht="19.95" customHeight="1" x14ac:dyDescent="0.3"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</row>
    <row r="138" spans="6:18" ht="19.95" customHeight="1" x14ac:dyDescent="0.3"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</row>
    <row r="139" spans="6:18" ht="19.95" customHeight="1" x14ac:dyDescent="0.3"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</row>
    <row r="140" spans="6:18" ht="19.95" customHeight="1" x14ac:dyDescent="0.3"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</row>
    <row r="141" spans="6:18" ht="19.95" customHeight="1" x14ac:dyDescent="0.3"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</row>
    <row r="142" spans="6:18" ht="19.95" customHeight="1" x14ac:dyDescent="0.3"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</row>
    <row r="143" spans="6:18" ht="19.95" customHeight="1" x14ac:dyDescent="0.3"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</row>
    <row r="144" spans="6:18" ht="19.95" customHeight="1" x14ac:dyDescent="0.3"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</row>
    <row r="145" spans="6:18" ht="19.95" customHeight="1" x14ac:dyDescent="0.3"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</row>
    <row r="146" spans="6:18" ht="19.95" customHeight="1" x14ac:dyDescent="0.3"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</row>
    <row r="147" spans="6:18" ht="19.95" customHeight="1" x14ac:dyDescent="0.3"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</row>
    <row r="148" spans="6:18" ht="19.95" customHeight="1" x14ac:dyDescent="0.3"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</row>
    <row r="149" spans="6:18" ht="19.95" customHeight="1" x14ac:dyDescent="0.3"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</row>
    <row r="150" spans="6:18" ht="19.95" customHeight="1" x14ac:dyDescent="0.3"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</row>
    <row r="151" spans="6:18" ht="19.95" customHeight="1" x14ac:dyDescent="0.3"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</row>
    <row r="152" spans="6:18" ht="19.95" customHeight="1" x14ac:dyDescent="0.3"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</row>
    <row r="153" spans="6:18" ht="19.95" customHeight="1" x14ac:dyDescent="0.3"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</row>
    <row r="154" spans="6:18" ht="19.95" customHeight="1" x14ac:dyDescent="0.3"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</row>
    <row r="155" spans="6:18" ht="19.95" customHeight="1" x14ac:dyDescent="0.3"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</row>
    <row r="156" spans="6:18" ht="19.95" customHeight="1" x14ac:dyDescent="0.3"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</row>
    <row r="157" spans="6:18" ht="19.95" customHeight="1" x14ac:dyDescent="0.3"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</row>
    <row r="158" spans="6:18" ht="19.95" customHeight="1" x14ac:dyDescent="0.3"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</row>
    <row r="159" spans="6:18" ht="19.95" customHeight="1" x14ac:dyDescent="0.3"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</row>
    <row r="160" spans="6:18" ht="19.95" customHeight="1" x14ac:dyDescent="0.3"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</row>
    <row r="161" spans="6:18" ht="19.95" customHeight="1" x14ac:dyDescent="0.3"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</row>
    <row r="162" spans="6:18" ht="19.95" customHeight="1" x14ac:dyDescent="0.3"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</row>
    <row r="163" spans="6:18" ht="19.95" customHeight="1" x14ac:dyDescent="0.3"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</row>
    <row r="164" spans="6:18" ht="19.95" customHeight="1" x14ac:dyDescent="0.3"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</row>
    <row r="165" spans="6:18" ht="19.95" customHeight="1" x14ac:dyDescent="0.3"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</row>
    <row r="166" spans="6:18" ht="19.95" customHeight="1" x14ac:dyDescent="0.3"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</row>
    <row r="167" spans="6:18" ht="19.95" customHeight="1" x14ac:dyDescent="0.3"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</row>
    <row r="168" spans="6:18" ht="19.95" customHeight="1" x14ac:dyDescent="0.3"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</row>
    <row r="169" spans="6:18" ht="19.95" customHeight="1" x14ac:dyDescent="0.3"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</row>
    <row r="170" spans="6:18" ht="19.95" customHeight="1" x14ac:dyDescent="0.3"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</row>
    <row r="171" spans="6:18" ht="19.95" customHeight="1" x14ac:dyDescent="0.3"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</row>
    <row r="172" spans="6:18" ht="19.95" customHeight="1" x14ac:dyDescent="0.3"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</row>
    <row r="173" spans="6:18" ht="19.95" customHeight="1" x14ac:dyDescent="0.3"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</row>
    <row r="174" spans="6:18" ht="19.95" customHeight="1" x14ac:dyDescent="0.3"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</row>
    <row r="175" spans="6:18" ht="19.95" customHeight="1" x14ac:dyDescent="0.3"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</row>
    <row r="176" spans="6:18" ht="19.95" customHeight="1" x14ac:dyDescent="0.3"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</row>
    <row r="177" spans="6:18" ht="19.95" customHeight="1" x14ac:dyDescent="0.3"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</row>
    <row r="178" spans="6:18" ht="19.95" customHeight="1" x14ac:dyDescent="0.3"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</row>
    <row r="179" spans="6:18" ht="19.95" customHeight="1" x14ac:dyDescent="0.3"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</row>
    <row r="180" spans="6:18" ht="19.95" customHeight="1" x14ac:dyDescent="0.3"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</row>
    <row r="181" spans="6:18" ht="19.95" customHeight="1" x14ac:dyDescent="0.3"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</row>
    <row r="182" spans="6:18" ht="19.95" customHeight="1" x14ac:dyDescent="0.3"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</row>
    <row r="183" spans="6:18" ht="19.95" customHeight="1" x14ac:dyDescent="0.3"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</row>
    <row r="184" spans="6:18" ht="19.95" customHeight="1" x14ac:dyDescent="0.3"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</row>
    <row r="185" spans="6:18" ht="19.95" customHeight="1" x14ac:dyDescent="0.3"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</row>
    <row r="186" spans="6:18" ht="19.95" customHeight="1" x14ac:dyDescent="0.3"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</row>
    <row r="187" spans="6:18" ht="19.95" customHeight="1" x14ac:dyDescent="0.3"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</row>
    <row r="188" spans="6:18" ht="19.95" customHeight="1" x14ac:dyDescent="0.3"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</row>
    <row r="189" spans="6:18" ht="19.95" customHeight="1" x14ac:dyDescent="0.3"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</row>
    <row r="190" spans="6:18" ht="19.95" customHeight="1" x14ac:dyDescent="0.3"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</row>
    <row r="191" spans="6:18" ht="19.95" customHeight="1" x14ac:dyDescent="0.3"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</row>
    <row r="192" spans="6:18" ht="19.95" customHeight="1" x14ac:dyDescent="0.3"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</row>
    <row r="193" spans="6:18" ht="19.95" customHeight="1" x14ac:dyDescent="0.3"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</row>
    <row r="194" spans="6:18" ht="19.95" customHeight="1" x14ac:dyDescent="0.3"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</row>
    <row r="195" spans="6:18" ht="19.95" customHeight="1" x14ac:dyDescent="0.3"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</row>
    <row r="196" spans="6:18" ht="19.95" customHeight="1" x14ac:dyDescent="0.3"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</row>
    <row r="197" spans="6:18" ht="19.95" customHeight="1" x14ac:dyDescent="0.3"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</row>
    <row r="198" spans="6:18" ht="19.95" customHeight="1" x14ac:dyDescent="0.3"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</row>
    <row r="199" spans="6:18" ht="19.95" customHeight="1" x14ac:dyDescent="0.3"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</row>
    <row r="200" spans="6:18" ht="19.95" customHeight="1" x14ac:dyDescent="0.3"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</row>
    <row r="201" spans="6:18" ht="19.95" customHeight="1" x14ac:dyDescent="0.3"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</row>
    <row r="202" spans="6:18" ht="19.95" customHeight="1" x14ac:dyDescent="0.3"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</row>
    <row r="203" spans="6:18" ht="19.95" customHeight="1" x14ac:dyDescent="0.3"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</row>
    <row r="204" spans="6:18" ht="19.95" customHeight="1" x14ac:dyDescent="0.3"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</row>
    <row r="205" spans="6:18" ht="19.95" customHeight="1" x14ac:dyDescent="0.3"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</row>
    <row r="206" spans="6:18" ht="19.95" customHeight="1" x14ac:dyDescent="0.3"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</row>
    <row r="207" spans="6:18" ht="19.95" customHeight="1" x14ac:dyDescent="0.3"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</row>
    <row r="208" spans="6:18" ht="19.95" customHeight="1" x14ac:dyDescent="0.3"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</row>
    <row r="209" spans="6:18" ht="19.95" customHeight="1" x14ac:dyDescent="0.3"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</row>
    <row r="210" spans="6:18" ht="19.95" customHeight="1" x14ac:dyDescent="0.3"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</row>
    <row r="211" spans="6:18" ht="19.95" customHeight="1" x14ac:dyDescent="0.3"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</row>
    <row r="212" spans="6:18" ht="19.95" customHeight="1" x14ac:dyDescent="0.3"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</row>
    <row r="213" spans="6:18" ht="19.95" customHeight="1" x14ac:dyDescent="0.3"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</row>
    <row r="214" spans="6:18" ht="19.95" customHeight="1" x14ac:dyDescent="0.3"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</row>
    <row r="215" spans="6:18" ht="19.95" customHeight="1" x14ac:dyDescent="0.3"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</row>
    <row r="216" spans="6:18" ht="19.95" customHeight="1" x14ac:dyDescent="0.3"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</row>
    <row r="217" spans="6:18" ht="19.95" customHeight="1" x14ac:dyDescent="0.3"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</row>
    <row r="218" spans="6:18" ht="19.95" customHeight="1" x14ac:dyDescent="0.3"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</row>
    <row r="219" spans="6:18" ht="19.95" customHeight="1" x14ac:dyDescent="0.3"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</row>
    <row r="220" spans="6:18" ht="19.95" customHeight="1" x14ac:dyDescent="0.3"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</row>
    <row r="221" spans="6:18" ht="19.95" customHeight="1" x14ac:dyDescent="0.3"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</row>
    <row r="222" spans="6:18" ht="19.95" customHeight="1" x14ac:dyDescent="0.3"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</row>
    <row r="223" spans="6:18" ht="19.95" customHeight="1" x14ac:dyDescent="0.3"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</row>
    <row r="224" spans="6:18" ht="19.95" customHeight="1" x14ac:dyDescent="0.3"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</row>
    <row r="225" spans="6:18" ht="19.95" customHeight="1" x14ac:dyDescent="0.3"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</row>
    <row r="226" spans="6:18" ht="19.95" customHeight="1" x14ac:dyDescent="0.3"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</row>
    <row r="227" spans="6:18" ht="19.95" customHeight="1" x14ac:dyDescent="0.3"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</row>
    <row r="228" spans="6:18" ht="19.95" customHeight="1" x14ac:dyDescent="0.3"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</row>
    <row r="229" spans="6:18" ht="19.95" customHeight="1" x14ac:dyDescent="0.3"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</row>
    <row r="230" spans="6:18" ht="19.95" customHeight="1" x14ac:dyDescent="0.3"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</row>
    <row r="231" spans="6:18" ht="19.95" customHeight="1" x14ac:dyDescent="0.3"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</row>
    <row r="232" spans="6:18" ht="19.95" customHeight="1" x14ac:dyDescent="0.3"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</row>
    <row r="233" spans="6:18" ht="19.95" customHeight="1" x14ac:dyDescent="0.3"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</row>
    <row r="234" spans="6:18" ht="19.95" customHeight="1" x14ac:dyDescent="0.3"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</row>
    <row r="235" spans="6:18" ht="19.95" customHeight="1" x14ac:dyDescent="0.3"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</row>
    <row r="236" spans="6:18" ht="19.95" customHeight="1" x14ac:dyDescent="0.3"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</row>
    <row r="237" spans="6:18" ht="19.95" customHeight="1" x14ac:dyDescent="0.3"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</row>
    <row r="238" spans="6:18" ht="19.95" customHeight="1" x14ac:dyDescent="0.3"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</row>
    <row r="239" spans="6:18" ht="19.95" customHeight="1" x14ac:dyDescent="0.3"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</row>
    <row r="240" spans="6:18" ht="19.95" customHeight="1" x14ac:dyDescent="0.3"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</row>
    <row r="241" spans="6:18" ht="19.95" customHeight="1" x14ac:dyDescent="0.3"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</row>
    <row r="242" spans="6:18" ht="19.95" customHeight="1" x14ac:dyDescent="0.3"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</row>
    <row r="243" spans="6:18" ht="19.95" customHeight="1" x14ac:dyDescent="0.3"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</row>
    <row r="244" spans="6:18" ht="19.95" customHeight="1" x14ac:dyDescent="0.3"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</row>
    <row r="245" spans="6:18" ht="19.95" customHeight="1" x14ac:dyDescent="0.3"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</row>
    <row r="246" spans="6:18" ht="19.95" customHeight="1" x14ac:dyDescent="0.3"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</row>
    <row r="247" spans="6:18" ht="19.95" customHeight="1" x14ac:dyDescent="0.3"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</row>
    <row r="248" spans="6:18" ht="19.95" customHeight="1" x14ac:dyDescent="0.3"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</row>
    <row r="249" spans="6:18" ht="19.95" customHeight="1" x14ac:dyDescent="0.3"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</row>
    <row r="250" spans="6:18" ht="19.95" customHeight="1" x14ac:dyDescent="0.3"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</row>
    <row r="251" spans="6:18" ht="19.95" customHeight="1" x14ac:dyDescent="0.3"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</row>
    <row r="252" spans="6:18" ht="19.95" customHeight="1" x14ac:dyDescent="0.3"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</row>
    <row r="253" spans="6:18" ht="19.95" customHeight="1" x14ac:dyDescent="0.3"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</row>
    <row r="254" spans="6:18" ht="19.95" customHeight="1" x14ac:dyDescent="0.3"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</row>
    <row r="255" spans="6:18" ht="19.95" customHeight="1" x14ac:dyDescent="0.3"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</row>
    <row r="256" spans="6:18" ht="19.95" customHeight="1" x14ac:dyDescent="0.3"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</row>
    <row r="257" spans="6:18" ht="19.95" customHeight="1" x14ac:dyDescent="0.3"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</row>
    <row r="258" spans="6:18" ht="19.95" customHeight="1" x14ac:dyDescent="0.3"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</row>
    <row r="259" spans="6:18" ht="19.95" customHeight="1" x14ac:dyDescent="0.3"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</row>
    <row r="260" spans="6:18" ht="19.95" customHeight="1" x14ac:dyDescent="0.3"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</row>
    <row r="261" spans="6:18" ht="19.95" customHeight="1" x14ac:dyDescent="0.3"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</row>
    <row r="262" spans="6:18" ht="19.95" customHeight="1" x14ac:dyDescent="0.3"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</row>
    <row r="263" spans="6:18" ht="19.95" customHeight="1" x14ac:dyDescent="0.3"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</row>
    <row r="264" spans="6:18" ht="19.95" customHeight="1" x14ac:dyDescent="0.3"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</row>
    <row r="265" spans="6:18" ht="19.95" customHeight="1" x14ac:dyDescent="0.3"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</row>
    <row r="266" spans="6:18" ht="19.95" customHeight="1" x14ac:dyDescent="0.3"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</row>
    <row r="267" spans="6:18" ht="19.95" customHeight="1" x14ac:dyDescent="0.3"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</row>
    <row r="268" spans="6:18" ht="19.95" customHeight="1" x14ac:dyDescent="0.3"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</row>
    <row r="269" spans="6:18" ht="19.95" customHeight="1" x14ac:dyDescent="0.3"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</row>
    <row r="270" spans="6:18" ht="19.95" customHeight="1" x14ac:dyDescent="0.3"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</row>
    <row r="271" spans="6:18" ht="19.95" customHeight="1" x14ac:dyDescent="0.3"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</row>
    <row r="272" spans="6:18" ht="19.95" customHeight="1" x14ac:dyDescent="0.3"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</row>
    <row r="273" spans="6:18" ht="19.95" customHeight="1" x14ac:dyDescent="0.3"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</row>
    <row r="274" spans="6:18" ht="19.95" customHeight="1" x14ac:dyDescent="0.3"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</row>
    <row r="275" spans="6:18" ht="19.95" customHeight="1" x14ac:dyDescent="0.3"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</row>
    <row r="276" spans="6:18" ht="19.95" customHeight="1" x14ac:dyDescent="0.3"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</row>
    <row r="277" spans="6:18" ht="19.95" customHeight="1" x14ac:dyDescent="0.3"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</row>
    <row r="278" spans="6:18" ht="19.95" customHeight="1" x14ac:dyDescent="0.3"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</row>
    <row r="279" spans="6:18" ht="19.95" customHeight="1" x14ac:dyDescent="0.3"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</row>
    <row r="280" spans="6:18" ht="19.95" customHeight="1" x14ac:dyDescent="0.3"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</row>
    <row r="281" spans="6:18" ht="19.95" customHeight="1" x14ac:dyDescent="0.3"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</row>
    <row r="282" spans="6:18" ht="19.95" customHeight="1" x14ac:dyDescent="0.3"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</row>
    <row r="283" spans="6:18" ht="19.95" customHeight="1" x14ac:dyDescent="0.3"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</row>
    <row r="284" spans="6:18" ht="19.95" customHeight="1" x14ac:dyDescent="0.3"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</row>
    <row r="285" spans="6:18" ht="19.95" customHeight="1" x14ac:dyDescent="0.3"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</row>
    <row r="286" spans="6:18" ht="19.95" customHeight="1" x14ac:dyDescent="0.3"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</row>
    <row r="287" spans="6:18" ht="19.95" customHeight="1" x14ac:dyDescent="0.3"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</row>
    <row r="288" spans="6:18" ht="19.95" customHeight="1" x14ac:dyDescent="0.3"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</row>
    <row r="289" spans="6:18" ht="19.95" customHeight="1" x14ac:dyDescent="0.3"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</row>
    <row r="290" spans="6:18" ht="19.95" customHeight="1" x14ac:dyDescent="0.3"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</row>
    <row r="291" spans="6:18" ht="19.95" customHeight="1" x14ac:dyDescent="0.3"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</row>
    <row r="292" spans="6:18" ht="19.95" customHeight="1" x14ac:dyDescent="0.3"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</row>
    <row r="293" spans="6:18" ht="19.95" customHeight="1" x14ac:dyDescent="0.3"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</row>
    <row r="294" spans="6:18" ht="19.95" customHeight="1" x14ac:dyDescent="0.3"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</row>
    <row r="295" spans="6:18" ht="19.95" customHeight="1" x14ac:dyDescent="0.3"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</row>
    <row r="296" spans="6:18" ht="19.95" customHeight="1" x14ac:dyDescent="0.3"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</row>
    <row r="297" spans="6:18" ht="19.95" customHeight="1" x14ac:dyDescent="0.3"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</row>
    <row r="298" spans="6:18" ht="19.95" customHeight="1" x14ac:dyDescent="0.3"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</row>
    <row r="299" spans="6:18" ht="19.95" customHeight="1" x14ac:dyDescent="0.3"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</row>
    <row r="300" spans="6:18" ht="19.95" customHeight="1" x14ac:dyDescent="0.3"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</row>
    <row r="301" spans="6:18" ht="19.95" customHeight="1" x14ac:dyDescent="0.3"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</row>
    <row r="302" spans="6:18" ht="19.95" customHeight="1" x14ac:dyDescent="0.3"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</row>
    <row r="303" spans="6:18" ht="19.95" customHeight="1" x14ac:dyDescent="0.3"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</row>
    <row r="304" spans="6:18" ht="19.95" customHeight="1" x14ac:dyDescent="0.3"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</row>
    <row r="305" spans="6:18" ht="19.95" customHeight="1" x14ac:dyDescent="0.3"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</row>
    <row r="306" spans="6:18" ht="19.95" customHeight="1" x14ac:dyDescent="0.3"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</row>
    <row r="307" spans="6:18" ht="19.95" customHeight="1" x14ac:dyDescent="0.3"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</row>
    <row r="308" spans="6:18" ht="19.95" customHeight="1" x14ac:dyDescent="0.3"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</row>
    <row r="309" spans="6:18" ht="19.95" customHeight="1" x14ac:dyDescent="0.3"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</row>
    <row r="310" spans="6:18" ht="19.95" customHeight="1" x14ac:dyDescent="0.3"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</row>
    <row r="311" spans="6:18" ht="19.95" customHeight="1" x14ac:dyDescent="0.3"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</row>
    <row r="312" spans="6:18" ht="19.95" customHeight="1" x14ac:dyDescent="0.3"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</row>
    <row r="313" spans="6:18" ht="19.95" customHeight="1" x14ac:dyDescent="0.3"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</row>
    <row r="314" spans="6:18" ht="19.95" customHeight="1" x14ac:dyDescent="0.3"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</row>
    <row r="315" spans="6:18" ht="19.95" customHeight="1" x14ac:dyDescent="0.3"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</row>
    <row r="316" spans="6:18" ht="19.95" customHeight="1" x14ac:dyDescent="0.3"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</row>
    <row r="317" spans="6:18" ht="19.95" customHeight="1" x14ac:dyDescent="0.3"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</row>
    <row r="318" spans="6:18" ht="19.95" customHeight="1" x14ac:dyDescent="0.3"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</row>
    <row r="319" spans="6:18" ht="19.95" customHeight="1" x14ac:dyDescent="0.3"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</row>
    <row r="320" spans="6:18" ht="19.95" customHeight="1" x14ac:dyDescent="0.3"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</row>
    <row r="321" spans="6:18" ht="19.95" customHeight="1" x14ac:dyDescent="0.3"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</row>
    <row r="322" spans="6:18" ht="19.95" customHeight="1" x14ac:dyDescent="0.3"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</row>
    <row r="323" spans="6:18" ht="19.95" customHeight="1" x14ac:dyDescent="0.3"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</row>
    <row r="324" spans="6:18" ht="19.95" customHeight="1" x14ac:dyDescent="0.3"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</row>
    <row r="325" spans="6:18" ht="19.95" customHeight="1" x14ac:dyDescent="0.3"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</row>
    <row r="326" spans="6:18" ht="19.95" customHeight="1" x14ac:dyDescent="0.3"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</row>
    <row r="327" spans="6:18" ht="19.95" customHeight="1" x14ac:dyDescent="0.3"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</row>
    <row r="328" spans="6:18" ht="19.95" customHeight="1" x14ac:dyDescent="0.3"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</row>
    <row r="329" spans="6:18" ht="19.95" customHeight="1" x14ac:dyDescent="0.3"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</row>
    <row r="330" spans="6:18" ht="19.95" customHeight="1" x14ac:dyDescent="0.3"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</row>
    <row r="331" spans="6:18" ht="19.95" customHeight="1" x14ac:dyDescent="0.3"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</row>
    <row r="332" spans="6:18" ht="19.95" customHeight="1" x14ac:dyDescent="0.3"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</row>
    <row r="333" spans="6:18" ht="19.95" customHeight="1" x14ac:dyDescent="0.3"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</row>
    <row r="334" spans="6:18" ht="19.95" customHeight="1" x14ac:dyDescent="0.3"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</row>
    <row r="335" spans="6:18" ht="19.95" customHeight="1" x14ac:dyDescent="0.3"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</row>
    <row r="336" spans="6:18" ht="19.95" customHeight="1" x14ac:dyDescent="0.3"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</row>
    <row r="337" spans="6:18" ht="19.95" customHeight="1" x14ac:dyDescent="0.3"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</row>
    <row r="338" spans="6:18" ht="19.95" customHeight="1" x14ac:dyDescent="0.3"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</row>
    <row r="339" spans="6:18" ht="19.95" customHeight="1" x14ac:dyDescent="0.3"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</row>
    <row r="340" spans="6:18" ht="19.95" customHeight="1" x14ac:dyDescent="0.3"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</row>
    <row r="341" spans="6:18" ht="19.95" customHeight="1" x14ac:dyDescent="0.3"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</row>
    <row r="342" spans="6:18" ht="19.95" customHeight="1" x14ac:dyDescent="0.3"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</row>
    <row r="343" spans="6:18" ht="19.95" customHeight="1" x14ac:dyDescent="0.3"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</row>
    <row r="344" spans="6:18" ht="19.95" customHeight="1" x14ac:dyDescent="0.3"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</row>
    <row r="345" spans="6:18" ht="19.95" customHeight="1" x14ac:dyDescent="0.3"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</row>
    <row r="346" spans="6:18" ht="19.95" customHeight="1" x14ac:dyDescent="0.3"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</row>
    <row r="347" spans="6:18" ht="19.95" customHeight="1" x14ac:dyDescent="0.3"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</row>
    <row r="348" spans="6:18" ht="19.95" customHeight="1" x14ac:dyDescent="0.3"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</row>
    <row r="349" spans="6:18" ht="19.95" customHeight="1" x14ac:dyDescent="0.3"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</row>
    <row r="350" spans="6:18" ht="19.95" customHeight="1" x14ac:dyDescent="0.3"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</row>
    <row r="351" spans="6:18" ht="19.95" customHeight="1" x14ac:dyDescent="0.3"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</row>
    <row r="352" spans="6:18" ht="19.95" customHeight="1" x14ac:dyDescent="0.3"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</row>
    <row r="353" spans="6:18" ht="19.95" customHeight="1" x14ac:dyDescent="0.3"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</row>
    <row r="354" spans="6:18" ht="19.95" customHeight="1" x14ac:dyDescent="0.3"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</row>
    <row r="355" spans="6:18" ht="19.95" customHeight="1" x14ac:dyDescent="0.3"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</row>
    <row r="356" spans="6:18" ht="19.95" customHeight="1" x14ac:dyDescent="0.3"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</row>
    <row r="357" spans="6:18" ht="19.95" customHeight="1" x14ac:dyDescent="0.3"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</row>
    <row r="358" spans="6:18" ht="19.95" customHeight="1" x14ac:dyDescent="0.3"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</row>
    <row r="359" spans="6:18" ht="19.95" customHeight="1" x14ac:dyDescent="0.3"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</row>
    <row r="360" spans="6:18" ht="19.95" customHeight="1" x14ac:dyDescent="0.3"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</row>
    <row r="361" spans="6:18" ht="19.95" customHeight="1" x14ac:dyDescent="0.3"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</row>
    <row r="362" spans="6:18" ht="19.95" customHeight="1" x14ac:dyDescent="0.3"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</row>
    <row r="363" spans="6:18" ht="19.95" customHeight="1" x14ac:dyDescent="0.3"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</row>
    <row r="364" spans="6:18" ht="19.95" customHeight="1" x14ac:dyDescent="0.3"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</row>
    <row r="365" spans="6:18" ht="19.95" customHeight="1" x14ac:dyDescent="0.3"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</row>
    <row r="366" spans="6:18" ht="19.95" customHeight="1" x14ac:dyDescent="0.3"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</row>
    <row r="367" spans="6:18" ht="19.95" customHeight="1" x14ac:dyDescent="0.3"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</row>
    <row r="368" spans="6:18" ht="19.95" customHeight="1" x14ac:dyDescent="0.3"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</row>
    <row r="369" spans="6:18" ht="19.95" customHeight="1" x14ac:dyDescent="0.3"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</row>
    <row r="370" spans="6:18" ht="19.95" customHeight="1" x14ac:dyDescent="0.3"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</row>
    <row r="371" spans="6:18" ht="19.95" customHeight="1" x14ac:dyDescent="0.3"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</row>
    <row r="372" spans="6:18" ht="19.95" customHeight="1" x14ac:dyDescent="0.3"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</row>
    <row r="373" spans="6:18" ht="19.95" customHeight="1" x14ac:dyDescent="0.3"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</row>
    <row r="374" spans="6:18" ht="19.95" customHeight="1" x14ac:dyDescent="0.3"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</row>
    <row r="375" spans="6:18" ht="19.95" customHeight="1" x14ac:dyDescent="0.3"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</row>
    <row r="376" spans="6:18" ht="19.95" customHeight="1" x14ac:dyDescent="0.3"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</row>
    <row r="377" spans="6:18" ht="19.95" customHeight="1" x14ac:dyDescent="0.3"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</row>
    <row r="378" spans="6:18" ht="19.95" customHeight="1" x14ac:dyDescent="0.3"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</row>
    <row r="379" spans="6:18" ht="19.95" customHeight="1" x14ac:dyDescent="0.3"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</row>
    <row r="380" spans="6:18" ht="19.95" customHeight="1" x14ac:dyDescent="0.3"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</row>
    <row r="381" spans="6:18" ht="19.95" customHeight="1" x14ac:dyDescent="0.3"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</row>
    <row r="382" spans="6:18" ht="19.95" customHeight="1" x14ac:dyDescent="0.3"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</row>
    <row r="383" spans="6:18" ht="19.95" customHeight="1" x14ac:dyDescent="0.3"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</row>
    <row r="384" spans="6:18" ht="19.95" customHeight="1" x14ac:dyDescent="0.3"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</row>
    <row r="385" spans="6:18" ht="19.95" customHeight="1" x14ac:dyDescent="0.3"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</row>
    <row r="386" spans="6:18" ht="19.95" customHeight="1" x14ac:dyDescent="0.3"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</row>
    <row r="387" spans="6:18" ht="19.95" customHeight="1" x14ac:dyDescent="0.3"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</row>
    <row r="388" spans="6:18" ht="19.95" customHeight="1" x14ac:dyDescent="0.3"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</row>
    <row r="389" spans="6:18" ht="19.95" customHeight="1" x14ac:dyDescent="0.3"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</row>
    <row r="390" spans="6:18" ht="19.95" customHeight="1" x14ac:dyDescent="0.3"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</row>
    <row r="391" spans="6:18" ht="19.95" customHeight="1" x14ac:dyDescent="0.3"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</row>
    <row r="392" spans="6:18" ht="19.95" customHeight="1" x14ac:dyDescent="0.3"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</row>
    <row r="393" spans="6:18" ht="19.95" customHeight="1" x14ac:dyDescent="0.3"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</row>
    <row r="394" spans="6:18" ht="19.95" customHeight="1" x14ac:dyDescent="0.3"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</row>
    <row r="395" spans="6:18" ht="19.95" customHeight="1" x14ac:dyDescent="0.3"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</row>
    <row r="396" spans="6:18" ht="19.95" customHeight="1" x14ac:dyDescent="0.3"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</row>
    <row r="397" spans="6:18" ht="19.95" customHeight="1" x14ac:dyDescent="0.3"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</row>
    <row r="398" spans="6:18" ht="19.95" customHeight="1" x14ac:dyDescent="0.3"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</row>
    <row r="399" spans="6:18" ht="19.95" customHeight="1" x14ac:dyDescent="0.3"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</row>
    <row r="400" spans="6:18" ht="19.95" customHeight="1" x14ac:dyDescent="0.3"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</row>
    <row r="401" spans="6:18" ht="19.95" customHeight="1" x14ac:dyDescent="0.3"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</row>
    <row r="402" spans="6:18" ht="19.95" customHeight="1" x14ac:dyDescent="0.3"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</row>
    <row r="403" spans="6:18" ht="19.95" customHeight="1" x14ac:dyDescent="0.3"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</row>
    <row r="404" spans="6:18" ht="19.95" customHeight="1" x14ac:dyDescent="0.3"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</row>
    <row r="405" spans="6:18" ht="19.95" customHeight="1" x14ac:dyDescent="0.3"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</row>
    <row r="406" spans="6:18" ht="19.95" customHeight="1" x14ac:dyDescent="0.3"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</row>
    <row r="407" spans="6:18" ht="19.95" customHeight="1" x14ac:dyDescent="0.3"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</row>
    <row r="408" spans="6:18" ht="19.95" customHeight="1" x14ac:dyDescent="0.3"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</row>
    <row r="409" spans="6:18" ht="19.95" customHeight="1" x14ac:dyDescent="0.3"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</row>
    <row r="410" spans="6:18" ht="19.95" customHeight="1" x14ac:dyDescent="0.3"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</row>
    <row r="411" spans="6:18" ht="19.95" customHeight="1" x14ac:dyDescent="0.3"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</row>
    <row r="412" spans="6:18" ht="19.95" customHeight="1" x14ac:dyDescent="0.3"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</row>
    <row r="413" spans="6:18" ht="19.95" customHeight="1" x14ac:dyDescent="0.3"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</row>
    <row r="414" spans="6:18" ht="19.95" customHeight="1" x14ac:dyDescent="0.3"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</row>
    <row r="415" spans="6:18" ht="19.95" customHeight="1" x14ac:dyDescent="0.3"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</row>
    <row r="416" spans="6:18" ht="19.95" customHeight="1" x14ac:dyDescent="0.3"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</row>
    <row r="417" spans="6:18" ht="19.95" customHeight="1" x14ac:dyDescent="0.3"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</row>
    <row r="418" spans="6:18" ht="19.95" customHeight="1" x14ac:dyDescent="0.3"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</row>
    <row r="419" spans="6:18" ht="19.95" customHeight="1" x14ac:dyDescent="0.3"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</row>
    <row r="420" spans="6:18" ht="19.95" customHeight="1" x14ac:dyDescent="0.3"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</row>
    <row r="421" spans="6:18" ht="19.95" customHeight="1" x14ac:dyDescent="0.3"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</row>
    <row r="422" spans="6:18" ht="19.95" customHeight="1" x14ac:dyDescent="0.3"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</row>
    <row r="423" spans="6:18" ht="19.95" customHeight="1" x14ac:dyDescent="0.3"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</row>
    <row r="424" spans="6:18" ht="19.95" customHeight="1" x14ac:dyDescent="0.3"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</row>
    <row r="425" spans="6:18" ht="19.95" customHeight="1" x14ac:dyDescent="0.3"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</row>
    <row r="426" spans="6:18" ht="19.95" customHeight="1" x14ac:dyDescent="0.3"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</row>
    <row r="427" spans="6:18" ht="19.95" customHeight="1" x14ac:dyDescent="0.3"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</row>
    <row r="428" spans="6:18" ht="19.95" customHeight="1" x14ac:dyDescent="0.3"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</row>
    <row r="429" spans="6:18" ht="19.95" customHeight="1" x14ac:dyDescent="0.3"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</row>
    <row r="430" spans="6:18" ht="19.95" customHeight="1" x14ac:dyDescent="0.3"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</row>
    <row r="431" spans="6:18" ht="19.95" customHeight="1" x14ac:dyDescent="0.3"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</row>
    <row r="432" spans="6:18" ht="19.95" customHeight="1" x14ac:dyDescent="0.3"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</row>
    <row r="433" spans="6:18" ht="19.95" customHeight="1" x14ac:dyDescent="0.3"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</row>
    <row r="434" spans="6:18" ht="19.95" customHeight="1" x14ac:dyDescent="0.3"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</row>
    <row r="435" spans="6:18" ht="19.95" customHeight="1" x14ac:dyDescent="0.3"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</row>
    <row r="436" spans="6:18" ht="19.95" customHeight="1" x14ac:dyDescent="0.3"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</row>
    <row r="437" spans="6:18" ht="19.95" customHeight="1" x14ac:dyDescent="0.3"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</row>
    <row r="438" spans="6:18" ht="19.95" customHeight="1" x14ac:dyDescent="0.3"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</row>
    <row r="439" spans="6:18" ht="19.95" customHeight="1" x14ac:dyDescent="0.3"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</row>
    <row r="440" spans="6:18" ht="19.95" customHeight="1" x14ac:dyDescent="0.3"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</row>
    <row r="441" spans="6:18" ht="19.95" customHeight="1" x14ac:dyDescent="0.3"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</row>
    <row r="442" spans="6:18" ht="19.95" customHeight="1" x14ac:dyDescent="0.3"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</row>
    <row r="443" spans="6:18" ht="19.95" customHeight="1" x14ac:dyDescent="0.3"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</row>
    <row r="444" spans="6:18" ht="19.95" customHeight="1" x14ac:dyDescent="0.3"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</row>
    <row r="445" spans="6:18" ht="19.95" customHeight="1" x14ac:dyDescent="0.3"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</row>
    <row r="446" spans="6:18" ht="19.95" customHeight="1" x14ac:dyDescent="0.3"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</row>
    <row r="447" spans="6:18" ht="19.95" customHeight="1" x14ac:dyDescent="0.3"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</row>
    <row r="448" spans="6:18" ht="19.95" customHeight="1" x14ac:dyDescent="0.3"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</row>
    <row r="449" spans="6:18" ht="19.95" customHeight="1" x14ac:dyDescent="0.3"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</row>
    <row r="450" spans="6:18" ht="19.95" customHeight="1" x14ac:dyDescent="0.3"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</row>
    <row r="451" spans="6:18" ht="19.95" customHeight="1" x14ac:dyDescent="0.3"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</row>
    <row r="452" spans="6:18" ht="19.95" customHeight="1" x14ac:dyDescent="0.3"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</row>
    <row r="453" spans="6:18" ht="19.95" customHeight="1" x14ac:dyDescent="0.3"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</row>
    <row r="454" spans="6:18" ht="19.95" customHeight="1" x14ac:dyDescent="0.3"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</row>
    <row r="455" spans="6:18" ht="19.95" customHeight="1" x14ac:dyDescent="0.3"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</row>
    <row r="456" spans="6:18" ht="19.95" customHeight="1" x14ac:dyDescent="0.3"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</row>
    <row r="457" spans="6:18" ht="19.95" customHeight="1" x14ac:dyDescent="0.3"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</row>
    <row r="458" spans="6:18" ht="19.95" customHeight="1" x14ac:dyDescent="0.3"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</row>
    <row r="459" spans="6:18" ht="19.95" customHeight="1" x14ac:dyDescent="0.3"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</row>
    <row r="460" spans="6:18" ht="19.95" customHeight="1" x14ac:dyDescent="0.3"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</row>
    <row r="461" spans="6:18" ht="19.95" customHeight="1" x14ac:dyDescent="0.3"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</row>
    <row r="462" spans="6:18" ht="19.95" customHeight="1" x14ac:dyDescent="0.3"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</row>
    <row r="463" spans="6:18" ht="19.95" customHeight="1" x14ac:dyDescent="0.3"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</row>
    <row r="464" spans="6:18" ht="19.95" customHeight="1" x14ac:dyDescent="0.3"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</row>
    <row r="465" spans="6:18" ht="19.95" customHeight="1" x14ac:dyDescent="0.3"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</row>
    <row r="466" spans="6:18" ht="19.95" customHeight="1" x14ac:dyDescent="0.3"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</row>
    <row r="467" spans="6:18" ht="19.95" customHeight="1" x14ac:dyDescent="0.3"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</row>
    <row r="468" spans="6:18" ht="19.95" customHeight="1" x14ac:dyDescent="0.3"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</row>
    <row r="469" spans="6:18" ht="19.95" customHeight="1" x14ac:dyDescent="0.3"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</row>
    <row r="470" spans="6:18" ht="19.95" customHeight="1" x14ac:dyDescent="0.3"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</row>
    <row r="471" spans="6:18" ht="19.95" customHeight="1" x14ac:dyDescent="0.3"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</row>
    <row r="472" spans="6:18" ht="19.95" customHeight="1" x14ac:dyDescent="0.3"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</row>
    <row r="473" spans="6:18" ht="19.95" customHeight="1" x14ac:dyDescent="0.3"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</row>
    <row r="474" spans="6:18" ht="19.95" customHeight="1" x14ac:dyDescent="0.3"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</row>
    <row r="475" spans="6:18" ht="19.95" customHeight="1" x14ac:dyDescent="0.3"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</row>
    <row r="476" spans="6:18" ht="19.95" customHeight="1" x14ac:dyDescent="0.3"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</row>
    <row r="477" spans="6:18" ht="19.95" customHeight="1" x14ac:dyDescent="0.3"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</row>
    <row r="478" spans="6:18" ht="19.95" customHeight="1" x14ac:dyDescent="0.3"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</row>
    <row r="479" spans="6:18" ht="19.95" customHeight="1" x14ac:dyDescent="0.3"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</row>
    <row r="480" spans="6:18" ht="19.95" customHeight="1" x14ac:dyDescent="0.3"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</row>
    <row r="481" spans="6:18" ht="19.95" customHeight="1" x14ac:dyDescent="0.3"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</row>
    <row r="482" spans="6:18" ht="19.95" customHeight="1" x14ac:dyDescent="0.3"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</row>
    <row r="483" spans="6:18" ht="19.95" customHeight="1" x14ac:dyDescent="0.3"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</row>
    <row r="484" spans="6:18" ht="19.95" customHeight="1" x14ac:dyDescent="0.3"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</row>
    <row r="485" spans="6:18" ht="19.95" customHeight="1" x14ac:dyDescent="0.3"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</row>
    <row r="486" spans="6:18" ht="19.95" customHeight="1" x14ac:dyDescent="0.3"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</row>
    <row r="487" spans="6:18" ht="19.95" customHeight="1" x14ac:dyDescent="0.3"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</row>
    <row r="488" spans="6:18" ht="19.95" customHeight="1" x14ac:dyDescent="0.3"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</row>
    <row r="489" spans="6:18" ht="19.95" customHeight="1" x14ac:dyDescent="0.3"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</row>
    <row r="490" spans="6:18" ht="19.95" customHeight="1" x14ac:dyDescent="0.3"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</row>
    <row r="491" spans="6:18" ht="19.95" customHeight="1" x14ac:dyDescent="0.3"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</row>
    <row r="492" spans="6:18" ht="19.95" customHeight="1" x14ac:dyDescent="0.3"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</row>
    <row r="493" spans="6:18" ht="19.95" customHeight="1" x14ac:dyDescent="0.3"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</row>
    <row r="494" spans="6:18" ht="19.95" customHeight="1" x14ac:dyDescent="0.3"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</row>
    <row r="495" spans="6:18" ht="19.95" customHeight="1" x14ac:dyDescent="0.3"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</row>
    <row r="496" spans="6:18" ht="19.95" customHeight="1" x14ac:dyDescent="0.3"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</row>
    <row r="497" spans="6:18" ht="19.95" customHeight="1" x14ac:dyDescent="0.3"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</row>
    <row r="498" spans="6:18" ht="19.95" customHeight="1" x14ac:dyDescent="0.3"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</row>
    <row r="499" spans="6:18" ht="19.95" customHeight="1" x14ac:dyDescent="0.3"/>
    <row r="500" spans="6:18" ht="19.95" customHeight="1" x14ac:dyDescent="0.3"/>
  </sheetData>
  <mergeCells count="2">
    <mergeCell ref="A1:R1"/>
    <mergeCell ref="A4:C4"/>
  </mergeCells>
  <pageMargins left="0.7" right="0.7" top="0.75" bottom="0.75" header="0.3" footer="0.3"/>
  <pageSetup paperSize="5" scale="65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A1:H25"/>
  <sheetViews>
    <sheetView showGridLines="0" view="pageBreakPreview" zoomScale="93" zoomScaleNormal="100" zoomScaleSheetLayoutView="93" zoomScalePageLayoutView="23" workbookViewId="0">
      <selection activeCell="F3" sqref="F3:H4"/>
    </sheetView>
  </sheetViews>
  <sheetFormatPr baseColWidth="10" defaultColWidth="11.44140625" defaultRowHeight="13.5" customHeight="1" x14ac:dyDescent="0.25"/>
  <cols>
    <col min="1" max="1" width="19.44140625" style="28" bestFit="1" customWidth="1"/>
    <col min="2" max="2" width="7.5546875" style="28" customWidth="1"/>
    <col min="3" max="4" width="10.77734375" style="28" customWidth="1"/>
    <col min="5" max="5" width="18.21875" style="28" customWidth="1"/>
    <col min="6" max="6" width="11.44140625" style="28" customWidth="1"/>
    <col min="7" max="7" width="9.21875" style="28" customWidth="1"/>
    <col min="8" max="8" width="10.5546875" style="28" customWidth="1"/>
    <col min="9" max="16384" width="11.44140625" style="28"/>
  </cols>
  <sheetData>
    <row r="1" spans="1:8" ht="13.5" customHeight="1" x14ac:dyDescent="0.25">
      <c r="A1" s="355" t="s">
        <v>556</v>
      </c>
      <c r="B1" s="356"/>
      <c r="C1" s="356"/>
      <c r="D1" s="356"/>
      <c r="E1" s="356"/>
      <c r="F1" s="356"/>
      <c r="G1" s="356"/>
      <c r="H1" s="356"/>
    </row>
    <row r="2" spans="1:8" ht="13.5" customHeight="1" x14ac:dyDescent="0.25">
      <c r="A2" s="357" t="s">
        <v>557</v>
      </c>
      <c r="B2" s="358"/>
      <c r="C2" s="358"/>
      <c r="D2" s="358"/>
      <c r="E2" s="359" t="s">
        <v>561</v>
      </c>
      <c r="F2" s="358"/>
      <c r="G2" s="358"/>
      <c r="H2" s="358"/>
    </row>
    <row r="3" spans="1:8" ht="13.5" customHeight="1" x14ac:dyDescent="0.25">
      <c r="A3" s="28" t="s">
        <v>558</v>
      </c>
      <c r="B3" s="218">
        <v>1</v>
      </c>
      <c r="E3" s="360" t="s">
        <v>562</v>
      </c>
      <c r="F3" s="362" t="s">
        <v>554</v>
      </c>
      <c r="G3" s="363"/>
      <c r="H3" s="363"/>
    </row>
    <row r="4" spans="1:8" ht="13.5" customHeight="1" x14ac:dyDescent="0.25">
      <c r="A4" s="28" t="s">
        <v>204</v>
      </c>
      <c r="B4" s="218" t="s">
        <v>524</v>
      </c>
      <c r="E4" s="361"/>
      <c r="F4" s="364"/>
      <c r="G4" s="364"/>
      <c r="H4" s="364"/>
    </row>
    <row r="5" spans="1:8" ht="13.5" customHeight="1" x14ac:dyDescent="0.25">
      <c r="A5" s="28" t="s">
        <v>559</v>
      </c>
      <c r="B5" s="218" t="s">
        <v>525</v>
      </c>
      <c r="E5" s="76" t="s">
        <v>563</v>
      </c>
      <c r="F5" s="295">
        <v>500</v>
      </c>
      <c r="G5" s="120"/>
      <c r="H5" s="120"/>
    </row>
    <row r="6" spans="1:8" ht="13.5" customHeight="1" x14ac:dyDescent="0.25">
      <c r="A6" s="28" t="s">
        <v>560</v>
      </c>
      <c r="B6" s="218" t="s">
        <v>220</v>
      </c>
      <c r="E6" s="76" t="s">
        <v>564</v>
      </c>
      <c r="F6" s="295">
        <v>250</v>
      </c>
      <c r="G6" s="120"/>
      <c r="H6" s="120"/>
    </row>
    <row r="7" spans="1:8" ht="13.5" customHeight="1" x14ac:dyDescent="0.25">
      <c r="B7" s="218"/>
      <c r="E7" s="77"/>
      <c r="F7" s="296"/>
      <c r="G7" s="62"/>
      <c r="H7" s="62"/>
    </row>
    <row r="8" spans="1:8" ht="13.5" customHeight="1" x14ac:dyDescent="0.25">
      <c r="A8" s="355" t="s">
        <v>565</v>
      </c>
      <c r="B8" s="356"/>
      <c r="C8" s="356"/>
      <c r="D8" s="356"/>
      <c r="E8" s="365"/>
      <c r="F8" s="365"/>
      <c r="G8" s="365"/>
      <c r="H8" s="365"/>
    </row>
    <row r="9" spans="1:8" ht="13.5" customHeight="1" x14ac:dyDescent="0.25">
      <c r="A9" s="78" t="s">
        <v>566</v>
      </c>
      <c r="B9" s="78"/>
      <c r="C9" s="78"/>
      <c r="D9" s="297">
        <v>250</v>
      </c>
      <c r="E9" s="28" t="s">
        <v>568</v>
      </c>
      <c r="H9" s="299">
        <v>250</v>
      </c>
    </row>
    <row r="10" spans="1:8" ht="13.5" customHeight="1" x14ac:dyDescent="0.25">
      <c r="A10" s="120" t="s">
        <v>567</v>
      </c>
      <c r="B10" s="219">
        <v>0</v>
      </c>
      <c r="C10" s="295"/>
      <c r="D10" s="298">
        <v>0</v>
      </c>
    </row>
    <row r="11" spans="1:8" ht="13.5" customHeight="1" x14ac:dyDescent="0.25">
      <c r="A11" s="276" t="s">
        <v>276</v>
      </c>
      <c r="B11" s="276" t="s">
        <v>11</v>
      </c>
      <c r="C11" s="276"/>
      <c r="D11" s="79" t="s">
        <v>570</v>
      </c>
      <c r="E11" s="276" t="s">
        <v>569</v>
      </c>
      <c r="F11" s="276" t="s">
        <v>572</v>
      </c>
      <c r="G11" s="276" t="s">
        <v>573</v>
      </c>
      <c r="H11" s="276" t="s">
        <v>571</v>
      </c>
    </row>
    <row r="12" spans="1:8" ht="13.5" customHeight="1" x14ac:dyDescent="0.25">
      <c r="A12" s="120" t="s">
        <v>574</v>
      </c>
      <c r="B12" s="120"/>
      <c r="C12" s="120"/>
      <c r="D12" s="298">
        <v>250</v>
      </c>
      <c r="E12" s="28" t="s">
        <v>581</v>
      </c>
      <c r="F12" s="299">
        <v>0</v>
      </c>
      <c r="G12" s="220" t="s">
        <v>555</v>
      </c>
      <c r="H12" s="299">
        <v>0</v>
      </c>
    </row>
    <row r="13" spans="1:8" ht="13.5" customHeight="1" x14ac:dyDescent="0.25">
      <c r="A13" s="120" t="s">
        <v>575</v>
      </c>
      <c r="B13" s="219">
        <v>0</v>
      </c>
      <c r="C13" s="295"/>
      <c r="D13" s="298">
        <v>0</v>
      </c>
      <c r="E13" s="28" t="s">
        <v>582</v>
      </c>
      <c r="F13" s="299">
        <v>0</v>
      </c>
      <c r="G13" s="220" t="s">
        <v>555</v>
      </c>
      <c r="H13" s="299">
        <v>0</v>
      </c>
    </row>
    <row r="14" spans="1:8" ht="13.5" customHeight="1" x14ac:dyDescent="0.25">
      <c r="A14" s="120" t="s">
        <v>576</v>
      </c>
      <c r="B14" s="219">
        <v>0</v>
      </c>
      <c r="C14" s="295"/>
      <c r="D14" s="298">
        <v>0</v>
      </c>
      <c r="E14" s="28" t="s">
        <v>583</v>
      </c>
      <c r="F14" s="299">
        <v>0</v>
      </c>
      <c r="G14" s="220" t="s">
        <v>555</v>
      </c>
      <c r="H14" s="299">
        <v>0</v>
      </c>
    </row>
    <row r="15" spans="1:8" ht="13.5" customHeight="1" x14ac:dyDescent="0.25">
      <c r="A15" s="120" t="s">
        <v>577</v>
      </c>
      <c r="B15" s="219">
        <v>0</v>
      </c>
      <c r="C15" s="295"/>
      <c r="D15" s="298">
        <v>0</v>
      </c>
      <c r="E15" s="28" t="s">
        <v>584</v>
      </c>
      <c r="F15" s="299">
        <v>0</v>
      </c>
      <c r="G15" s="220" t="s">
        <v>555</v>
      </c>
      <c r="H15" s="299">
        <v>0</v>
      </c>
    </row>
    <row r="16" spans="1:8" ht="13.5" customHeight="1" x14ac:dyDescent="0.25">
      <c r="A16" s="120" t="s">
        <v>578</v>
      </c>
      <c r="B16" s="219">
        <v>0</v>
      </c>
      <c r="C16" s="295"/>
      <c r="D16" s="298">
        <v>0</v>
      </c>
      <c r="E16" s="28" t="s">
        <v>585</v>
      </c>
      <c r="F16" s="299">
        <v>0</v>
      </c>
      <c r="G16" s="220" t="s">
        <v>555</v>
      </c>
      <c r="H16" s="299">
        <v>0</v>
      </c>
    </row>
    <row r="17" spans="1:8" ht="13.5" customHeight="1" x14ac:dyDescent="0.25">
      <c r="A17" s="120" t="s">
        <v>579</v>
      </c>
      <c r="B17" s="120"/>
      <c r="C17" s="120"/>
      <c r="D17" s="298">
        <v>0</v>
      </c>
      <c r="E17" s="28" t="s">
        <v>586</v>
      </c>
      <c r="H17" s="299">
        <v>0</v>
      </c>
    </row>
    <row r="18" spans="1:8" ht="13.5" customHeight="1" x14ac:dyDescent="0.25">
      <c r="A18" s="120" t="s">
        <v>580</v>
      </c>
      <c r="B18" s="120"/>
      <c r="C18" s="120"/>
      <c r="D18" s="298">
        <v>0</v>
      </c>
      <c r="E18" s="28" t="s">
        <v>587</v>
      </c>
      <c r="H18" s="299">
        <v>0</v>
      </c>
    </row>
    <row r="19" spans="1:8" ht="13.5" customHeight="1" x14ac:dyDescent="0.25">
      <c r="A19" s="120"/>
      <c r="B19" s="120"/>
      <c r="C19" s="120"/>
      <c r="D19" s="61"/>
      <c r="E19" s="28" t="s">
        <v>588</v>
      </c>
      <c r="H19" s="299">
        <v>0</v>
      </c>
    </row>
    <row r="20" spans="1:8" ht="13.5" customHeight="1" x14ac:dyDescent="0.25">
      <c r="A20" s="120"/>
      <c r="B20" s="120"/>
      <c r="C20" s="120"/>
      <c r="D20" s="61"/>
      <c r="H20" s="299"/>
    </row>
    <row r="21" spans="1:8" ht="13.5" customHeight="1" x14ac:dyDescent="0.25">
      <c r="A21" s="368" t="s">
        <v>589</v>
      </c>
      <c r="B21" s="369"/>
      <c r="C21" s="370">
        <v>250</v>
      </c>
      <c r="D21" s="371"/>
      <c r="E21" s="368" t="s">
        <v>590</v>
      </c>
      <c r="F21" s="369"/>
      <c r="G21" s="370">
        <v>0</v>
      </c>
      <c r="H21" s="369"/>
    </row>
    <row r="22" spans="1:8" ht="13.5" customHeight="1" x14ac:dyDescent="0.25">
      <c r="A22" s="372" t="s">
        <v>591</v>
      </c>
      <c r="B22" s="373"/>
      <c r="C22" s="373"/>
      <c r="D22" s="374"/>
      <c r="E22" s="300">
        <v>250</v>
      </c>
      <c r="F22" s="60"/>
      <c r="G22" s="60"/>
      <c r="H22" s="60"/>
    </row>
    <row r="24" spans="1:8" ht="13.5" customHeight="1" x14ac:dyDescent="0.25">
      <c r="C24" s="62"/>
      <c r="D24" s="62"/>
      <c r="E24" s="62"/>
    </row>
    <row r="25" spans="1:8" ht="13.5" customHeight="1" x14ac:dyDescent="0.25">
      <c r="A25" s="366" t="s">
        <v>592</v>
      </c>
      <c r="B25" s="367"/>
      <c r="C25" s="367"/>
      <c r="D25" s="367"/>
      <c r="E25" s="367"/>
      <c r="F25" s="367"/>
      <c r="G25" s="367"/>
      <c r="H25" s="367"/>
    </row>
  </sheetData>
  <sheetProtection algorithmName="SHA-512" hashValue="KHHKaij1MUH1VPhhjUphwXrmM8S64bRc5nm61gLOLa9uQPxsNEYzXszdy7huv7jvcc+qUTPz/02LQAe+bB+SqQ==" saltValue="3AYvYLyRQsdY67hya8Rn3g==" spinCount="100000" sheet="1" objects="1" scenarios="1"/>
  <mergeCells count="12">
    <mergeCell ref="A8:H8"/>
    <mergeCell ref="A25:H25"/>
    <mergeCell ref="A21:B21"/>
    <mergeCell ref="C21:D21"/>
    <mergeCell ref="E21:F21"/>
    <mergeCell ref="G21:H21"/>
    <mergeCell ref="A22:D22"/>
    <mergeCell ref="A1:H1"/>
    <mergeCell ref="A2:D2"/>
    <mergeCell ref="E2:H2"/>
    <mergeCell ref="E3:E4"/>
    <mergeCell ref="F3:H4"/>
  </mergeCells>
  <pageMargins left="0.4" right="0.24000000000000002" top="0.76400000000000001" bottom="0.76400000000000001" header="0.32" footer="0.32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A80000"/>
  </sheetPr>
  <dimension ref="A1:I30"/>
  <sheetViews>
    <sheetView showGridLines="0" view="pageLayout" topLeftCell="B1" zoomScale="80" zoomScaleNormal="100" zoomScalePageLayoutView="80" workbookViewId="0">
      <selection sqref="A1:I1"/>
    </sheetView>
  </sheetViews>
  <sheetFormatPr baseColWidth="10" defaultColWidth="11.44140625" defaultRowHeight="13.8" x14ac:dyDescent="0.3"/>
  <cols>
    <col min="1" max="1" width="12.77734375" style="26" customWidth="1"/>
    <col min="2" max="3" width="13.5546875" style="26" customWidth="1"/>
    <col min="4" max="4" width="12.21875" style="26" customWidth="1"/>
    <col min="5" max="5" width="11.77734375" style="26" customWidth="1"/>
    <col min="6" max="6" width="13.5546875" style="26" customWidth="1"/>
    <col min="7" max="7" width="15.77734375" style="26" customWidth="1"/>
    <col min="8" max="8" width="12.77734375" style="26" customWidth="1"/>
    <col min="9" max="9" width="15.77734375" style="26" customWidth="1"/>
    <col min="10" max="16384" width="11.44140625" style="26"/>
  </cols>
  <sheetData>
    <row r="1" spans="1:9" ht="17.25" customHeight="1" x14ac:dyDescent="0.3">
      <c r="A1" s="375" t="s">
        <v>468</v>
      </c>
      <c r="B1" s="376"/>
      <c r="C1" s="376"/>
      <c r="D1" s="376"/>
      <c r="E1" s="376"/>
      <c r="F1" s="376"/>
      <c r="G1" s="376"/>
      <c r="H1" s="376"/>
      <c r="I1" s="377"/>
    </row>
    <row r="2" spans="1:9" ht="17.25" customHeight="1" thickBot="1" x14ac:dyDescent="0.35">
      <c r="A2" s="378" t="s">
        <v>520</v>
      </c>
      <c r="B2" s="379"/>
      <c r="C2" s="379"/>
      <c r="D2" s="379"/>
      <c r="E2" s="379"/>
      <c r="F2" s="379"/>
      <c r="G2" s="379"/>
      <c r="H2" s="379"/>
      <c r="I2" s="380"/>
    </row>
    <row r="3" spans="1:9" ht="17.25" customHeight="1" x14ac:dyDescent="0.3">
      <c r="A3" s="167" t="s">
        <v>469</v>
      </c>
      <c r="B3" s="168"/>
      <c r="C3" s="199">
        <v>1</v>
      </c>
      <c r="D3" s="169"/>
      <c r="E3" s="169"/>
      <c r="F3" s="168" t="s">
        <v>488</v>
      </c>
      <c r="G3" s="169" t="s">
        <v>239</v>
      </c>
      <c r="H3" s="169"/>
      <c r="I3" s="170"/>
    </row>
    <row r="4" spans="1:9" ht="17.25" customHeight="1" x14ac:dyDescent="0.3">
      <c r="A4" s="167" t="s">
        <v>204</v>
      </c>
      <c r="B4" s="168"/>
      <c r="C4" s="200" t="s">
        <v>524</v>
      </c>
      <c r="D4" s="171"/>
      <c r="E4" s="171"/>
      <c r="F4" s="168" t="s">
        <v>470</v>
      </c>
      <c r="G4" s="171" t="s">
        <v>453</v>
      </c>
      <c r="H4" s="171"/>
      <c r="I4" s="172"/>
    </row>
    <row r="5" spans="1:9" ht="17.25" customHeight="1" x14ac:dyDescent="0.3">
      <c r="A5" s="167" t="s">
        <v>475</v>
      </c>
      <c r="B5" s="168"/>
      <c r="C5" s="201">
        <v>43800</v>
      </c>
      <c r="D5" s="169"/>
      <c r="E5" s="169"/>
      <c r="F5" s="168"/>
      <c r="G5" s="169"/>
      <c r="H5" s="169"/>
      <c r="I5" s="170"/>
    </row>
    <row r="6" spans="1:9" ht="27.75" customHeight="1" x14ac:dyDescent="0.3">
      <c r="A6" s="173" t="s">
        <v>4</v>
      </c>
      <c r="B6" s="166" t="s">
        <v>486</v>
      </c>
      <c r="C6" s="198" t="s">
        <v>471</v>
      </c>
      <c r="D6" s="166" t="s">
        <v>359</v>
      </c>
      <c r="E6" s="166" t="s">
        <v>360</v>
      </c>
      <c r="F6" s="166" t="s">
        <v>70</v>
      </c>
      <c r="G6" s="166" t="s">
        <v>472</v>
      </c>
      <c r="H6" s="166" t="s">
        <v>474</v>
      </c>
      <c r="I6" s="174" t="s">
        <v>473</v>
      </c>
    </row>
    <row r="7" spans="1:9" ht="17.25" customHeight="1" x14ac:dyDescent="0.3">
      <c r="A7" s="178">
        <v>43916</v>
      </c>
      <c r="B7" s="203">
        <v>0.33333333333333331</v>
      </c>
      <c r="C7" s="203">
        <v>0.48194444444444445</v>
      </c>
      <c r="D7" s="203">
        <v>0.14861111111111111</v>
      </c>
      <c r="E7" s="203">
        <v>0</v>
      </c>
      <c r="F7" s="203">
        <v>0</v>
      </c>
      <c r="G7" s="203">
        <v>0</v>
      </c>
      <c r="H7" s="203">
        <v>0</v>
      </c>
      <c r="I7" s="204">
        <v>0</v>
      </c>
    </row>
    <row r="8" spans="1:9" ht="17.25" customHeight="1" x14ac:dyDescent="0.3">
      <c r="A8" s="179">
        <v>43917</v>
      </c>
      <c r="B8" s="205">
        <v>0.33333333333333331</v>
      </c>
      <c r="C8" s="205">
        <v>0.20138888888888887</v>
      </c>
      <c r="D8" s="205">
        <v>0</v>
      </c>
      <c r="E8" s="205">
        <v>0.13194444444444445</v>
      </c>
      <c r="F8" s="205">
        <v>0</v>
      </c>
      <c r="G8" s="205">
        <v>0</v>
      </c>
      <c r="H8" s="205">
        <v>0</v>
      </c>
      <c r="I8" s="206">
        <v>0</v>
      </c>
    </row>
    <row r="9" spans="1:9" ht="17.25" customHeight="1" x14ac:dyDescent="0.3">
      <c r="A9" s="178">
        <v>43918</v>
      </c>
      <c r="B9" s="203">
        <v>0.22916666666666666</v>
      </c>
      <c r="C9" s="203">
        <v>0.23958333333333334</v>
      </c>
      <c r="D9" s="203">
        <v>1.0416666666666666E-2</v>
      </c>
      <c r="E9" s="203">
        <v>0</v>
      </c>
      <c r="F9" s="203">
        <v>0</v>
      </c>
      <c r="G9" s="203">
        <v>0</v>
      </c>
      <c r="H9" s="203">
        <v>0</v>
      </c>
      <c r="I9" s="204">
        <v>0</v>
      </c>
    </row>
    <row r="10" spans="1:9" ht="17.25" customHeight="1" x14ac:dyDescent="0.3">
      <c r="A10" s="179">
        <v>43919</v>
      </c>
      <c r="B10" s="205">
        <v>0</v>
      </c>
      <c r="C10" s="205">
        <v>0.19791666666666666</v>
      </c>
      <c r="D10" s="205">
        <v>0.19791666666666666</v>
      </c>
      <c r="E10" s="205">
        <v>0</v>
      </c>
      <c r="F10" s="205">
        <v>0</v>
      </c>
      <c r="G10" s="205">
        <v>0</v>
      </c>
      <c r="H10" s="205">
        <v>0</v>
      </c>
      <c r="I10" s="206">
        <v>0</v>
      </c>
    </row>
    <row r="11" spans="1:9" ht="17.25" customHeight="1" x14ac:dyDescent="0.3">
      <c r="A11" s="178">
        <v>43920</v>
      </c>
      <c r="B11" s="203">
        <v>0.33333333333333331</v>
      </c>
      <c r="C11" s="203">
        <v>0.19791666666666666</v>
      </c>
      <c r="D11" s="203">
        <v>0</v>
      </c>
      <c r="E11" s="203">
        <v>0.13541666666666666</v>
      </c>
      <c r="F11" s="203">
        <v>0</v>
      </c>
      <c r="G11" s="203">
        <v>0</v>
      </c>
      <c r="H11" s="203">
        <v>0</v>
      </c>
      <c r="I11" s="204">
        <v>0</v>
      </c>
    </row>
    <row r="12" spans="1:9" ht="17.25" customHeight="1" x14ac:dyDescent="0.3">
      <c r="A12" s="179">
        <v>43921</v>
      </c>
      <c r="B12" s="205">
        <v>0.33333333333333331</v>
      </c>
      <c r="C12" s="205">
        <v>0.19791666666666666</v>
      </c>
      <c r="D12" s="205">
        <v>0</v>
      </c>
      <c r="E12" s="205">
        <v>0.13541666666666666</v>
      </c>
      <c r="F12" s="205">
        <v>0</v>
      </c>
      <c r="G12" s="205">
        <v>0</v>
      </c>
      <c r="H12" s="205">
        <v>0</v>
      </c>
      <c r="I12" s="206">
        <v>0</v>
      </c>
    </row>
    <row r="13" spans="1:9" ht="17.25" customHeight="1" x14ac:dyDescent="0.3">
      <c r="A13" s="178">
        <v>43922</v>
      </c>
      <c r="B13" s="203">
        <v>0.33333333333333331</v>
      </c>
      <c r="C13" s="203">
        <v>0.19791666666666666</v>
      </c>
      <c r="D13" s="203">
        <v>0</v>
      </c>
      <c r="E13" s="203">
        <v>0.13541666666666666</v>
      </c>
      <c r="F13" s="203">
        <v>0</v>
      </c>
      <c r="G13" s="203">
        <v>0</v>
      </c>
      <c r="H13" s="203">
        <v>0</v>
      </c>
      <c r="I13" s="204">
        <v>0</v>
      </c>
    </row>
    <row r="14" spans="1:9" ht="17.25" customHeight="1" x14ac:dyDescent="0.3">
      <c r="A14" s="179">
        <v>43923</v>
      </c>
      <c r="B14" s="205">
        <v>0.33333333333333331</v>
      </c>
      <c r="C14" s="205">
        <v>0.19791666666666666</v>
      </c>
      <c r="D14" s="205">
        <v>0</v>
      </c>
      <c r="E14" s="205">
        <v>0.13541666666666666</v>
      </c>
      <c r="F14" s="205">
        <v>0</v>
      </c>
      <c r="G14" s="205">
        <v>0</v>
      </c>
      <c r="H14" s="205">
        <v>0</v>
      </c>
      <c r="I14" s="206">
        <v>0</v>
      </c>
    </row>
    <row r="15" spans="1:9" ht="17.25" customHeight="1" x14ac:dyDescent="0.3">
      <c r="A15" s="178">
        <v>43924</v>
      </c>
      <c r="B15" s="203">
        <v>0.33333333333333331</v>
      </c>
      <c r="C15" s="203">
        <v>0.19791666666666666</v>
      </c>
      <c r="D15" s="203">
        <v>0</v>
      </c>
      <c r="E15" s="203">
        <v>0.13541666666666666</v>
      </c>
      <c r="F15" s="203">
        <v>0</v>
      </c>
      <c r="G15" s="203">
        <v>0</v>
      </c>
      <c r="H15" s="203">
        <v>0</v>
      </c>
      <c r="I15" s="204">
        <v>0</v>
      </c>
    </row>
    <row r="16" spans="1:9" ht="17.25" customHeight="1" x14ac:dyDescent="0.3">
      <c r="A16" s="179">
        <v>43925</v>
      </c>
      <c r="B16" s="205">
        <v>0.22916666666666666</v>
      </c>
      <c r="C16" s="205">
        <v>0.23958333333333334</v>
      </c>
      <c r="D16" s="205">
        <v>1.0416666666666666E-2</v>
      </c>
      <c r="E16" s="205">
        <v>0</v>
      </c>
      <c r="F16" s="205">
        <v>0</v>
      </c>
      <c r="G16" s="205">
        <v>0</v>
      </c>
      <c r="H16" s="205">
        <v>0</v>
      </c>
      <c r="I16" s="206">
        <v>0</v>
      </c>
    </row>
    <row r="17" spans="1:9" ht="17.25" customHeight="1" x14ac:dyDescent="0.3">
      <c r="A17" s="178">
        <v>43926</v>
      </c>
      <c r="B17" s="203">
        <v>0</v>
      </c>
      <c r="C17" s="203">
        <v>0.19791666666666666</v>
      </c>
      <c r="D17" s="203">
        <v>0.19791666666666666</v>
      </c>
      <c r="E17" s="203">
        <v>0</v>
      </c>
      <c r="F17" s="203">
        <v>0</v>
      </c>
      <c r="G17" s="203">
        <v>0</v>
      </c>
      <c r="H17" s="203">
        <v>0</v>
      </c>
      <c r="I17" s="204">
        <v>0</v>
      </c>
    </row>
    <row r="18" spans="1:9" ht="17.25" customHeight="1" x14ac:dyDescent="0.3">
      <c r="A18" s="179">
        <v>43927</v>
      </c>
      <c r="B18" s="205">
        <v>0.33333333333333331</v>
      </c>
      <c r="C18" s="205">
        <v>0.19791666666666666</v>
      </c>
      <c r="D18" s="205">
        <v>0</v>
      </c>
      <c r="E18" s="205">
        <v>0.13541666666666666</v>
      </c>
      <c r="F18" s="205">
        <v>0</v>
      </c>
      <c r="G18" s="205">
        <v>0</v>
      </c>
      <c r="H18" s="205">
        <v>0</v>
      </c>
      <c r="I18" s="206">
        <v>0</v>
      </c>
    </row>
    <row r="19" spans="1:9" ht="17.25" customHeight="1" x14ac:dyDescent="0.3">
      <c r="A19" s="178">
        <v>43928</v>
      </c>
      <c r="B19" s="203">
        <v>0.33333333333333331</v>
      </c>
      <c r="C19" s="203">
        <v>0.19791666666666666</v>
      </c>
      <c r="D19" s="203">
        <v>0</v>
      </c>
      <c r="E19" s="203">
        <v>0.13541666666666666</v>
      </c>
      <c r="F19" s="203">
        <v>0</v>
      </c>
      <c r="G19" s="203">
        <v>0</v>
      </c>
      <c r="H19" s="203">
        <v>0</v>
      </c>
      <c r="I19" s="204">
        <v>0</v>
      </c>
    </row>
    <row r="20" spans="1:9" ht="17.25" customHeight="1" x14ac:dyDescent="0.3">
      <c r="A20" s="179">
        <v>43929</v>
      </c>
      <c r="B20" s="205">
        <v>0.33333333333333331</v>
      </c>
      <c r="C20" s="205">
        <v>0.19791666666666666</v>
      </c>
      <c r="D20" s="205">
        <v>0</v>
      </c>
      <c r="E20" s="205">
        <v>0.13541666666666666</v>
      </c>
      <c r="F20" s="205">
        <v>0</v>
      </c>
      <c r="G20" s="205">
        <v>0</v>
      </c>
      <c r="H20" s="205">
        <v>0</v>
      </c>
      <c r="I20" s="206">
        <v>0</v>
      </c>
    </row>
    <row r="21" spans="1:9" ht="17.25" customHeight="1" x14ac:dyDescent="0.3">
      <c r="A21" s="178">
        <v>43930</v>
      </c>
      <c r="B21" s="203">
        <v>0.33333333333333331</v>
      </c>
      <c r="C21" s="203">
        <v>0.19791666666666666</v>
      </c>
      <c r="D21" s="203">
        <v>0</v>
      </c>
      <c r="E21" s="203">
        <v>0.13541666666666666</v>
      </c>
      <c r="F21" s="203">
        <v>0</v>
      </c>
      <c r="G21" s="203">
        <v>0</v>
      </c>
      <c r="H21" s="203">
        <v>0</v>
      </c>
      <c r="I21" s="204">
        <v>0</v>
      </c>
    </row>
    <row r="22" spans="1:9" ht="17.25" customHeight="1" x14ac:dyDescent="0.3">
      <c r="A22" s="179">
        <v>43931</v>
      </c>
      <c r="B22" s="205">
        <v>0.33333333333333331</v>
      </c>
      <c r="C22" s="205">
        <v>0</v>
      </c>
      <c r="D22" s="205">
        <v>0</v>
      </c>
      <c r="E22" s="205">
        <v>0.33333333333333331</v>
      </c>
      <c r="F22" s="205">
        <v>0</v>
      </c>
      <c r="G22" s="205">
        <v>0</v>
      </c>
      <c r="H22" s="205">
        <v>0</v>
      </c>
      <c r="I22" s="206">
        <v>0</v>
      </c>
    </row>
    <row r="23" spans="1:9" ht="17.25" customHeight="1" thickBot="1" x14ac:dyDescent="0.35">
      <c r="A23" s="175" t="s">
        <v>476</v>
      </c>
      <c r="B23" s="261">
        <v>4.458333333333333</v>
      </c>
      <c r="C23" s="261">
        <v>3.3395833333333331</v>
      </c>
      <c r="D23" s="261">
        <v>0.56527777777777777</v>
      </c>
      <c r="E23" s="261">
        <v>1.6840277777777777</v>
      </c>
      <c r="F23" s="261">
        <v>0</v>
      </c>
      <c r="G23" s="261">
        <v>0</v>
      </c>
      <c r="H23" s="261">
        <v>0</v>
      </c>
      <c r="I23" s="262">
        <v>0</v>
      </c>
    </row>
    <row r="24" spans="1:9" ht="11.25" customHeight="1" thickBot="1" x14ac:dyDescent="0.35"/>
    <row r="25" spans="1:9" ht="17.25" customHeight="1" thickBot="1" x14ac:dyDescent="0.35">
      <c r="A25" s="180"/>
      <c r="B25" s="165" t="s">
        <v>484</v>
      </c>
      <c r="C25" s="192">
        <v>4.458333333333333</v>
      </c>
      <c r="D25" s="181"/>
      <c r="E25" s="165" t="s">
        <v>485</v>
      </c>
      <c r="F25" s="193">
        <v>3.3395833333333336</v>
      </c>
    </row>
    <row r="26" spans="1:9" ht="17.25" customHeight="1" thickBot="1" x14ac:dyDescent="0.35"/>
    <row r="27" spans="1:9" ht="17.25" customHeight="1" x14ac:dyDescent="0.3">
      <c r="A27" s="381" t="s">
        <v>477</v>
      </c>
      <c r="B27" s="382"/>
      <c r="C27" s="382"/>
      <c r="D27" s="382" t="s">
        <v>478</v>
      </c>
      <c r="E27" s="382"/>
      <c r="F27" s="383"/>
      <c r="H27" s="277" t="s">
        <v>479</v>
      </c>
      <c r="I27" s="278" t="s">
        <v>490</v>
      </c>
    </row>
    <row r="28" spans="1:9" ht="17.25" customHeight="1" thickBot="1" x14ac:dyDescent="0.35">
      <c r="A28" s="189"/>
      <c r="B28" s="182" t="s">
        <v>487</v>
      </c>
      <c r="C28" s="194">
        <v>1.6840277777777777</v>
      </c>
      <c r="D28" s="187"/>
      <c r="E28" s="182" t="s">
        <v>481</v>
      </c>
      <c r="F28" s="195">
        <v>0.56527777777777777</v>
      </c>
      <c r="H28" s="197">
        <v>0</v>
      </c>
      <c r="I28" s="202">
        <v>1.1187499999999999</v>
      </c>
    </row>
    <row r="29" spans="1:9" ht="17.25" customHeight="1" thickBot="1" x14ac:dyDescent="0.35">
      <c r="A29" s="190"/>
      <c r="B29" s="183"/>
      <c r="C29" s="188"/>
      <c r="D29" s="188"/>
      <c r="E29" s="183" t="s">
        <v>480</v>
      </c>
      <c r="F29" s="196">
        <v>0</v>
      </c>
    </row>
    <row r="30" spans="1:9" ht="16.5" customHeight="1" thickBot="1" x14ac:dyDescent="0.35">
      <c r="A30" s="184"/>
      <c r="B30" s="191" t="s">
        <v>482</v>
      </c>
      <c r="C30" s="263">
        <v>1.6840277777777777</v>
      </c>
      <c r="D30" s="185"/>
      <c r="E30" s="191" t="s">
        <v>483</v>
      </c>
      <c r="F30" s="264">
        <v>0.56527777777777777</v>
      </c>
      <c r="H30" s="186" t="s">
        <v>491</v>
      </c>
      <c r="I30" s="302">
        <v>0</v>
      </c>
    </row>
  </sheetData>
  <mergeCells count="4">
    <mergeCell ref="A1:I1"/>
    <mergeCell ref="A2:I2"/>
    <mergeCell ref="A27:C27"/>
    <mergeCell ref="D27:F27"/>
  </mergeCells>
  <pageMargins left="0.7" right="0.7" top="0.75" bottom="0.75" header="0.3" footer="0.3"/>
  <pageSetup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rgb="FFA80000"/>
  </sheetPr>
  <dimension ref="A1:H3"/>
  <sheetViews>
    <sheetView showGridLines="0" workbookViewId="0">
      <selection activeCell="D21" sqref="D21"/>
    </sheetView>
  </sheetViews>
  <sheetFormatPr baseColWidth="10" defaultColWidth="11.44140625" defaultRowHeight="14.4" x14ac:dyDescent="0.3"/>
  <cols>
    <col min="1" max="1" width="20" style="253" customWidth="1"/>
    <col min="2" max="2" width="17.21875" style="253" customWidth="1"/>
    <col min="3" max="3" width="45" style="253" customWidth="1"/>
    <col min="4" max="4" width="26.77734375" style="253" customWidth="1"/>
    <col min="5" max="5" width="25.77734375" style="253" customWidth="1"/>
    <col min="6" max="6" width="33.21875" style="253" customWidth="1"/>
    <col min="7" max="7" width="58.44140625" style="253" customWidth="1"/>
    <col min="8" max="8" width="20" style="253" customWidth="1"/>
    <col min="9" max="16384" width="11.44140625" style="253"/>
  </cols>
  <sheetData>
    <row r="1" spans="1:8" ht="25.5" customHeight="1" x14ac:dyDescent="0.3">
      <c r="A1" s="252" t="s">
        <v>176</v>
      </c>
      <c r="B1" s="252" t="s">
        <v>5</v>
      </c>
      <c r="C1" s="252" t="s">
        <v>416</v>
      </c>
      <c r="D1" s="252" t="s">
        <v>515</v>
      </c>
      <c r="E1" s="252" t="s">
        <v>516</v>
      </c>
      <c r="F1" s="252" t="s">
        <v>517</v>
      </c>
      <c r="G1" s="252" t="s">
        <v>507</v>
      </c>
      <c r="H1" s="252" t="s">
        <v>179</v>
      </c>
    </row>
    <row r="2" spans="1:8" x14ac:dyDescent="0.3">
      <c r="A2" s="230">
        <v>43679</v>
      </c>
      <c r="B2" s="252">
        <v>0</v>
      </c>
      <c r="C2" s="252" t="s">
        <v>518</v>
      </c>
      <c r="D2" s="230">
        <v>36526</v>
      </c>
      <c r="E2" s="230">
        <v>36526</v>
      </c>
      <c r="F2" s="109">
        <v>0</v>
      </c>
      <c r="G2" s="252" t="s">
        <v>514</v>
      </c>
      <c r="H2" s="252" t="s">
        <v>219</v>
      </c>
    </row>
    <row r="3" spans="1:8" x14ac:dyDescent="0.3">
      <c r="A3" s="252" t="s">
        <v>419</v>
      </c>
      <c r="B3" s="252"/>
      <c r="C3" s="252"/>
      <c r="D3" s="252"/>
      <c r="E3" s="252"/>
      <c r="F3" s="109">
        <f>SUBTOTAL(109,Tabla18[TIEMPO DE INCAPACIDAD])</f>
        <v>0</v>
      </c>
      <c r="G3" s="252"/>
      <c r="H3" s="252">
        <f>SUBTOTAL(103,Tabla18[USUARIO])</f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5" tint="-0.249977111117893"/>
  </sheetPr>
  <dimension ref="A1:H2"/>
  <sheetViews>
    <sheetView showGridLines="0" workbookViewId="0">
      <selection activeCell="E19" sqref="E19"/>
    </sheetView>
  </sheetViews>
  <sheetFormatPr baseColWidth="10" defaultRowHeight="14.4" x14ac:dyDescent="0.3"/>
  <cols>
    <col min="1" max="1" width="21.21875" style="2" customWidth="1"/>
    <col min="2" max="2" width="13.77734375" style="2" customWidth="1"/>
    <col min="3" max="3" width="39.77734375" style="2" customWidth="1"/>
    <col min="4" max="5" width="28.21875" style="2" customWidth="1"/>
    <col min="6" max="6" width="23.21875" style="2" customWidth="1"/>
    <col min="7" max="7" width="54.21875" style="2" customWidth="1"/>
    <col min="8" max="8" width="23.21875" style="2" customWidth="1"/>
  </cols>
  <sheetData>
    <row r="1" spans="1:8" ht="45" customHeight="1" x14ac:dyDescent="0.3">
      <c r="A1" s="59" t="s">
        <v>362</v>
      </c>
      <c r="B1" s="59" t="s">
        <v>5</v>
      </c>
      <c r="C1" s="59" t="s">
        <v>177</v>
      </c>
      <c r="D1" s="59" t="s">
        <v>506</v>
      </c>
      <c r="E1" s="59" t="s">
        <v>505</v>
      </c>
      <c r="F1" s="59" t="s">
        <v>335</v>
      </c>
      <c r="G1" s="59" t="s">
        <v>332</v>
      </c>
      <c r="H1" s="59" t="s">
        <v>179</v>
      </c>
    </row>
    <row r="2" spans="1:8" x14ac:dyDescent="0.3">
      <c r="A2" s="38">
        <v>43539</v>
      </c>
      <c r="B2" s="2">
        <v>0</v>
      </c>
      <c r="C2" s="2" t="s">
        <v>371</v>
      </c>
      <c r="D2" s="38">
        <v>42092</v>
      </c>
      <c r="E2" s="216">
        <v>42092</v>
      </c>
      <c r="F2" s="2">
        <v>250</v>
      </c>
      <c r="G2" s="2" t="s">
        <v>401</v>
      </c>
      <c r="H2" s="2" t="s">
        <v>398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92" id="{8A329C2F-6043-46C1-986C-20688A306860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E1:E2</xm:sqref>
        </x14:conditionalFormatting>
        <x14:conditionalFormatting xmlns:xm="http://schemas.microsoft.com/office/excel/2006/main">
          <x14:cfRule type="iconSet" priority="2894" id="{371060F0-2251-42EA-B937-07353D5B60AB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D1:D2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I330"/>
  <sheetViews>
    <sheetView showGridLines="0" zoomScale="90" zoomScaleNormal="90" workbookViewId="0">
      <selection activeCell="F10" sqref="F10"/>
    </sheetView>
  </sheetViews>
  <sheetFormatPr baseColWidth="10" defaultRowHeight="14.4" x14ac:dyDescent="0.3"/>
  <cols>
    <col min="1" max="1" width="15" style="2" customWidth="1"/>
    <col min="2" max="2" width="10.21875" style="2" customWidth="1"/>
    <col min="3" max="3" width="41.5546875" style="2" bestFit="1" customWidth="1"/>
    <col min="4" max="4" width="24.77734375" style="2" customWidth="1"/>
    <col min="5" max="5" width="19.77734375" style="2" customWidth="1"/>
    <col min="6" max="6" width="16.21875" style="65" customWidth="1"/>
    <col min="7" max="7" width="103.5546875" style="2" bestFit="1" customWidth="1"/>
    <col min="8" max="8" width="19.5546875" style="2" bestFit="1" customWidth="1"/>
    <col min="9" max="9" width="23.21875" style="2" customWidth="1"/>
  </cols>
  <sheetData>
    <row r="1" spans="1:9" ht="45" customHeight="1" x14ac:dyDescent="0.3">
      <c r="A1" s="59" t="s">
        <v>362</v>
      </c>
      <c r="B1" s="217" t="s">
        <v>5</v>
      </c>
      <c r="C1" s="59" t="s">
        <v>177</v>
      </c>
      <c r="D1" s="59" t="s">
        <v>506</v>
      </c>
      <c r="E1" s="59" t="s">
        <v>505</v>
      </c>
      <c r="F1" s="84" t="s">
        <v>411</v>
      </c>
      <c r="G1" s="59" t="s">
        <v>332</v>
      </c>
      <c r="H1" s="59" t="s">
        <v>179</v>
      </c>
      <c r="I1"/>
    </row>
    <row r="2" spans="1:9" x14ac:dyDescent="0.3">
      <c r="A2" s="38">
        <v>43539</v>
      </c>
      <c r="B2" s="2">
        <v>0</v>
      </c>
      <c r="C2" s="177" t="s">
        <v>371</v>
      </c>
      <c r="D2" s="38">
        <v>42092</v>
      </c>
      <c r="E2" s="216">
        <v>42795</v>
      </c>
      <c r="F2" s="221">
        <v>0</v>
      </c>
      <c r="G2" s="177" t="s">
        <v>418</v>
      </c>
      <c r="H2" s="2" t="s">
        <v>398</v>
      </c>
      <c r="I2"/>
    </row>
    <row r="3" spans="1:9" x14ac:dyDescent="0.3">
      <c r="I3"/>
    </row>
    <row r="4" spans="1:9" x14ac:dyDescent="0.3">
      <c r="I4"/>
    </row>
    <row r="5" spans="1:9" x14ac:dyDescent="0.3">
      <c r="I5"/>
    </row>
    <row r="6" spans="1:9" x14ac:dyDescent="0.3">
      <c r="I6"/>
    </row>
    <row r="7" spans="1:9" x14ac:dyDescent="0.3">
      <c r="I7"/>
    </row>
    <row r="8" spans="1:9" x14ac:dyDescent="0.3">
      <c r="I8"/>
    </row>
    <row r="9" spans="1:9" x14ac:dyDescent="0.3">
      <c r="I9"/>
    </row>
    <row r="10" spans="1:9" x14ac:dyDescent="0.3">
      <c r="I10"/>
    </row>
    <row r="11" spans="1:9" x14ac:dyDescent="0.3">
      <c r="I11"/>
    </row>
    <row r="12" spans="1:9" x14ac:dyDescent="0.3">
      <c r="I12"/>
    </row>
    <row r="13" spans="1:9" x14ac:dyDescent="0.3">
      <c r="I13"/>
    </row>
    <row r="14" spans="1:9" x14ac:dyDescent="0.3">
      <c r="I14"/>
    </row>
    <row r="15" spans="1:9" x14ac:dyDescent="0.3">
      <c r="I15"/>
    </row>
    <row r="16" spans="1:9" x14ac:dyDescent="0.3">
      <c r="I16"/>
    </row>
    <row r="17" spans="9:9" x14ac:dyDescent="0.3">
      <c r="I17"/>
    </row>
    <row r="18" spans="9:9" x14ac:dyDescent="0.3">
      <c r="I18"/>
    </row>
    <row r="19" spans="9:9" x14ac:dyDescent="0.3">
      <c r="I19"/>
    </row>
    <row r="20" spans="9:9" x14ac:dyDescent="0.3">
      <c r="I20"/>
    </row>
    <row r="21" spans="9:9" x14ac:dyDescent="0.3">
      <c r="I21"/>
    </row>
    <row r="22" spans="9:9" x14ac:dyDescent="0.3">
      <c r="I22"/>
    </row>
    <row r="23" spans="9:9" x14ac:dyDescent="0.3">
      <c r="I23"/>
    </row>
    <row r="24" spans="9:9" x14ac:dyDescent="0.3">
      <c r="I24"/>
    </row>
    <row r="25" spans="9:9" x14ac:dyDescent="0.3">
      <c r="I25"/>
    </row>
    <row r="26" spans="9:9" x14ac:dyDescent="0.3">
      <c r="I26"/>
    </row>
    <row r="27" spans="9:9" x14ac:dyDescent="0.3">
      <c r="I27"/>
    </row>
    <row r="28" spans="9:9" x14ac:dyDescent="0.3">
      <c r="I28"/>
    </row>
    <row r="29" spans="9:9" x14ac:dyDescent="0.3">
      <c r="I29"/>
    </row>
    <row r="30" spans="9:9" x14ac:dyDescent="0.3">
      <c r="I30"/>
    </row>
    <row r="31" spans="9:9" x14ac:dyDescent="0.3">
      <c r="I31"/>
    </row>
    <row r="32" spans="9:9" x14ac:dyDescent="0.3">
      <c r="I32"/>
    </row>
    <row r="33" spans="9:9" x14ac:dyDescent="0.3">
      <c r="I33"/>
    </row>
    <row r="34" spans="9:9" x14ac:dyDescent="0.3">
      <c r="I34"/>
    </row>
    <row r="35" spans="9:9" x14ac:dyDescent="0.3">
      <c r="I35"/>
    </row>
    <row r="36" spans="9:9" x14ac:dyDescent="0.3">
      <c r="I36"/>
    </row>
    <row r="37" spans="9:9" x14ac:dyDescent="0.3">
      <c r="I37"/>
    </row>
    <row r="38" spans="9:9" x14ac:dyDescent="0.3">
      <c r="I38"/>
    </row>
    <row r="39" spans="9:9" x14ac:dyDescent="0.3">
      <c r="I39"/>
    </row>
    <row r="40" spans="9:9" x14ac:dyDescent="0.3">
      <c r="I40"/>
    </row>
    <row r="41" spans="9:9" x14ac:dyDescent="0.3">
      <c r="I41"/>
    </row>
    <row r="42" spans="9:9" x14ac:dyDescent="0.3">
      <c r="I42"/>
    </row>
    <row r="43" spans="9:9" x14ac:dyDescent="0.3">
      <c r="I43"/>
    </row>
    <row r="44" spans="9:9" x14ac:dyDescent="0.3">
      <c r="I44"/>
    </row>
    <row r="45" spans="9:9" x14ac:dyDescent="0.3">
      <c r="I45"/>
    </row>
    <row r="46" spans="9:9" x14ac:dyDescent="0.3">
      <c r="I46"/>
    </row>
    <row r="47" spans="9:9" x14ac:dyDescent="0.3">
      <c r="I47"/>
    </row>
    <row r="48" spans="9:9" x14ac:dyDescent="0.3">
      <c r="I48"/>
    </row>
    <row r="49" spans="9:9" x14ac:dyDescent="0.3">
      <c r="I49"/>
    </row>
    <row r="50" spans="9:9" x14ac:dyDescent="0.3">
      <c r="I50"/>
    </row>
    <row r="51" spans="9:9" x14ac:dyDescent="0.3">
      <c r="I51"/>
    </row>
    <row r="52" spans="9:9" x14ac:dyDescent="0.3">
      <c r="I52"/>
    </row>
    <row r="53" spans="9:9" x14ac:dyDescent="0.3">
      <c r="I53"/>
    </row>
    <row r="54" spans="9:9" x14ac:dyDescent="0.3">
      <c r="I54"/>
    </row>
    <row r="55" spans="9:9" x14ac:dyDescent="0.3">
      <c r="I55"/>
    </row>
    <row r="56" spans="9:9" x14ac:dyDescent="0.3">
      <c r="I56"/>
    </row>
    <row r="57" spans="9:9" x14ac:dyDescent="0.3">
      <c r="I57"/>
    </row>
    <row r="58" spans="9:9" x14ac:dyDescent="0.3">
      <c r="I58"/>
    </row>
    <row r="59" spans="9:9" x14ac:dyDescent="0.3">
      <c r="I59"/>
    </row>
    <row r="60" spans="9:9" x14ac:dyDescent="0.3">
      <c r="I60"/>
    </row>
    <row r="61" spans="9:9" x14ac:dyDescent="0.3">
      <c r="I61"/>
    </row>
    <row r="62" spans="9:9" x14ac:dyDescent="0.3">
      <c r="I62"/>
    </row>
    <row r="63" spans="9:9" x14ac:dyDescent="0.3">
      <c r="I63"/>
    </row>
    <row r="64" spans="9:9" x14ac:dyDescent="0.3">
      <c r="I64"/>
    </row>
    <row r="65" spans="9:9" x14ac:dyDescent="0.3">
      <c r="I65"/>
    </row>
    <row r="66" spans="9:9" x14ac:dyDescent="0.3">
      <c r="I66"/>
    </row>
    <row r="67" spans="9:9" x14ac:dyDescent="0.3">
      <c r="I67"/>
    </row>
    <row r="68" spans="9:9" x14ac:dyDescent="0.3">
      <c r="I68"/>
    </row>
    <row r="69" spans="9:9" x14ac:dyDescent="0.3">
      <c r="I69"/>
    </row>
    <row r="70" spans="9:9" x14ac:dyDescent="0.3">
      <c r="I70"/>
    </row>
    <row r="71" spans="9:9" x14ac:dyDescent="0.3">
      <c r="I71"/>
    </row>
    <row r="72" spans="9:9" x14ac:dyDescent="0.3">
      <c r="I72"/>
    </row>
    <row r="73" spans="9:9" x14ac:dyDescent="0.3">
      <c r="I73"/>
    </row>
    <row r="74" spans="9:9" x14ac:dyDescent="0.3">
      <c r="I74"/>
    </row>
    <row r="75" spans="9:9" x14ac:dyDescent="0.3">
      <c r="I75"/>
    </row>
    <row r="76" spans="9:9" x14ac:dyDescent="0.3">
      <c r="I76"/>
    </row>
    <row r="77" spans="9:9" x14ac:dyDescent="0.3">
      <c r="I77"/>
    </row>
    <row r="78" spans="9:9" x14ac:dyDescent="0.3">
      <c r="I78"/>
    </row>
    <row r="79" spans="9:9" x14ac:dyDescent="0.3">
      <c r="I79"/>
    </row>
    <row r="80" spans="9:9" x14ac:dyDescent="0.3">
      <c r="I80"/>
    </row>
    <row r="81" spans="9:9" x14ac:dyDescent="0.3">
      <c r="I81"/>
    </row>
    <row r="82" spans="9:9" x14ac:dyDescent="0.3">
      <c r="I82"/>
    </row>
    <row r="83" spans="9:9" x14ac:dyDescent="0.3">
      <c r="I83"/>
    </row>
    <row r="84" spans="9:9" x14ac:dyDescent="0.3">
      <c r="I84"/>
    </row>
    <row r="85" spans="9:9" x14ac:dyDescent="0.3">
      <c r="I85"/>
    </row>
    <row r="86" spans="9:9" x14ac:dyDescent="0.3">
      <c r="I86"/>
    </row>
    <row r="87" spans="9:9" x14ac:dyDescent="0.3">
      <c r="I87"/>
    </row>
    <row r="88" spans="9:9" x14ac:dyDescent="0.3">
      <c r="I88"/>
    </row>
    <row r="89" spans="9:9" x14ac:dyDescent="0.3">
      <c r="I89"/>
    </row>
    <row r="90" spans="9:9" x14ac:dyDescent="0.3">
      <c r="I90"/>
    </row>
    <row r="91" spans="9:9" x14ac:dyDescent="0.3">
      <c r="I91"/>
    </row>
    <row r="92" spans="9:9" x14ac:dyDescent="0.3">
      <c r="I92"/>
    </row>
    <row r="93" spans="9:9" x14ac:dyDescent="0.3">
      <c r="I93"/>
    </row>
    <row r="94" spans="9:9" x14ac:dyDescent="0.3">
      <c r="I94"/>
    </row>
    <row r="95" spans="9:9" x14ac:dyDescent="0.3">
      <c r="I95"/>
    </row>
    <row r="96" spans="9:9" x14ac:dyDescent="0.3">
      <c r="I96"/>
    </row>
    <row r="97" spans="9:9" x14ac:dyDescent="0.3">
      <c r="I97"/>
    </row>
    <row r="98" spans="9:9" x14ac:dyDescent="0.3">
      <c r="I98"/>
    </row>
    <row r="99" spans="9:9" x14ac:dyDescent="0.3">
      <c r="I99"/>
    </row>
    <row r="100" spans="9:9" x14ac:dyDescent="0.3">
      <c r="I100"/>
    </row>
    <row r="101" spans="9:9" x14ac:dyDescent="0.3">
      <c r="I101"/>
    </row>
    <row r="102" spans="9:9" x14ac:dyDescent="0.3">
      <c r="I102"/>
    </row>
    <row r="103" spans="9:9" x14ac:dyDescent="0.3">
      <c r="I103"/>
    </row>
    <row r="104" spans="9:9" x14ac:dyDescent="0.3">
      <c r="I104"/>
    </row>
    <row r="105" spans="9:9" x14ac:dyDescent="0.3">
      <c r="I105"/>
    </row>
    <row r="106" spans="9:9" x14ac:dyDescent="0.3">
      <c r="I106"/>
    </row>
    <row r="107" spans="9:9" x14ac:dyDescent="0.3">
      <c r="I107"/>
    </row>
    <row r="108" spans="9:9" x14ac:dyDescent="0.3">
      <c r="I108"/>
    </row>
    <row r="109" spans="9:9" x14ac:dyDescent="0.3">
      <c r="I109"/>
    </row>
    <row r="110" spans="9:9" x14ac:dyDescent="0.3">
      <c r="I110"/>
    </row>
    <row r="111" spans="9:9" x14ac:dyDescent="0.3">
      <c r="I111"/>
    </row>
    <row r="112" spans="9:9" x14ac:dyDescent="0.3">
      <c r="I112"/>
    </row>
    <row r="113" spans="9:9" x14ac:dyDescent="0.3">
      <c r="I113"/>
    </row>
    <row r="114" spans="9:9" x14ac:dyDescent="0.3">
      <c r="I114"/>
    </row>
    <row r="115" spans="9:9" x14ac:dyDescent="0.3">
      <c r="I115"/>
    </row>
    <row r="116" spans="9:9" x14ac:dyDescent="0.3">
      <c r="I116"/>
    </row>
    <row r="117" spans="9:9" x14ac:dyDescent="0.3">
      <c r="I117"/>
    </row>
    <row r="118" spans="9:9" x14ac:dyDescent="0.3">
      <c r="I118"/>
    </row>
    <row r="119" spans="9:9" x14ac:dyDescent="0.3">
      <c r="I119"/>
    </row>
    <row r="120" spans="9:9" x14ac:dyDescent="0.3">
      <c r="I120"/>
    </row>
    <row r="121" spans="9:9" x14ac:dyDescent="0.3">
      <c r="I121"/>
    </row>
    <row r="122" spans="9:9" x14ac:dyDescent="0.3">
      <c r="I122"/>
    </row>
    <row r="123" spans="9:9" x14ac:dyDescent="0.3">
      <c r="I123"/>
    </row>
    <row r="124" spans="9:9" x14ac:dyDescent="0.3">
      <c r="I124"/>
    </row>
    <row r="125" spans="9:9" x14ac:dyDescent="0.3">
      <c r="I125"/>
    </row>
    <row r="126" spans="9:9" x14ac:dyDescent="0.3">
      <c r="I126"/>
    </row>
    <row r="127" spans="9:9" x14ac:dyDescent="0.3">
      <c r="I127"/>
    </row>
    <row r="128" spans="9:9" x14ac:dyDescent="0.3">
      <c r="I128"/>
    </row>
    <row r="129" spans="9:9" x14ac:dyDescent="0.3">
      <c r="I129"/>
    </row>
    <row r="130" spans="9:9" x14ac:dyDescent="0.3">
      <c r="I130"/>
    </row>
    <row r="131" spans="9:9" x14ac:dyDescent="0.3">
      <c r="I131"/>
    </row>
    <row r="132" spans="9:9" x14ac:dyDescent="0.3">
      <c r="I132"/>
    </row>
    <row r="133" spans="9:9" x14ac:dyDescent="0.3">
      <c r="I133"/>
    </row>
    <row r="134" spans="9:9" x14ac:dyDescent="0.3">
      <c r="I134"/>
    </row>
    <row r="135" spans="9:9" x14ac:dyDescent="0.3">
      <c r="I135"/>
    </row>
    <row r="136" spans="9:9" x14ac:dyDescent="0.3">
      <c r="I136"/>
    </row>
    <row r="137" spans="9:9" x14ac:dyDescent="0.3">
      <c r="I137"/>
    </row>
    <row r="138" spans="9:9" x14ac:dyDescent="0.3">
      <c r="I138"/>
    </row>
    <row r="139" spans="9:9" x14ac:dyDescent="0.3">
      <c r="I139"/>
    </row>
    <row r="140" spans="9:9" x14ac:dyDescent="0.3">
      <c r="I140"/>
    </row>
    <row r="141" spans="9:9" x14ac:dyDescent="0.3">
      <c r="I141"/>
    </row>
    <row r="142" spans="9:9" x14ac:dyDescent="0.3">
      <c r="I142"/>
    </row>
    <row r="143" spans="9:9" x14ac:dyDescent="0.3">
      <c r="I143"/>
    </row>
    <row r="144" spans="9:9" x14ac:dyDescent="0.3">
      <c r="I144"/>
    </row>
    <row r="145" spans="9:9" x14ac:dyDescent="0.3">
      <c r="I145"/>
    </row>
    <row r="146" spans="9:9" x14ac:dyDescent="0.3">
      <c r="I146"/>
    </row>
    <row r="147" spans="9:9" x14ac:dyDescent="0.3">
      <c r="I147"/>
    </row>
    <row r="148" spans="9:9" x14ac:dyDescent="0.3">
      <c r="I148"/>
    </row>
    <row r="149" spans="9:9" x14ac:dyDescent="0.3">
      <c r="I149"/>
    </row>
    <row r="150" spans="9:9" x14ac:dyDescent="0.3">
      <c r="I150"/>
    </row>
    <row r="151" spans="9:9" x14ac:dyDescent="0.3">
      <c r="I151"/>
    </row>
    <row r="152" spans="9:9" x14ac:dyDescent="0.3">
      <c r="I152"/>
    </row>
    <row r="153" spans="9:9" x14ac:dyDescent="0.3">
      <c r="I153"/>
    </row>
    <row r="154" spans="9:9" x14ac:dyDescent="0.3">
      <c r="I154"/>
    </row>
    <row r="155" spans="9:9" x14ac:dyDescent="0.3">
      <c r="I155"/>
    </row>
    <row r="156" spans="9:9" x14ac:dyDescent="0.3">
      <c r="I156"/>
    </row>
    <row r="157" spans="9:9" x14ac:dyDescent="0.3">
      <c r="I157"/>
    </row>
    <row r="158" spans="9:9" x14ac:dyDescent="0.3">
      <c r="I158"/>
    </row>
    <row r="159" spans="9:9" x14ac:dyDescent="0.3">
      <c r="I159"/>
    </row>
    <row r="160" spans="9:9" x14ac:dyDescent="0.3">
      <c r="I160"/>
    </row>
    <row r="161" spans="9:9" x14ac:dyDescent="0.3">
      <c r="I161"/>
    </row>
    <row r="162" spans="9:9" x14ac:dyDescent="0.3">
      <c r="I162"/>
    </row>
    <row r="163" spans="9:9" x14ac:dyDescent="0.3">
      <c r="I163"/>
    </row>
    <row r="164" spans="9:9" x14ac:dyDescent="0.3">
      <c r="I164"/>
    </row>
    <row r="165" spans="9:9" x14ac:dyDescent="0.3">
      <c r="I165"/>
    </row>
    <row r="166" spans="9:9" x14ac:dyDescent="0.3">
      <c r="I166"/>
    </row>
    <row r="167" spans="9:9" x14ac:dyDescent="0.3">
      <c r="I167"/>
    </row>
    <row r="168" spans="9:9" x14ac:dyDescent="0.3">
      <c r="I168"/>
    </row>
    <row r="169" spans="9:9" x14ac:dyDescent="0.3">
      <c r="I169"/>
    </row>
    <row r="170" spans="9:9" x14ac:dyDescent="0.3">
      <c r="I170"/>
    </row>
    <row r="171" spans="9:9" x14ac:dyDescent="0.3">
      <c r="I171"/>
    </row>
    <row r="172" spans="9:9" x14ac:dyDescent="0.3">
      <c r="I172"/>
    </row>
    <row r="173" spans="9:9" x14ac:dyDescent="0.3">
      <c r="I173"/>
    </row>
    <row r="174" spans="9:9" x14ac:dyDescent="0.3">
      <c r="I174"/>
    </row>
    <row r="175" spans="9:9" x14ac:dyDescent="0.3">
      <c r="I175"/>
    </row>
    <row r="176" spans="9:9" x14ac:dyDescent="0.3">
      <c r="I176"/>
    </row>
    <row r="177" spans="9:9" x14ac:dyDescent="0.3">
      <c r="I177"/>
    </row>
    <row r="178" spans="9:9" x14ac:dyDescent="0.3">
      <c r="I178"/>
    </row>
    <row r="179" spans="9:9" x14ac:dyDescent="0.3">
      <c r="I179"/>
    </row>
    <row r="180" spans="9:9" x14ac:dyDescent="0.3">
      <c r="I180"/>
    </row>
    <row r="181" spans="9:9" x14ac:dyDescent="0.3">
      <c r="I181"/>
    </row>
    <row r="182" spans="9:9" x14ac:dyDescent="0.3">
      <c r="I182"/>
    </row>
    <row r="183" spans="9:9" x14ac:dyDescent="0.3">
      <c r="I183"/>
    </row>
    <row r="184" spans="9:9" x14ac:dyDescent="0.3">
      <c r="I184"/>
    </row>
    <row r="185" spans="9:9" x14ac:dyDescent="0.3">
      <c r="I185"/>
    </row>
    <row r="186" spans="9:9" x14ac:dyDescent="0.3">
      <c r="I186"/>
    </row>
    <row r="187" spans="9:9" x14ac:dyDescent="0.3">
      <c r="I187"/>
    </row>
    <row r="188" spans="9:9" x14ac:dyDescent="0.3">
      <c r="I188"/>
    </row>
    <row r="189" spans="9:9" x14ac:dyDescent="0.3">
      <c r="I189"/>
    </row>
    <row r="190" spans="9:9" x14ac:dyDescent="0.3">
      <c r="I190"/>
    </row>
    <row r="191" spans="9:9" x14ac:dyDescent="0.3">
      <c r="I191"/>
    </row>
    <row r="192" spans="9:9" x14ac:dyDescent="0.3">
      <c r="I192"/>
    </row>
    <row r="193" spans="9:9" x14ac:dyDescent="0.3">
      <c r="I193"/>
    </row>
    <row r="194" spans="9:9" x14ac:dyDescent="0.3">
      <c r="I194"/>
    </row>
    <row r="195" spans="9:9" x14ac:dyDescent="0.3">
      <c r="I195"/>
    </row>
    <row r="196" spans="9:9" x14ac:dyDescent="0.3">
      <c r="I196"/>
    </row>
    <row r="197" spans="9:9" x14ac:dyDescent="0.3">
      <c r="I197"/>
    </row>
    <row r="198" spans="9:9" x14ac:dyDescent="0.3">
      <c r="I198"/>
    </row>
    <row r="199" spans="9:9" x14ac:dyDescent="0.3">
      <c r="I199"/>
    </row>
    <row r="200" spans="9:9" x14ac:dyDescent="0.3">
      <c r="I200"/>
    </row>
    <row r="201" spans="9:9" x14ac:dyDescent="0.3">
      <c r="I201"/>
    </row>
    <row r="202" spans="9:9" x14ac:dyDescent="0.3">
      <c r="I202"/>
    </row>
    <row r="203" spans="9:9" x14ac:dyDescent="0.3">
      <c r="I203"/>
    </row>
    <row r="204" spans="9:9" x14ac:dyDescent="0.3">
      <c r="I204"/>
    </row>
    <row r="205" spans="9:9" x14ac:dyDescent="0.3">
      <c r="I205"/>
    </row>
    <row r="206" spans="9:9" x14ac:dyDescent="0.3">
      <c r="I206"/>
    </row>
    <row r="207" spans="9:9" x14ac:dyDescent="0.3">
      <c r="I207"/>
    </row>
    <row r="208" spans="9:9" x14ac:dyDescent="0.3">
      <c r="I208"/>
    </row>
    <row r="209" spans="9:9" x14ac:dyDescent="0.3">
      <c r="I209"/>
    </row>
    <row r="210" spans="9:9" x14ac:dyDescent="0.3">
      <c r="I210"/>
    </row>
    <row r="211" spans="9:9" x14ac:dyDescent="0.3">
      <c r="I211"/>
    </row>
    <row r="212" spans="9:9" x14ac:dyDescent="0.3">
      <c r="I212"/>
    </row>
    <row r="213" spans="9:9" x14ac:dyDescent="0.3">
      <c r="I213"/>
    </row>
    <row r="214" spans="9:9" x14ac:dyDescent="0.3">
      <c r="I214"/>
    </row>
    <row r="215" spans="9:9" x14ac:dyDescent="0.3">
      <c r="I215"/>
    </row>
    <row r="216" spans="9:9" x14ac:dyDescent="0.3">
      <c r="I216"/>
    </row>
    <row r="217" spans="9:9" x14ac:dyDescent="0.3">
      <c r="I217"/>
    </row>
    <row r="218" spans="9:9" x14ac:dyDescent="0.3">
      <c r="I218"/>
    </row>
    <row r="219" spans="9:9" x14ac:dyDescent="0.3">
      <c r="I219"/>
    </row>
    <row r="220" spans="9:9" x14ac:dyDescent="0.3">
      <c r="I220"/>
    </row>
    <row r="221" spans="9:9" x14ac:dyDescent="0.3">
      <c r="I221"/>
    </row>
    <row r="222" spans="9:9" x14ac:dyDescent="0.3">
      <c r="I222"/>
    </row>
    <row r="223" spans="9:9" x14ac:dyDescent="0.3">
      <c r="I223"/>
    </row>
    <row r="224" spans="9:9" x14ac:dyDescent="0.3">
      <c r="I224"/>
    </row>
    <row r="225" spans="9:9" x14ac:dyDescent="0.3">
      <c r="I225"/>
    </row>
    <row r="226" spans="9:9" x14ac:dyDescent="0.3">
      <c r="I226"/>
    </row>
    <row r="227" spans="9:9" x14ac:dyDescent="0.3">
      <c r="I227"/>
    </row>
    <row r="228" spans="9:9" x14ac:dyDescent="0.3">
      <c r="I228"/>
    </row>
    <row r="229" spans="9:9" x14ac:dyDescent="0.3">
      <c r="I229"/>
    </row>
    <row r="230" spans="9:9" x14ac:dyDescent="0.3">
      <c r="I230"/>
    </row>
    <row r="231" spans="9:9" x14ac:dyDescent="0.3">
      <c r="I231"/>
    </row>
    <row r="232" spans="9:9" x14ac:dyDescent="0.3">
      <c r="I232"/>
    </row>
    <row r="233" spans="9:9" x14ac:dyDescent="0.3">
      <c r="I233"/>
    </row>
    <row r="234" spans="9:9" x14ac:dyDescent="0.3">
      <c r="I234"/>
    </row>
    <row r="235" spans="9:9" x14ac:dyDescent="0.3">
      <c r="I235"/>
    </row>
    <row r="236" spans="9:9" x14ac:dyDescent="0.3">
      <c r="I236"/>
    </row>
    <row r="237" spans="9:9" x14ac:dyDescent="0.3">
      <c r="I237"/>
    </row>
    <row r="238" spans="9:9" x14ac:dyDescent="0.3">
      <c r="I238"/>
    </row>
    <row r="239" spans="9:9" x14ac:dyDescent="0.3">
      <c r="I239"/>
    </row>
    <row r="240" spans="9:9" x14ac:dyDescent="0.3">
      <c r="I240"/>
    </row>
    <row r="241" spans="9:9" x14ac:dyDescent="0.3">
      <c r="I241"/>
    </row>
    <row r="242" spans="9:9" x14ac:dyDescent="0.3">
      <c r="I242"/>
    </row>
    <row r="243" spans="9:9" x14ac:dyDescent="0.3">
      <c r="I243"/>
    </row>
    <row r="244" spans="9:9" x14ac:dyDescent="0.3">
      <c r="I244"/>
    </row>
    <row r="245" spans="9:9" x14ac:dyDescent="0.3">
      <c r="I245"/>
    </row>
    <row r="246" spans="9:9" x14ac:dyDescent="0.3">
      <c r="I246"/>
    </row>
    <row r="247" spans="9:9" x14ac:dyDescent="0.3">
      <c r="I247"/>
    </row>
    <row r="248" spans="9:9" x14ac:dyDescent="0.3">
      <c r="I248"/>
    </row>
    <row r="249" spans="9:9" x14ac:dyDescent="0.3">
      <c r="I249"/>
    </row>
    <row r="250" spans="9:9" x14ac:dyDescent="0.3">
      <c r="I250"/>
    </row>
    <row r="251" spans="9:9" x14ac:dyDescent="0.3">
      <c r="I251"/>
    </row>
    <row r="252" spans="9:9" x14ac:dyDescent="0.3">
      <c r="I252"/>
    </row>
    <row r="253" spans="9:9" x14ac:dyDescent="0.3">
      <c r="I253"/>
    </row>
    <row r="254" spans="9:9" x14ac:dyDescent="0.3">
      <c r="I254"/>
    </row>
    <row r="255" spans="9:9" x14ac:dyDescent="0.3">
      <c r="I255"/>
    </row>
    <row r="256" spans="9:9" x14ac:dyDescent="0.3">
      <c r="I256"/>
    </row>
    <row r="257" spans="9:9" x14ac:dyDescent="0.3">
      <c r="I257"/>
    </row>
    <row r="258" spans="9:9" x14ac:dyDescent="0.3">
      <c r="I258"/>
    </row>
    <row r="259" spans="9:9" x14ac:dyDescent="0.3">
      <c r="I259"/>
    </row>
    <row r="260" spans="9:9" x14ac:dyDescent="0.3">
      <c r="I260"/>
    </row>
    <row r="261" spans="9:9" x14ac:dyDescent="0.3">
      <c r="I261"/>
    </row>
    <row r="262" spans="9:9" x14ac:dyDescent="0.3">
      <c r="I262"/>
    </row>
    <row r="263" spans="9:9" x14ac:dyDescent="0.3">
      <c r="I263"/>
    </row>
    <row r="264" spans="9:9" x14ac:dyDescent="0.3">
      <c r="I264"/>
    </row>
    <row r="265" spans="9:9" x14ac:dyDescent="0.3">
      <c r="I265"/>
    </row>
    <row r="266" spans="9:9" x14ac:dyDescent="0.3">
      <c r="I266"/>
    </row>
    <row r="267" spans="9:9" x14ac:dyDescent="0.3">
      <c r="I267"/>
    </row>
    <row r="268" spans="9:9" x14ac:dyDescent="0.3">
      <c r="I268"/>
    </row>
    <row r="269" spans="9:9" x14ac:dyDescent="0.3">
      <c r="I269"/>
    </row>
    <row r="270" spans="9:9" x14ac:dyDescent="0.3">
      <c r="I270"/>
    </row>
    <row r="271" spans="9:9" x14ac:dyDescent="0.3">
      <c r="I271"/>
    </row>
    <row r="272" spans="9:9" x14ac:dyDescent="0.3">
      <c r="I272"/>
    </row>
    <row r="273" spans="9:9" x14ac:dyDescent="0.3">
      <c r="I273"/>
    </row>
    <row r="274" spans="9:9" x14ac:dyDescent="0.3">
      <c r="I274"/>
    </row>
    <row r="275" spans="9:9" x14ac:dyDescent="0.3">
      <c r="I275"/>
    </row>
    <row r="276" spans="9:9" x14ac:dyDescent="0.3">
      <c r="I276"/>
    </row>
    <row r="277" spans="9:9" x14ac:dyDescent="0.3">
      <c r="I277"/>
    </row>
    <row r="278" spans="9:9" x14ac:dyDescent="0.3">
      <c r="I278"/>
    </row>
    <row r="279" spans="9:9" x14ac:dyDescent="0.3">
      <c r="I279"/>
    </row>
    <row r="280" spans="9:9" x14ac:dyDescent="0.3">
      <c r="I280"/>
    </row>
    <row r="281" spans="9:9" x14ac:dyDescent="0.3">
      <c r="I281"/>
    </row>
    <row r="282" spans="9:9" x14ac:dyDescent="0.3">
      <c r="I282"/>
    </row>
    <row r="283" spans="9:9" x14ac:dyDescent="0.3">
      <c r="I283"/>
    </row>
    <row r="284" spans="9:9" x14ac:dyDescent="0.3">
      <c r="I284"/>
    </row>
    <row r="285" spans="9:9" x14ac:dyDescent="0.3">
      <c r="I285"/>
    </row>
    <row r="286" spans="9:9" x14ac:dyDescent="0.3">
      <c r="I286"/>
    </row>
    <row r="287" spans="9:9" x14ac:dyDescent="0.3">
      <c r="I287"/>
    </row>
    <row r="288" spans="9:9" x14ac:dyDescent="0.3">
      <c r="I288"/>
    </row>
    <row r="289" spans="9:9" x14ac:dyDescent="0.3">
      <c r="I289"/>
    </row>
    <row r="290" spans="9:9" x14ac:dyDescent="0.3">
      <c r="I290"/>
    </row>
    <row r="291" spans="9:9" x14ac:dyDescent="0.3">
      <c r="I291"/>
    </row>
    <row r="292" spans="9:9" x14ac:dyDescent="0.3">
      <c r="I292"/>
    </row>
    <row r="293" spans="9:9" x14ac:dyDescent="0.3">
      <c r="I293"/>
    </row>
    <row r="294" spans="9:9" x14ac:dyDescent="0.3">
      <c r="I294"/>
    </row>
    <row r="295" spans="9:9" x14ac:dyDescent="0.3">
      <c r="I295"/>
    </row>
    <row r="296" spans="9:9" x14ac:dyDescent="0.3">
      <c r="I296"/>
    </row>
    <row r="297" spans="9:9" x14ac:dyDescent="0.3">
      <c r="I297"/>
    </row>
    <row r="298" spans="9:9" x14ac:dyDescent="0.3">
      <c r="I298"/>
    </row>
    <row r="299" spans="9:9" x14ac:dyDescent="0.3">
      <c r="I299"/>
    </row>
    <row r="300" spans="9:9" x14ac:dyDescent="0.3">
      <c r="I300"/>
    </row>
    <row r="301" spans="9:9" x14ac:dyDescent="0.3">
      <c r="I301"/>
    </row>
    <row r="302" spans="9:9" x14ac:dyDescent="0.3">
      <c r="I302"/>
    </row>
    <row r="303" spans="9:9" x14ac:dyDescent="0.3">
      <c r="I303"/>
    </row>
    <row r="304" spans="9:9" x14ac:dyDescent="0.3">
      <c r="I304"/>
    </row>
    <row r="305" spans="9:9" x14ac:dyDescent="0.3">
      <c r="I305"/>
    </row>
    <row r="306" spans="9:9" x14ac:dyDescent="0.3">
      <c r="I306"/>
    </row>
    <row r="307" spans="9:9" x14ac:dyDescent="0.3">
      <c r="I307"/>
    </row>
    <row r="308" spans="9:9" x14ac:dyDescent="0.3">
      <c r="I308"/>
    </row>
    <row r="309" spans="9:9" x14ac:dyDescent="0.3">
      <c r="I309"/>
    </row>
    <row r="310" spans="9:9" x14ac:dyDescent="0.3">
      <c r="I310"/>
    </row>
    <row r="311" spans="9:9" x14ac:dyDescent="0.3">
      <c r="I311"/>
    </row>
    <row r="312" spans="9:9" x14ac:dyDescent="0.3">
      <c r="I312"/>
    </row>
    <row r="313" spans="9:9" x14ac:dyDescent="0.3">
      <c r="I313"/>
    </row>
    <row r="314" spans="9:9" x14ac:dyDescent="0.3">
      <c r="I314"/>
    </row>
    <row r="315" spans="9:9" x14ac:dyDescent="0.3">
      <c r="I315"/>
    </row>
    <row r="316" spans="9:9" x14ac:dyDescent="0.3">
      <c r="I316"/>
    </row>
    <row r="317" spans="9:9" x14ac:dyDescent="0.3">
      <c r="I317"/>
    </row>
    <row r="318" spans="9:9" x14ac:dyDescent="0.3">
      <c r="I318"/>
    </row>
    <row r="319" spans="9:9" x14ac:dyDescent="0.3">
      <c r="I319"/>
    </row>
    <row r="320" spans="9:9" x14ac:dyDescent="0.3">
      <c r="I320"/>
    </row>
    <row r="321" spans="9:9" x14ac:dyDescent="0.3">
      <c r="I321"/>
    </row>
    <row r="322" spans="9:9" x14ac:dyDescent="0.3">
      <c r="I322"/>
    </row>
    <row r="323" spans="9:9" x14ac:dyDescent="0.3">
      <c r="I323"/>
    </row>
    <row r="324" spans="9:9" x14ac:dyDescent="0.3">
      <c r="I324"/>
    </row>
    <row r="325" spans="9:9" x14ac:dyDescent="0.3">
      <c r="I325"/>
    </row>
    <row r="326" spans="9:9" x14ac:dyDescent="0.3">
      <c r="I326"/>
    </row>
    <row r="327" spans="9:9" x14ac:dyDescent="0.3">
      <c r="I327"/>
    </row>
    <row r="328" spans="9:9" x14ac:dyDescent="0.3">
      <c r="I328"/>
    </row>
    <row r="329" spans="9:9" x14ac:dyDescent="0.3">
      <c r="I329"/>
    </row>
    <row r="330" spans="9:9" x14ac:dyDescent="0.3">
      <c r="I33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25" id="{034D0E47-B93D-4D8C-A681-1AB9CD41C88D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E1:E2</xm:sqref>
        </x14:conditionalFormatting>
        <x14:conditionalFormatting xmlns:xm="http://schemas.microsoft.com/office/excel/2006/main">
          <x14:cfRule type="iconSet" priority="4126" id="{80D0093A-0419-443F-AF7B-FDA38C6964A7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D1:D2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I2"/>
  <sheetViews>
    <sheetView showGridLines="0" workbookViewId="0">
      <selection activeCell="A4" sqref="A2:XFD4"/>
    </sheetView>
  </sheetViews>
  <sheetFormatPr baseColWidth="10" defaultRowHeight="14.4" x14ac:dyDescent="0.3"/>
  <cols>
    <col min="1" max="1" width="21.21875" style="2" customWidth="1"/>
    <col min="2" max="2" width="13.77734375" style="2" customWidth="1"/>
    <col min="3" max="3" width="39.77734375" style="2" customWidth="1"/>
    <col min="4" max="4" width="28.21875" style="2" customWidth="1"/>
    <col min="5" max="5" width="23.21875" style="65" customWidth="1"/>
    <col min="6" max="6" width="54.21875" style="2" customWidth="1"/>
    <col min="7" max="7" width="23.77734375" style="2" customWidth="1"/>
    <col min="8" max="8" width="19.5546875" style="2" bestFit="1" customWidth="1"/>
    <col min="9" max="9" width="23.21875" style="2" customWidth="1"/>
  </cols>
  <sheetData>
    <row r="1" spans="1:9" ht="45" customHeight="1" x14ac:dyDescent="0.3">
      <c r="A1" s="59" t="s">
        <v>176</v>
      </c>
      <c r="B1" s="59" t="s">
        <v>5</v>
      </c>
      <c r="C1" s="59" t="s">
        <v>177</v>
      </c>
      <c r="D1" s="59" t="s">
        <v>334</v>
      </c>
      <c r="E1" s="84" t="s">
        <v>425</v>
      </c>
      <c r="F1" s="59" t="s">
        <v>332</v>
      </c>
      <c r="G1" s="59" t="s">
        <v>66</v>
      </c>
      <c r="H1" s="59" t="s">
        <v>178</v>
      </c>
      <c r="I1" s="59" t="s">
        <v>179</v>
      </c>
    </row>
    <row r="2" spans="1:9" x14ac:dyDescent="0.3">
      <c r="A2" s="38">
        <v>43539</v>
      </c>
      <c r="B2" s="2">
        <v>0</v>
      </c>
      <c r="C2" s="2" t="s">
        <v>371</v>
      </c>
      <c r="D2" s="38">
        <v>42092</v>
      </c>
      <c r="E2" s="221">
        <v>0</v>
      </c>
      <c r="F2" s="2" t="s">
        <v>418</v>
      </c>
      <c r="G2" s="2">
        <v>2355250</v>
      </c>
      <c r="H2" s="2">
        <v>0</v>
      </c>
      <c r="I2" s="2" t="s">
        <v>398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6" tint="-0.249977111117893"/>
  </sheetPr>
  <dimension ref="A1:G2"/>
  <sheetViews>
    <sheetView showGridLines="0" workbookViewId="0">
      <selection activeCell="B30" sqref="B30"/>
    </sheetView>
  </sheetViews>
  <sheetFormatPr baseColWidth="10" defaultRowHeight="14.4" x14ac:dyDescent="0.3"/>
  <cols>
    <col min="1" max="1" width="8.5546875" style="6" customWidth="1"/>
    <col min="2" max="2" width="20" style="6" customWidth="1"/>
    <col min="3" max="3" width="14.77734375" style="6" customWidth="1"/>
    <col min="4" max="4" width="22.21875" customWidth="1"/>
    <col min="5" max="5" width="22.44140625" style="2" customWidth="1"/>
    <col min="6" max="6" width="31.5546875" customWidth="1"/>
    <col min="7" max="7" width="18.21875" style="6" customWidth="1"/>
  </cols>
  <sheetData>
    <row r="1" spans="1:7" ht="28.5" customHeight="1" x14ac:dyDescent="0.3">
      <c r="A1" s="30" t="s">
        <v>326</v>
      </c>
      <c r="B1" s="30" t="s">
        <v>176</v>
      </c>
      <c r="C1" s="30" t="s">
        <v>5</v>
      </c>
      <c r="D1" s="30" t="s">
        <v>177</v>
      </c>
      <c r="E1" s="30" t="s">
        <v>363</v>
      </c>
      <c r="F1" s="30" t="s">
        <v>356</v>
      </c>
      <c r="G1" s="30" t="s">
        <v>179</v>
      </c>
    </row>
    <row r="2" spans="1:7" x14ac:dyDescent="0.3">
      <c r="A2" s="208">
        <v>1</v>
      </c>
      <c r="B2" s="52">
        <v>42063</v>
      </c>
      <c r="C2" s="231">
        <v>0</v>
      </c>
      <c r="D2" t="s">
        <v>371</v>
      </c>
      <c r="E2" s="38">
        <v>42059</v>
      </c>
      <c r="F2" t="s">
        <v>361</v>
      </c>
      <c r="G2" s="231" t="s">
        <v>219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6" tint="-0.249977111117893"/>
  </sheetPr>
  <dimension ref="A1:G2"/>
  <sheetViews>
    <sheetView showGridLines="0" workbookViewId="0">
      <selection activeCell="A3" sqref="A2:XFD3"/>
    </sheetView>
  </sheetViews>
  <sheetFormatPr baseColWidth="10" defaultRowHeight="14.4" x14ac:dyDescent="0.3"/>
  <cols>
    <col min="1" max="1" width="11.44140625" style="6"/>
    <col min="2" max="2" width="27" style="52" customWidth="1"/>
    <col min="3" max="3" width="19" style="6" customWidth="1"/>
    <col min="4" max="4" width="37.44140625" style="6" customWidth="1"/>
    <col min="5" max="5" width="27" style="52" customWidth="1"/>
    <col min="6" max="6" width="35.44140625" style="6" customWidth="1"/>
    <col min="7" max="7" width="18.5546875" style="6" customWidth="1"/>
  </cols>
  <sheetData>
    <row r="1" spans="1:7" ht="33" customHeight="1" x14ac:dyDescent="0.3">
      <c r="A1" s="30" t="s">
        <v>326</v>
      </c>
      <c r="B1" s="72" t="s">
        <v>176</v>
      </c>
      <c r="C1" s="30" t="s">
        <v>5</v>
      </c>
      <c r="D1" s="30" t="s">
        <v>177</v>
      </c>
      <c r="E1" s="72" t="s">
        <v>364</v>
      </c>
      <c r="F1" s="30" t="s">
        <v>356</v>
      </c>
      <c r="G1" s="30" t="s">
        <v>179</v>
      </c>
    </row>
    <row r="2" spans="1:7" x14ac:dyDescent="0.3">
      <c r="A2" s="231">
        <v>1</v>
      </c>
      <c r="B2" s="230">
        <v>42801</v>
      </c>
      <c r="C2" s="231">
        <v>0</v>
      </c>
      <c r="D2" s="231" t="s">
        <v>371</v>
      </c>
      <c r="E2" s="230">
        <v>43507</v>
      </c>
      <c r="F2" s="231" t="s">
        <v>368</v>
      </c>
      <c r="G2" s="231" t="s">
        <v>219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1"/>
  </sheetPr>
  <dimension ref="A1:Z140"/>
  <sheetViews>
    <sheetView showGridLines="0" topLeftCell="B1" zoomScale="70" zoomScaleNormal="70" workbookViewId="0">
      <selection activeCell="B19" sqref="B19"/>
    </sheetView>
  </sheetViews>
  <sheetFormatPr baseColWidth="10" defaultColWidth="11.21875" defaultRowHeight="18" x14ac:dyDescent="0.3"/>
  <cols>
    <col min="1" max="1" width="20.44140625" style="147" customWidth="1"/>
    <col min="2" max="8" width="22.44140625" style="164" customWidth="1"/>
    <col min="9" max="9" width="13.77734375" style="147" customWidth="1"/>
    <col min="10" max="10" width="31.21875" style="147" customWidth="1"/>
    <col min="11" max="11" width="33.44140625" style="147" customWidth="1"/>
    <col min="12" max="12" width="61.77734375" style="147" customWidth="1"/>
    <col min="13" max="16384" width="11.21875" style="147"/>
  </cols>
  <sheetData>
    <row r="1" spans="1:26" ht="21.75" customHeight="1" x14ac:dyDescent="0.3">
      <c r="A1" s="399" t="str">
        <f>VLOOKUP($K$3,Tabla_Meses[],2,0)</f>
        <v>NOVIEMBRE</v>
      </c>
      <c r="B1" s="384" t="str">
        <f>UPPER(TEXT(K4,"dddd"))</f>
        <v>DOMINGO</v>
      </c>
      <c r="C1" s="384" t="str">
        <f t="shared" ref="C1:H1" si="0">UPPER(TEXT(C4,"dddd"))</f>
        <v>LUNES</v>
      </c>
      <c r="D1" s="384" t="str">
        <f t="shared" si="0"/>
        <v>MARTES</v>
      </c>
      <c r="E1" s="384" t="str">
        <f t="shared" si="0"/>
        <v>MIÉRCOLES</v>
      </c>
      <c r="F1" s="384" t="str">
        <f t="shared" si="0"/>
        <v>JUEVES</v>
      </c>
      <c r="G1" s="384" t="str">
        <f t="shared" si="0"/>
        <v>VIERNES</v>
      </c>
      <c r="H1" s="387" t="str">
        <f t="shared" si="0"/>
        <v>SÁBADO</v>
      </c>
      <c r="I1" s="137"/>
      <c r="J1" s="390" t="s">
        <v>198</v>
      </c>
      <c r="K1" s="390"/>
      <c r="L1" s="142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</row>
    <row r="2" spans="1:26" ht="18.75" customHeight="1" x14ac:dyDescent="0.4">
      <c r="A2" s="400"/>
      <c r="B2" s="385"/>
      <c r="C2" s="385"/>
      <c r="D2" s="385"/>
      <c r="E2" s="385"/>
      <c r="F2" s="385"/>
      <c r="G2" s="385"/>
      <c r="H2" s="388"/>
      <c r="I2" s="137"/>
      <c r="J2" s="143" t="s">
        <v>199</v>
      </c>
      <c r="K2" s="144">
        <v>2023</v>
      </c>
      <c r="L2" s="142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</row>
    <row r="3" spans="1:26" ht="18.75" customHeight="1" thickBot="1" x14ac:dyDescent="0.45">
      <c r="A3" s="400"/>
      <c r="B3" s="386"/>
      <c r="C3" s="386"/>
      <c r="D3" s="386"/>
      <c r="E3" s="386"/>
      <c r="F3" s="386"/>
      <c r="G3" s="386"/>
      <c r="H3" s="389"/>
      <c r="I3" s="137"/>
      <c r="J3" s="143" t="s">
        <v>200</v>
      </c>
      <c r="K3" s="207">
        <v>11</v>
      </c>
      <c r="L3" s="142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</row>
    <row r="4" spans="1:26" ht="18.75" customHeight="1" x14ac:dyDescent="0.4">
      <c r="A4" s="400"/>
      <c r="B4" s="148">
        <f>DíasYSemanas+DATE($K$2,$K$3,1)-WEEKDAY(DATE($K$2,$K$3,1),($K$4="LUNES")+1)+1</f>
        <v>45228</v>
      </c>
      <c r="C4" s="149">
        <f>DíasYSemanas+DATE(K2,K3,1)-WEEKDAY(DATE(K2,K3,1),(K4="LUNES")+1)+2</f>
        <v>45229</v>
      </c>
      <c r="D4" s="149">
        <f>DíasYSemanas+DATE(K2,K3,1)-WEEKDAY(DATE(K2,K3,1),(K4="LUNES")+1)+3</f>
        <v>45230</v>
      </c>
      <c r="E4" s="149">
        <f>DíasYSemanas+DATE(K2,K3,1)-WEEKDAY(DATE(K2,K3,1),(K4="LUNES")+1)+4</f>
        <v>45231</v>
      </c>
      <c r="F4" s="149">
        <f>DíasYSemanas+DATE(K2,K3,1)-WEEKDAY(DATE(K2,K3,1),(K4="LUNES")+1)+5</f>
        <v>45232</v>
      </c>
      <c r="G4" s="149">
        <f>DíasYSemanas+DATE(K2,K3,1)-WEEKDAY(DATE(K2,K3,1),(K4="LUNES")+1)+6</f>
        <v>45233</v>
      </c>
      <c r="H4" s="150">
        <f>DíasYSemanas+DATE(K2,K3,1)-WEEKDAY(DATE(K2,K3,1),(K4="LUNES")+1)+7</f>
        <v>45234</v>
      </c>
      <c r="I4" s="137"/>
      <c r="J4" s="143" t="s">
        <v>201</v>
      </c>
      <c r="K4" s="144" t="s">
        <v>286</v>
      </c>
      <c r="L4" s="142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</row>
    <row r="5" spans="1:26" ht="66" customHeight="1" x14ac:dyDescent="0.3">
      <c r="A5" s="400"/>
      <c r="B5" s="151">
        <f>IF((COUNTIF(Tabla_Feriados[FECHA],$B$4))=1,"DIA FERIADO",IF(SUMIFS(Tbl_tiempo[ANALISIS MARCAJE FINAL],Tbl_tiempo[ID PERSONAL],$K$6,Tbl_tiempo[FECHA],$B$4)-SUMIFS(Tbl_tiempo[ANALISIS MARCAJE INICIAL],Tbl_tiempo[ID PERSONAL],$K$6,Tbl_tiempo[FECHA],$B$4)&lt;0,"REVISAR REGISTRO",SUMIFS(Tbl_tiempo[ANALISIS MARCAJE FINAL],Tbl_tiempo[ID PERSONAL],$K$6,Tbl_tiempo[FECHA],$B$4)-SUMIFS(Tbl_tiempo[ANALISIS MARCAJE INICIAL],Tbl_tiempo[ID PERSONAL],$K$6,Tbl_tiempo[FECHA],$B$4)))</f>
        <v>0</v>
      </c>
      <c r="C5" s="152">
        <f>IF((COUNTIF(Tabla_Feriados[FECHA],$C$4))=1,"DIA FERIADO",IF(SUMIFS(Tbl_tiempo[ANALISIS MARCAJE FINAL],Tbl_tiempo[ID PERSONAL],$K$6,Tbl_tiempo[FECHA],$C$4)-SUMIFS(Tbl_tiempo[ANALISIS MARCAJE INICIAL],Tbl_tiempo[ID PERSONAL],$K$6,Tbl_tiempo[FECHA],$C$4)&lt;0,"REVISAR REGISTRO",SUMIFS(Tbl_tiempo[ANALISIS MARCAJE FINAL],Tbl_tiempo[ID PERSONAL],$K$6,Tbl_tiempo[FECHA],$C$4)-SUMIFS(Tbl_tiempo[ANALISIS MARCAJE INICIAL],Tbl_tiempo[ID PERSONAL],$K$6,Tbl_tiempo[FECHA],$C$4)))</f>
        <v>0</v>
      </c>
      <c r="D5" s="152">
        <f>IF((COUNTIF(Tabla_Feriados[FECHA],$D$4))=1,"DIA FERIADO",IF(SUMIFS(Tbl_tiempo[ANALISIS MARCAJE FINAL],Tbl_tiempo[ID PERSONAL],$K$6,Tbl_tiempo[FECHA],$D$4)-SUMIFS(Tbl_tiempo[ANALISIS MARCAJE INICIAL],Tbl_tiempo[ID PERSONAL],$K$6,Tbl_tiempo[FECHA],$D$4)&lt;0,"REVISAR REGISTRO",SUMIFS(Tbl_tiempo[ANALISIS MARCAJE FINAL],Tbl_tiempo[ID PERSONAL],$K$6,Tbl_tiempo[FECHA],$D$4)-SUMIFS(Tbl_tiempo[ANALISIS MARCAJE INICIAL],Tbl_tiempo[ID PERSONAL],$K$6,Tbl_tiempo[FECHA],$D$4)))</f>
        <v>0</v>
      </c>
      <c r="E5" s="152">
        <f>IF((COUNTIF(Tabla_Feriados[FECHA],$E$4))=1,"DIA FERIADO",IF(SUMIFS(Tbl_tiempo[ANALISIS MARCAJE FINAL],Tbl_tiempo[ID PERSONAL],$K$6,Tbl_tiempo[FECHA],$E$4)-SUMIFS(Tbl_tiempo[ANALISIS MARCAJE INICIAL],Tbl_tiempo[ID PERSONAL],$K$6,Tbl_tiempo[FECHA],$E$4)&lt;0,"REVISAR REGISTRO",SUMIFS(Tbl_tiempo[ANALISIS MARCAJE FINAL],Tbl_tiempo[ID PERSONAL],$K$6,Tbl_tiempo[FECHA],$E$4)-SUMIFS(Tbl_tiempo[ANALISIS MARCAJE INICIAL],Tbl_tiempo[ID PERSONAL],$K$6,Tbl_tiempo[FECHA],$E$4)))</f>
        <v>0</v>
      </c>
      <c r="F5" s="153">
        <f>IF((COUNTIF(Tabla_Feriados[FECHA],$F$4))=1,"DIA FERIADO",IF(SUMIFS(Tbl_tiempo[ANALISIS MARCAJE FINAL],Tbl_tiempo[ID PERSONAL],$K$6,Tbl_tiempo[FECHA],$F$4)-SUMIFS(Tbl_tiempo[ANALISIS MARCAJE INICIAL],Tbl_tiempo[ID PERSONAL],$K$6,Tbl_tiempo[FECHA],$F$4)&lt;0,"REVISAR REGISTRO",SUMIFS(Tbl_tiempo[ANALISIS MARCAJE FINAL],Tbl_tiempo[ID PERSONAL],$K$6,Tbl_tiempo[FECHA],$F$4)-SUMIFS(Tbl_tiempo[ANALISIS MARCAJE INICIAL],Tbl_tiempo[ID PERSONAL],$K$6,Tbl_tiempo[FECHA],$F$4)))</f>
        <v>0</v>
      </c>
      <c r="G5" s="152">
        <f>IF((COUNTIF(Tabla_Feriados[FECHA],$G$4))=1,"DIA FERIADO",IF(SUMIFS(Tbl_tiempo[ANALISIS MARCAJE FINAL],Tbl_tiempo[ID PERSONAL],$K$6,Tbl_tiempo[FECHA],$G$4)-SUMIFS(Tbl_tiempo[ANALISIS MARCAJE INICIAL],Tbl_tiempo[ID PERSONAL],$K$6,Tbl_tiempo[FECHA],$G$4)&lt;0,"REVISAR REGISTRO",SUMIFS(Tbl_tiempo[ANALISIS MARCAJE FINAL],Tbl_tiempo[ID PERSONAL],$K$6,Tbl_tiempo[FECHA],$G$4)-SUMIFS(Tbl_tiempo[ANALISIS MARCAJE INICIAL],Tbl_tiempo[ID PERSONAL],$K$6,Tbl_tiempo[FECHA],$G$4)))</f>
        <v>0</v>
      </c>
      <c r="H5" s="154">
        <f>IF((COUNTIF(Tabla_Feriados[FECHA],$H$4))=1,"DIA FERIADO",IF(SUMIFS(Tbl_tiempo[ANALISIS MARCAJE FINAL],Tbl_tiempo[ID PERSONAL],$K$6,Tbl_tiempo[FECHA],$H$4)-SUMIFS(Tbl_tiempo[ANALISIS MARCAJE INICIAL],Tbl_tiempo[ID PERSONAL],$K$6,Tbl_tiempo[FECHA],$H$4)&lt;0,"REVISAR REGISTRO",SUMIFS(Tbl_tiempo[ANALISIS MARCAJE FINAL],Tbl_tiempo[ID PERSONAL],$K$6,Tbl_tiempo[FECHA],$H$4)-SUMIFS(Tbl_tiempo[ANALISIS MARCAJE INICIAL],Tbl_tiempo[ID PERSONAL],$K$6,Tbl_tiempo[FECHA],$H$4)))</f>
        <v>0</v>
      </c>
      <c r="I5" s="137"/>
      <c r="J5" s="145"/>
      <c r="K5" s="145"/>
      <c r="L5" s="142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</row>
    <row r="6" spans="1:26" ht="18.75" customHeight="1" x14ac:dyDescent="0.3">
      <c r="A6" s="400"/>
      <c r="B6" s="155">
        <f>DíasYSemanas+DATE(K2,K3,1)-WEEKDAY(DATE(K2,K3,1),(K4="LUNES")+1)+8</f>
        <v>45235</v>
      </c>
      <c r="C6" s="156">
        <f>DíasYSemanas+DATE(K2,K3,1)-WEEKDAY(DATE(K2,K3,1),(K4="LUNES")+1)+9</f>
        <v>45236</v>
      </c>
      <c r="D6" s="156">
        <f>DíasYSemanas+DATE(K2,K3,1)-WEEKDAY(DATE(K2,K3,1),(K4="LUNES")+1)+10</f>
        <v>45237</v>
      </c>
      <c r="E6" s="156">
        <f>DíasYSemanas+DATE($K$2,$K$3,1)-WEEKDAY(DATE($K$2,$K$3,1),($K$4="LUNES")+1)+11</f>
        <v>45238</v>
      </c>
      <c r="F6" s="156">
        <f>DíasYSemanas+DATE($K$2,$K$3,1)-WEEKDAY(DATE($K$2,$K$3,1),($K$4="LUNES")+1)+12</f>
        <v>45239</v>
      </c>
      <c r="G6" s="156">
        <f>DíasYSemanas+DATE($K$2,$K$3,1)-WEEKDAY(DATE($K$2,$K$3,1),($K$4="LUNES")+1)+13</f>
        <v>45240</v>
      </c>
      <c r="H6" s="157">
        <f>DíasYSemanas+DATE($K$2,$K$3,1)-WEEKDAY(DATE($K$2,$K$3,1),($K$4="LUNES")+1)+14</f>
        <v>45241</v>
      </c>
      <c r="I6" s="137"/>
      <c r="J6" s="145" t="s">
        <v>5</v>
      </c>
      <c r="K6" s="145">
        <v>1</v>
      </c>
      <c r="L6" s="145" t="str">
        <f>VLOOKUP(K6,Tbl_personal[],2,0)</f>
        <v>Smith John</v>
      </c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</row>
    <row r="7" spans="1:26" ht="66" customHeight="1" x14ac:dyDescent="0.3">
      <c r="A7" s="400"/>
      <c r="B7" s="158">
        <f>IF((COUNTIF(Tabla_Feriados[FECHA],$B$6))=1,"DIA FERIADO",IF(SUMIFS(Tbl_tiempo[ANALISIS MARCAJE FINAL],Tbl_tiempo[ID PERSONAL],$K$6,Tbl_tiempo[FECHA],$B$6)-SUMIFS(Tbl_tiempo[ANALISIS MARCAJE INICIAL],Tbl_tiempo[ID PERSONAL],$K$6,Tbl_tiempo[FECHA],$B$6)&lt;0,"REVISAR REGISTRO",SUMIFS(Tbl_tiempo[ANALISIS MARCAJE FINAL],Tbl_tiempo[ID PERSONAL],$K$6,Tbl_tiempo[FECHA],$B$6)-SUMIFS(Tbl_tiempo[ANALISIS MARCAJE INICIAL],Tbl_tiempo[ID PERSONAL],$K$6,Tbl_tiempo[FECHA],$B$6)))</f>
        <v>0</v>
      </c>
      <c r="C7" s="152">
        <f>IF((COUNTIF(Tabla_Feriados[FECHA],$C$6))=1,"DIA FERIADO",IF(SUMIFS(Tbl_tiempo[ANALISIS MARCAJE FINAL],Tbl_tiempo[ID PERSONAL],$K$6,Tbl_tiempo[FECHA],$C$6)-SUMIFS(Tbl_tiempo[ANALISIS MARCAJE INICIAL],Tbl_tiempo[ID PERSONAL],$K$6,Tbl_tiempo[FECHA],$C$6)&lt;0,"REVISAR REGISTRO",SUMIFS(Tbl_tiempo[ANALISIS MARCAJE FINAL],Tbl_tiempo[ID PERSONAL],$K$6,Tbl_tiempo[FECHA],$C$6)-SUMIFS(Tbl_tiempo[ANALISIS MARCAJE INICIAL],Tbl_tiempo[ID PERSONAL],$K$6,Tbl_tiempo[FECHA],$C$6)))</f>
        <v>0</v>
      </c>
      <c r="D7" s="152">
        <f>IF((COUNTIF(Tabla_Feriados[FECHA],$D$6))=1,"DIA FERIADO",IF(SUMIFS(Tbl_tiempo[ANALISIS MARCAJE FINAL],Tbl_tiempo[ID PERSONAL],$K$6,Tbl_tiempo[FECHA],$D$6)-SUMIFS(Tbl_tiempo[ANALISIS MARCAJE INICIAL],Tbl_tiempo[ID PERSONAL],$K$6,Tbl_tiempo[FECHA],$D$6)&lt;0,"REVISAR REGISTRO",SUMIFS(Tbl_tiempo[ANALISIS MARCAJE FINAL],Tbl_tiempo[ID PERSONAL],$K$6,Tbl_tiempo[FECHA],$D$6)-SUMIFS(Tbl_tiempo[ANALISIS MARCAJE INICIAL],Tbl_tiempo[ID PERSONAL],$K$6,Tbl_tiempo[FECHA],$D$6)))</f>
        <v>0</v>
      </c>
      <c r="E7" s="152">
        <f>IF((COUNTIF(Tabla_Feriados[FECHA],$E$6))=1,"DIA FERIADO",IF(SUMIFS(Tbl_tiempo[ANALISIS MARCAJE FINAL],Tbl_tiempo[ID PERSONAL],$K$6,Tbl_tiempo[FECHA],$E$6)-SUMIFS(Tbl_tiempo[ANALISIS MARCAJE INICIAL],Tbl_tiempo[ID PERSONAL],$K$6,Tbl_tiempo[FECHA],$E$6)&lt;0,"REVISAR REGISTRO",SUMIFS(Tbl_tiempo[ANALISIS MARCAJE FINAL],Tbl_tiempo[ID PERSONAL],$K$6,Tbl_tiempo[FECHA],$E$6)-SUMIFS(Tbl_tiempo[ANALISIS MARCAJE INICIAL],Tbl_tiempo[ID PERSONAL],$K$6,Tbl_tiempo[FECHA],$E$6)))</f>
        <v>0</v>
      </c>
      <c r="F7" s="153">
        <f>IF((COUNTIF(Tabla_Feriados[FECHA],$F$6))=1,"DIA FERIADO",IF(SUMIFS(Tbl_tiempo[ANALISIS MARCAJE FINAL],Tbl_tiempo[ID PERSONAL],$K$6,Tbl_tiempo[FECHA],$F$6)-SUMIFS(Tbl_tiempo[ANALISIS MARCAJE INICIAL],Tbl_tiempo[ID PERSONAL],$K$6,Tbl_tiempo[FECHA],$F$6)&lt;0,"REVISAR REGISTRO",SUMIFS(Tbl_tiempo[ANALISIS MARCAJE FINAL],Tbl_tiempo[ID PERSONAL],$K$6,Tbl_tiempo[FECHA],$F$6)-SUMIFS(Tbl_tiempo[ANALISIS MARCAJE INICIAL],Tbl_tiempo[ID PERSONAL],$K$6,Tbl_tiempo[FECHA],$F$6)))</f>
        <v>0</v>
      </c>
      <c r="G7" s="152">
        <f>IF((COUNTIF(Tabla_Feriados[FECHA],$G$6))=1,"DIA FERIADO",IF(SUMIFS(Tbl_tiempo[ANALISIS MARCAJE FINAL],Tbl_tiempo[ID PERSONAL],$K$6,Tbl_tiempo[FECHA],$G$6)-SUMIFS(Tbl_tiempo[ANALISIS MARCAJE INICIAL],Tbl_tiempo[ID PERSONAL],$K$6,Tbl_tiempo[FECHA],$G$6)&lt;0,"REVISAR REGISTRO",SUMIFS(Tbl_tiempo[ANALISIS MARCAJE FINAL],Tbl_tiempo[ID PERSONAL],$K$6,Tbl_tiempo[FECHA],$G$6)-SUMIFS(Tbl_tiempo[ANALISIS MARCAJE INICIAL],Tbl_tiempo[ID PERSONAL],$K$6,Tbl_tiempo[FECHA],$G$6)))</f>
        <v>0</v>
      </c>
      <c r="H7" s="154">
        <f>IF((COUNTIF(Tabla_Feriados[FECHA],$H$6))=1,"DIA FERIADO",IF(SUMIFS(Tbl_tiempo[ANALISIS MARCAJE FINAL],Tbl_tiempo[ID PERSONAL],$K$6,Tbl_tiempo[FECHA],$H$6)-SUMIFS(Tbl_tiempo[ANALISIS MARCAJE INICIAL],Tbl_tiempo[ID PERSONAL],$K$6,Tbl_tiempo[FECHA],$H$6)&lt;0,"REVISAR REGISTRO",SUMIFS(Tbl_tiempo[ANALISIS MARCAJE FINAL],Tbl_tiempo[ID PERSONAL],$K$6,Tbl_tiempo[FECHA],$H$6)-SUMIFS(Tbl_tiempo[ANALISIS MARCAJE INICIAL],Tbl_tiempo[ID PERSONAL],$K$6,Tbl_tiempo[FECHA],$H$6)))</f>
        <v>0</v>
      </c>
      <c r="I7" s="137"/>
      <c r="J7" s="145" t="s">
        <v>3</v>
      </c>
      <c r="K7" s="146" t="str">
        <f>VLOOKUP(K6,Tbl_personal[],5,0)</f>
        <v>ADMINISTRACIÓN</v>
      </c>
      <c r="L7" s="145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</row>
    <row r="8" spans="1:26" ht="18.75" customHeight="1" x14ac:dyDescent="0.3">
      <c r="A8" s="400"/>
      <c r="B8" s="155">
        <f>DíasYSemanas+DATE($K$2,$K$3,1)-WEEKDAY(DATE($K$2,$K$3,1),($K$4="LUNES")+1)+15</f>
        <v>45242</v>
      </c>
      <c r="C8" s="156">
        <f>DíasYSemanas+DATE($K$2,$K$3,1)-WEEKDAY(DATE($K$2,$K$3,1),($K$4="LUNES")+1)+16</f>
        <v>45243</v>
      </c>
      <c r="D8" s="156">
        <f>DíasYSemanas+DATE($K$2,$K$3,1)-WEEKDAY(DATE($K$2,$K$3,1),($K$4="LUNES")+1)+17</f>
        <v>45244</v>
      </c>
      <c r="E8" s="156">
        <f>DíasYSemanas+DATE($K$2,$K$3,1)-WEEKDAY(DATE($K$2,$K$3,1),($K$4="LUNES")+1)+18</f>
        <v>45245</v>
      </c>
      <c r="F8" s="156">
        <f>DíasYSemanas+DATE($K$2,$K$3,1)-WEEKDAY(DATE($K$2,$K$3,1),($K$4="LUNES")+1)+19</f>
        <v>45246</v>
      </c>
      <c r="G8" s="156">
        <f>DíasYSemanas+DATE($K$2,$K$3,1)-WEEKDAY(DATE($K$2,$K$3,1),($K$4="LUNES")+1)+20</f>
        <v>45247</v>
      </c>
      <c r="H8" s="157">
        <f>DíasYSemanas+DATE($K$2,$K$3,1)-WEEKDAY(DATE($K$2,$K$3,1),($K$4="LUNES")+1)+21</f>
        <v>45248</v>
      </c>
      <c r="I8" s="137"/>
      <c r="J8" s="137"/>
      <c r="K8" s="138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</row>
    <row r="9" spans="1:26" ht="66" customHeight="1" x14ac:dyDescent="0.35">
      <c r="A9" s="400"/>
      <c r="B9" s="158">
        <f>IF((COUNTIF(Tabla_Feriados[FECHA],$B$8))=1,"DIA FERIADO",IF(SUMIFS(Tbl_tiempo[ANALISIS MARCAJE FINAL],Tbl_tiempo[ID PERSONAL],$K$6,Tbl_tiempo[FECHA],$B$8)-SUMIFS(Tbl_tiempo[ANALISIS MARCAJE INICIAL],Tbl_tiempo[ID PERSONAL],$K$6,Tbl_tiempo[FECHA],$B$8)&lt;0,"REVISAR REGISTRO",SUMIFS(Tbl_tiempo[ANALISIS MARCAJE FINAL],Tbl_tiempo[ID PERSONAL],$K$6,Tbl_tiempo[FECHA],$B$8)-SUMIFS(Tbl_tiempo[ANALISIS MARCAJE INICIAL],Tbl_tiempo[ID PERSONAL],$K$6,Tbl_tiempo[FECHA],$B$8)))</f>
        <v>0</v>
      </c>
      <c r="C9" s="152">
        <f>IF((COUNTIF(Tabla_Feriados[FECHA],$C$8))=1,"DIA FERIADO",IF(SUMIFS(Tbl_tiempo[ANALISIS MARCAJE FINAL],Tbl_tiempo[ID PERSONAL],$K$6,Tbl_tiempo[FECHA],$C$8)-SUMIFS(Tbl_tiempo[ANALISIS MARCAJE INICIAL],Tbl_tiempo[ID PERSONAL],$K$6,Tbl_tiempo[FECHA],$C$8)&lt;0,"REVISAR REGISTRO",SUMIFS(Tbl_tiempo[ANALISIS MARCAJE FINAL],Tbl_tiempo[ID PERSONAL],$K$6,Tbl_tiempo[FECHA],$C$8)-SUMIFS(Tbl_tiempo[ANALISIS MARCAJE INICIAL],Tbl_tiempo[ID PERSONAL],$K$6,Tbl_tiempo[FECHA],$C$8)))</f>
        <v>0</v>
      </c>
      <c r="D9" s="152">
        <f>IF((COUNTIF(Tabla_Feriados[FECHA],$D$8))=1,"DIA FERIADO",IF(SUMIFS(Tbl_tiempo[ANALISIS MARCAJE FINAL],Tbl_tiempo[ID PERSONAL],$K$6,Tbl_tiempo[FECHA],$D$8)-SUMIFS(Tbl_tiempo[ANALISIS MARCAJE INICIAL],Tbl_tiempo[ID PERSONAL],$K$6,Tbl_tiempo[FECHA],$D$8)&lt;0,"REVISAR REGISTRO",SUMIFS(Tbl_tiempo[ANALISIS MARCAJE FINAL],Tbl_tiempo[ID PERSONAL],$K$6,Tbl_tiempo[FECHA],$D$8)-SUMIFS(Tbl_tiempo[ANALISIS MARCAJE INICIAL],Tbl_tiempo[ID PERSONAL],$K$6,Tbl_tiempo[FECHA],$D$8)))</f>
        <v>0</v>
      </c>
      <c r="E9" s="152">
        <f>IF((COUNTIF(Tabla_Feriados[FECHA],$E$8))=1,"DIA FERIADO",IF(SUMIFS(Tbl_tiempo[ANALISIS MARCAJE FINAL],Tbl_tiempo[ID PERSONAL],$K$6,Tbl_tiempo[FECHA],$E$8)-SUMIFS(Tbl_tiempo[ANALISIS MARCAJE INICIAL],Tbl_tiempo[ID PERSONAL],$K$6,Tbl_tiempo[FECHA],$E$8)&lt;0,"REVISAR REGISTRO",SUMIFS(Tbl_tiempo[ANALISIS MARCAJE FINAL],Tbl_tiempo[ID PERSONAL],$K$6,Tbl_tiempo[FECHA],$E$8)-SUMIFS(Tbl_tiempo[ANALISIS MARCAJE INICIAL],Tbl_tiempo[ID PERSONAL],$K$6,Tbl_tiempo[FECHA],$E$8)))</f>
        <v>0</v>
      </c>
      <c r="F9" s="152">
        <f>IF((COUNTIF(Tabla_Feriados[FECHA],$F$8))=1,"DIA FERIADO",IF(SUMIFS(Tbl_tiempo[ANALISIS MARCAJE FINAL],Tbl_tiempo[ID PERSONAL],$K$6,Tbl_tiempo[FECHA],$F$8)-SUMIFS(Tbl_tiempo[ANALISIS MARCAJE INICIAL],Tbl_tiempo[ID PERSONAL],$K$6,Tbl_tiempo[FECHA],$F$8)&lt;0,"REVISAR REGISTRO",SUMIFS(Tbl_tiempo[ANALISIS MARCAJE FINAL],Tbl_tiempo[ID PERSONAL],$K$6,Tbl_tiempo[FECHA],$F$8)-SUMIFS(Tbl_tiempo[ANALISIS MARCAJE INICIAL],Tbl_tiempo[ID PERSONAL],$K$6,Tbl_tiempo[FECHA],$F$8)))</f>
        <v>0</v>
      </c>
      <c r="G9" s="152">
        <f>IF((COUNTIF(Tabla_Feriados[FECHA],$G$8))=1,"DIA FERIADO",IF(SUMIFS(Tbl_tiempo[ANALISIS MARCAJE FINAL],Tbl_tiempo[ID PERSONAL],$K$6,Tbl_tiempo[FECHA],$G$8)-SUMIFS(Tbl_tiempo[ANALISIS MARCAJE INICIAL],Tbl_tiempo[ID PERSONAL],$K$6,Tbl_tiempo[FECHA],$G$8)&lt;0,"REVISAR REGISTRO",SUMIFS(Tbl_tiempo[ANALISIS MARCAJE FINAL],Tbl_tiempo[ID PERSONAL],$K$6,Tbl_tiempo[FECHA],$G$8)-SUMIFS(Tbl_tiempo[ANALISIS MARCAJE INICIAL],Tbl_tiempo[ID PERSONAL],$K$6,Tbl_tiempo[FECHA],$G$8)))</f>
        <v>0</v>
      </c>
      <c r="H9" s="154">
        <f>IF((COUNTIF(Tabla_Feriados[FECHA],$H$8))=1,"DIA FERIADO",IF(SUMIFS(Tbl_tiempo[ANALISIS MARCAJE FINAL],Tbl_tiempo[ID PERSONAL],$K$6,Tbl_tiempo[FECHA],$H$8)-SUMIFS(Tbl_tiempo[ANALISIS MARCAJE INICIAL],Tbl_tiempo[ID PERSONAL],$K$6,Tbl_tiempo[FECHA],$H$8)&lt;0,"REVISAR REGISTRO",SUMIFS(Tbl_tiempo[ANALISIS MARCAJE FINAL],Tbl_tiempo[ID PERSONAL],$K$6,Tbl_tiempo[FECHA],$H$8)-SUMIFS(Tbl_tiempo[ANALISIS MARCAJE INICIAL],Tbl_tiempo[ID PERSONAL],$K$6,Tbl_tiempo[FECHA],$H$8)))</f>
        <v>0</v>
      </c>
      <c r="I9" s="137"/>
      <c r="J9" s="139"/>
      <c r="K9" s="140"/>
      <c r="L9" s="141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</row>
    <row r="10" spans="1:26" ht="18.75" customHeight="1" x14ac:dyDescent="0.35">
      <c r="A10" s="400"/>
      <c r="B10" s="155">
        <f>DíasYSemanas+DATE($K$2,$K$3,1)-WEEKDAY(DATE($K$2,$K$3,1),($K$4="LUNES")+1)+22</f>
        <v>45249</v>
      </c>
      <c r="C10" s="156">
        <f>DíasYSemanas+DATE($K$2,$K$3,1)-WEEKDAY(DATE($K$2,$K$3,1),($K$4="LUNES")+1)+23</f>
        <v>45250</v>
      </c>
      <c r="D10" s="156">
        <f>DíasYSemanas+DATE($K$2,$K$3,1)-WEEKDAY(DATE($K$2,$K$3,1),($K$4="LUNES")+1)+24</f>
        <v>45251</v>
      </c>
      <c r="E10" s="156">
        <f>DíasYSemanas+DATE($K$2,$K$3,1)-WEEKDAY(DATE($K$2,$K$3,1),($K$4="LUNES")+1)+25</f>
        <v>45252</v>
      </c>
      <c r="F10" s="156">
        <f>DíasYSemanas+DATE($K$2,$K$3,1)-WEEKDAY(DATE($K$2,$K$3,1),($K$4="LUNES")+1)+26</f>
        <v>45253</v>
      </c>
      <c r="G10" s="156">
        <f>DíasYSemanas+DATE($K$2,$K$3,1)-WEEKDAY(DATE($K$2,$K$3,1),($K$4="LUNES")+1)+27</f>
        <v>45254</v>
      </c>
      <c r="H10" s="157">
        <f>DíasYSemanas+DATE($K$2,$K$3,1)-WEEKDAY(DATE($K$2,$K$3,1),($K$4="LUNES")+1)+28</f>
        <v>45255</v>
      </c>
      <c r="I10" s="137"/>
      <c r="J10" s="137"/>
      <c r="K10" s="137"/>
      <c r="L10" s="141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</row>
    <row r="11" spans="1:26" ht="66" customHeight="1" x14ac:dyDescent="0.35">
      <c r="A11" s="400"/>
      <c r="B11" s="151">
        <f>IF((COUNTIF(Tabla_Feriados[FECHA],$B$10))=1,"DIA FERIADO",IF(SUMIFS(Tbl_tiempo[ANALISIS MARCAJE FINAL],Tbl_tiempo[ID PERSONAL],$K$6,Tbl_tiempo[FECHA],$B$10)-SUMIFS(Tbl_tiempo[ANALISIS MARCAJE INICIAL],Tbl_tiempo[ID PERSONAL],$K$6,Tbl_tiempo[FECHA],$B$10)&lt;0,"REVISAR REGISTRO",SUMIFS(Tbl_tiempo[ANALISIS MARCAJE FINAL],Tbl_tiempo[ID PERSONAL],$K$6,Tbl_tiempo[FECHA],$B$10)-SUMIFS(Tbl_tiempo[ANALISIS MARCAJE INICIAL],Tbl_tiempo[ID PERSONAL],$K$6,Tbl_tiempo[FECHA],$B$10)))</f>
        <v>0</v>
      </c>
      <c r="C11" s="152">
        <f>IF((COUNTIF(Tabla_Feriados[FECHA],$C$10))=1,"DIA FERIADO",IF(SUMIFS(Tbl_tiempo[ANALISIS MARCAJE FINAL],Tbl_tiempo[ID PERSONAL],$K$6,Tbl_tiempo[FECHA],$C$10)-SUMIFS(Tbl_tiempo[ANALISIS MARCAJE INICIAL],Tbl_tiempo[ID PERSONAL],$K$6,Tbl_tiempo[FECHA],$C$10)&lt;0,"REVISAR REGISTRO",SUMIFS(Tbl_tiempo[ANALISIS MARCAJE FINAL],Tbl_tiempo[ID PERSONAL],$K$6,Tbl_tiempo[FECHA],$C$10)-SUMIFS(Tbl_tiempo[ANALISIS MARCAJE INICIAL],Tbl_tiempo[ID PERSONAL],$K$6,Tbl_tiempo[FECHA],$C$10)))</f>
        <v>0</v>
      </c>
      <c r="D11" s="152">
        <f>IF((COUNTIF(Tabla_Feriados[FECHA],$D$10))=1,"DIA FERIADO",IF(SUMIFS(Tbl_tiempo[ANALISIS MARCAJE FINAL],Tbl_tiempo[ID PERSONAL],$K$6,Tbl_tiempo[FECHA],$D$10)-SUMIFS(Tbl_tiempo[ANALISIS MARCAJE INICIAL],Tbl_tiempo[ID PERSONAL],$K$6,Tbl_tiempo[FECHA],$D$10)&lt;0,"REVISAR REGISTRO",SUMIFS(Tbl_tiempo[ANALISIS MARCAJE FINAL],Tbl_tiempo[ID PERSONAL],$K$6,Tbl_tiempo[FECHA],$D$10)-SUMIFS(Tbl_tiempo[ANALISIS MARCAJE INICIAL],Tbl_tiempo[ID PERSONAL],$K$6,Tbl_tiempo[FECHA],$D$10)))</f>
        <v>0</v>
      </c>
      <c r="E11" s="152">
        <f>IF((COUNTIF(Tabla_Feriados[FECHA],$E$10))=1,"DIA FERIADO",IF(SUMIFS(Tbl_tiempo[ANALISIS MARCAJE FINAL],Tbl_tiempo[ID PERSONAL],$K$6,Tbl_tiempo[FECHA],$E$10)-SUMIFS(Tbl_tiempo[ANALISIS MARCAJE INICIAL],Tbl_tiempo[ID PERSONAL],$K$6,Tbl_tiempo[FECHA],$E$10)&lt;0,"REVISAR REGISTRO",SUMIFS(Tbl_tiempo[ANALISIS MARCAJE FINAL],Tbl_tiempo[ID PERSONAL],$K$6,Tbl_tiempo[FECHA],$E$10)-SUMIFS(Tbl_tiempo[ANALISIS MARCAJE INICIAL],Tbl_tiempo[ID PERSONAL],$K$6,Tbl_tiempo[FECHA],$E$10)))</f>
        <v>0</v>
      </c>
      <c r="F11" s="152">
        <f>IF((COUNTIF(Tabla_Feriados[FECHA],$F$10))=1,"DIA FERIADO",IF(SUMIFS(Tbl_tiempo[ANALISIS MARCAJE FINAL],Tbl_tiempo[ID PERSONAL],$K$6,Tbl_tiempo[FECHA],$F$10)-SUMIFS(Tbl_tiempo[ANALISIS MARCAJE INICIAL],Tbl_tiempo[ID PERSONAL],$K$6,Tbl_tiempo[FECHA],$F$10)&lt;0,"REVISAR REGISTRO",SUMIFS(Tbl_tiempo[ANALISIS MARCAJE FINAL],Tbl_tiempo[ID PERSONAL],$K$6,Tbl_tiempo[FECHA],$F$10)-SUMIFS(Tbl_tiempo[ANALISIS MARCAJE INICIAL],Tbl_tiempo[ID PERSONAL],$K$6,Tbl_tiempo[FECHA],$F$10)))</f>
        <v>0</v>
      </c>
      <c r="G11" s="152">
        <f>IF((COUNTIF(Tabla_Feriados[FECHA],$G$10))=1,"DIA FERIADO",IF(SUMIFS(Tbl_tiempo[ANALISIS MARCAJE FINAL],Tbl_tiempo[ID PERSONAL],$K$6,Tbl_tiempo[FECHA],$G$10)-SUMIFS(Tbl_tiempo[ANALISIS MARCAJE INICIAL],Tbl_tiempo[ID PERSONAL],$K$6,Tbl_tiempo[FECHA],$G$10)&lt;0,"REVISAR REGISTRO",SUMIFS(Tbl_tiempo[ANALISIS MARCAJE FINAL],Tbl_tiempo[ID PERSONAL],$K$6,Tbl_tiempo[FECHA],$G$10)-SUMIFS(Tbl_tiempo[ANALISIS MARCAJE INICIAL],Tbl_tiempo[ID PERSONAL],$K$6,Tbl_tiempo[FECHA],$G$10)))</f>
        <v>0</v>
      </c>
      <c r="H11" s="152">
        <f>IF((COUNTIF(Tabla_Feriados[FECHA],$H$10))=1,"DIA FERIADO",IF(SUMIFS(Tbl_tiempo[ANALISIS MARCAJE FINAL],Tbl_tiempo[ID PERSONAL],$K$6,Tbl_tiempo[FECHA],$H$10)-SUMIFS(Tbl_tiempo[ANALISIS MARCAJE INICIAL],Tbl_tiempo[ID PERSONAL],$K$6,Tbl_tiempo[FECHA],$H$10)&lt;0,"REVISAR REGISTRO",SUMIFS(Tbl_tiempo[ANALISIS MARCAJE FINAL],Tbl_tiempo[ID PERSONAL],$K$6,Tbl_tiempo[FECHA],$H$10)-SUMIFS(Tbl_tiempo[ANALISIS MARCAJE INICIAL],Tbl_tiempo[ID PERSONAL],$K$6,Tbl_tiempo[FECHA],$H$10)))</f>
        <v>0</v>
      </c>
      <c r="I11" s="137"/>
      <c r="J11" s="159"/>
      <c r="K11" s="137"/>
      <c r="L11" s="141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</row>
    <row r="12" spans="1:26" ht="18.75" customHeight="1" x14ac:dyDescent="0.35">
      <c r="A12" s="400"/>
      <c r="B12" s="155">
        <f>DíasYSemanas+DATE($K$2,$K$3,1)-WEEKDAY(DATE($K$2,$K$3,1),($K$4="LUNES")+1)+29</f>
        <v>45256</v>
      </c>
      <c r="C12" s="156">
        <f>DíasYSemanas+DATE($K$2,$K$3,1)-WEEKDAY(DATE($K$2,$K$3,1),($K$4="LUNES")+1)+30</f>
        <v>45257</v>
      </c>
      <c r="D12" s="156">
        <f>DíasYSemanas+DATE($K$2,$K$3,1)-WEEKDAY(DATE($K$2,$K$3,1),($K$4="LUNES")+1)+31</f>
        <v>45258</v>
      </c>
      <c r="E12" s="156">
        <f>DíasYSemanas+DATE($K$2,$K$3,1)-WEEKDAY(DATE($K$2,$K$3,1),($K$4="LUNES")+1)+32</f>
        <v>45259</v>
      </c>
      <c r="F12" s="156">
        <f>DíasYSemanas+DATE($K$2,$K$3,1)-WEEKDAY(DATE($K$2,$K$3,1),($K$4="LUNES")+1)+33</f>
        <v>45260</v>
      </c>
      <c r="G12" s="156">
        <f>DíasYSemanas+DATE($K$2,$K$3,1)-WEEKDAY(DATE($K$2,$K$3,1),($K$4="LUNES")+1)+34</f>
        <v>45261</v>
      </c>
      <c r="H12" s="157">
        <f>DíasYSemanas+DATE($K$2,$K$3,1)-WEEKDAY(DATE($K$2,$K$3,1),($K$4="LUNES")+1)+35</f>
        <v>45262</v>
      </c>
      <c r="I12" s="137"/>
      <c r="J12" s="137"/>
      <c r="K12" s="160"/>
      <c r="L12" s="141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</row>
    <row r="13" spans="1:26" ht="66" customHeight="1" x14ac:dyDescent="0.35">
      <c r="A13" s="400"/>
      <c r="B13" s="151">
        <f>IF((COUNTIF(Tabla_Feriados[FECHA],$B$12))=1,"DIA FERIADO",IF(SUMIFS(Tbl_tiempo[ANALISIS MARCAJE FINAL],Tbl_tiempo[ID PERSONAL],$K$6,Tbl_tiempo[FECHA],$B$12)-SUMIFS(Tbl_tiempo[ANALISIS MARCAJE INICIAL],Tbl_tiempo[ID PERSONAL],$K$6,Tbl_tiempo[FECHA],$B$12)&lt;0,"REVISAR REGISTRO",SUMIFS(Tbl_tiempo[ANALISIS MARCAJE FINAL],Tbl_tiempo[ID PERSONAL],$K$6,Tbl_tiempo[FECHA],$B$12)-SUMIFS(Tbl_tiempo[ANALISIS MARCAJE INICIAL],Tbl_tiempo[ID PERSONAL],$K$6,Tbl_tiempo[FECHA],$B$12)))</f>
        <v>0</v>
      </c>
      <c r="C13" s="152">
        <f>IF((COUNTIF(Tabla_Feriados[FECHA],$C$12))=1,"DIA FERIADO",IF(SUMIFS(Tbl_tiempo[ANALISIS MARCAJE FINAL],Tbl_tiempo[ID PERSONAL],$K$6,Tbl_tiempo[FECHA],$C$12)-SUMIFS(Tbl_tiempo[ANALISIS MARCAJE INICIAL],Tbl_tiempo[ID PERSONAL],$K$6,Tbl_tiempo[FECHA],$C$12)&lt;0,"REVISAR REGISTRO",SUMIFS(Tbl_tiempo[ANALISIS MARCAJE FINAL],Tbl_tiempo[ID PERSONAL],$K$6,Tbl_tiempo[FECHA],$C$12)-SUMIFS(Tbl_tiempo[ANALISIS MARCAJE INICIAL],Tbl_tiempo[ID PERSONAL],$K$6,Tbl_tiempo[FECHA],$C$12)))</f>
        <v>0</v>
      </c>
      <c r="D13" s="152">
        <f>IF((COUNTIF(Tabla_Feriados[FECHA],$D$12))=1,"DIA FERIADO",IF(SUMIFS(Tbl_tiempo[ANALISIS MARCAJE FINAL],Tbl_tiempo[ID PERSONAL],$K$6,Tbl_tiempo[FECHA],$D$12)-SUMIFS(Tbl_tiempo[ANALISIS MARCAJE INICIAL],Tbl_tiempo[ID PERSONAL],$K$6,Tbl_tiempo[FECHA],$D$12)&lt;0,"REVISAR REGISTRO",SUMIFS(Tbl_tiempo[ANALISIS MARCAJE FINAL],Tbl_tiempo[ID PERSONAL],$K$6,Tbl_tiempo[FECHA],$D$12)-SUMIFS(Tbl_tiempo[ANALISIS MARCAJE INICIAL],Tbl_tiempo[ID PERSONAL],$K$6,Tbl_tiempo[FECHA],$D$12)))</f>
        <v>0</v>
      </c>
      <c r="E13" s="152">
        <f>IF((COUNTIF(Tabla_Feriados[FECHA],$E$12))=1,"DIA FERIADO",IF(SUMIFS(Tbl_tiempo[ANALISIS MARCAJE FINAL],Tbl_tiempo[ID PERSONAL],$K$6,Tbl_tiempo[FECHA],$E$12)-SUMIFS(Tbl_tiempo[ANALISIS MARCAJE INICIAL],Tbl_tiempo[ID PERSONAL],$K$6,Tbl_tiempo[FECHA],$E$12)&lt;0,"REVISAR REGISTRO",SUMIFS(Tbl_tiempo[ANALISIS MARCAJE FINAL],Tbl_tiempo[ID PERSONAL],$K$6,Tbl_tiempo[FECHA],$E$12)-SUMIFS(Tbl_tiempo[ANALISIS MARCAJE INICIAL],Tbl_tiempo[ID PERSONAL],$K$6,Tbl_tiempo[FECHA],$E$12)))</f>
        <v>0</v>
      </c>
      <c r="F13" s="152">
        <f>IF((COUNTIF(Tabla_Feriados[FECHA],$F$12))=1,"DIA FERIADO",IF(SUMIFS(Tbl_tiempo[ANALISIS MARCAJE FINAL],Tbl_tiempo[ID PERSONAL],$K$6,Tbl_tiempo[FECHA],$F$12)-SUMIFS(Tbl_tiempo[ANALISIS MARCAJE INICIAL],Tbl_tiempo[ID PERSONAL],$K$6,Tbl_tiempo[FECHA],$F$12)&lt;0,"REVISAR REGISTRO",SUMIFS(Tbl_tiempo[ANALISIS MARCAJE FINAL],Tbl_tiempo[ID PERSONAL],$K$6,Tbl_tiempo[FECHA],$F$12)-SUMIFS(Tbl_tiempo[ANALISIS MARCAJE INICIAL],Tbl_tiempo[ID PERSONAL],$K$6,Tbl_tiempo[FECHA],$F$12)))</f>
        <v>0</v>
      </c>
      <c r="G13" s="152">
        <f>IF((COUNTIF(Tabla_Feriados[FECHA],$G$12))=1,"DIA FERIADO",IF(SUMIFS(Tbl_tiempo[ANALISIS MARCAJE FINAL],Tbl_tiempo[ID PERSONAL],$K$6,Tbl_tiempo[FECHA],$G$12)-SUMIFS(Tbl_tiempo[ANALISIS MARCAJE INICIAL],Tbl_tiempo[ID PERSONAL],$K$6,Tbl_tiempo[FECHA],$G$12)&lt;0,"REVISAR REGISTRO",SUMIFS(Tbl_tiempo[ANALISIS MARCAJE FINAL],Tbl_tiempo[ID PERSONAL],$K$6,Tbl_tiempo[FECHA],$G$12)-SUMIFS(Tbl_tiempo[ANALISIS MARCAJE INICIAL],Tbl_tiempo[ID PERSONAL],$K$6,Tbl_tiempo[FECHA],$G$12)))</f>
        <v>0</v>
      </c>
      <c r="H13" s="154">
        <f>IF((COUNTIF(Tabla_Feriados[FECHA],$H$12))=1,"DIA FERIADO",IF(SUMIFS(Tbl_tiempo[ANALISIS MARCAJE FINAL],Tbl_tiempo[ID PERSONAL],$K$6,Tbl_tiempo[FECHA],$H$12)-SUMIFS(Tbl_tiempo[ANALISIS MARCAJE INICIAL],Tbl_tiempo[ID PERSONAL],$K$6,Tbl_tiempo[FECHA],$H$12)&lt;0,"REVISAR REGISTRO",SUMIFS(Tbl_tiempo[ANALISIS MARCAJE FINAL],Tbl_tiempo[ID PERSONAL],$K$6,Tbl_tiempo[FECHA],$H$12)-SUMIFS(Tbl_tiempo[ANALISIS MARCAJE INICIAL],Tbl_tiempo[ID PERSONAL],$K$6,Tbl_tiempo[FECHA],$H$12)))</f>
        <v>0</v>
      </c>
      <c r="I13" s="137"/>
      <c r="J13" s="139"/>
      <c r="K13" s="137"/>
      <c r="L13" s="141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</row>
    <row r="14" spans="1:26" ht="18.75" customHeight="1" x14ac:dyDescent="0.35">
      <c r="A14" s="400"/>
      <c r="B14" s="155">
        <f>DíasYSemanas+DATE($K$2,$K$3,1)-WEEKDAY(DATE($K$2,$K$3,1),($K$4="LUNES")+1)+36</f>
        <v>45263</v>
      </c>
      <c r="C14" s="156">
        <f>DíasYSemanas+DATE($K$2,$K$3,1)-WEEKDAY(DATE($K$2,$K$3,1),($K$4="LUNES")+1)+37</f>
        <v>45264</v>
      </c>
      <c r="D14" s="391" t="s">
        <v>202</v>
      </c>
      <c r="E14" s="393" t="str">
        <f>VLOOKUP(K6,Tbl_personal[],2,0)</f>
        <v>Smith John</v>
      </c>
      <c r="F14" s="394"/>
      <c r="G14" s="394"/>
      <c r="H14" s="395"/>
      <c r="I14" s="137"/>
      <c r="J14" s="141"/>
      <c r="K14" s="137"/>
      <c r="L14" s="141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</row>
    <row r="15" spans="1:26" ht="66" customHeight="1" thickBot="1" x14ac:dyDescent="0.4">
      <c r="A15" s="401"/>
      <c r="B15" s="161">
        <f>IF((COUNTIF(Tabla_Feriados[FECHA],$B$14))=1,"DIA FERIADO",IF(SUMIFS(Tbl_tiempo[ANALISIS MARCAJE FINAL],Tbl_tiempo[ID PERSONAL],$K$6,Tbl_tiempo[FECHA],$B$14)-SUMIFS(Tbl_tiempo[ANALISIS MARCAJE INICIAL],Tbl_tiempo[ID PERSONAL],$K$6,Tbl_tiempo[FECHA],$B$14)&lt;0,"REVISAR REGISTRO",SUMIFS(Tbl_tiempo[ANALISIS MARCAJE FINAL],Tbl_tiempo[ID PERSONAL],$K$6,Tbl_tiempo[FECHA],$B$14)-SUMIFS(Tbl_tiempo[ANALISIS MARCAJE INICIAL],Tbl_tiempo[ID PERSONAL],$K$6,Tbl_tiempo[FECHA],$B$14)))</f>
        <v>0</v>
      </c>
      <c r="C15" s="162">
        <f>IF((COUNTIF(Tabla_Feriados[FECHA],$C$14))=1,"DIA FERIADO",IF(SUMIFS(Tbl_tiempo[ANALISIS MARCAJE FINAL],Tbl_tiempo[ID PERSONAL],$K$6,Tbl_tiempo[FECHA],$C$14)-SUMIFS(Tbl_tiempo[ANALISIS MARCAJE INICIAL],Tbl_tiempo[ID PERSONAL],$K$6,Tbl_tiempo[FECHA],$C$14)&lt;0,"REVISAR REGISTRO",SUMIFS(Tbl_tiempo[ANALISIS MARCAJE FINAL],Tbl_tiempo[ID PERSONAL],$K$6,Tbl_tiempo[FECHA],$C$14)-SUMIFS(Tbl_tiempo[ANALISIS MARCAJE INICIAL],Tbl_tiempo[ID PERSONAL],$K$6,Tbl_tiempo[FECHA],$C$14)))</f>
        <v>0</v>
      </c>
      <c r="D15" s="392"/>
      <c r="E15" s="396"/>
      <c r="F15" s="397"/>
      <c r="G15" s="397"/>
      <c r="H15" s="398"/>
      <c r="I15" s="137"/>
      <c r="J15" s="141"/>
      <c r="K15" s="137"/>
      <c r="L15" s="141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</row>
    <row r="16" spans="1:26" ht="16.5" customHeight="1" x14ac:dyDescent="0.35">
      <c r="A16" s="137"/>
      <c r="B16" s="163"/>
      <c r="C16" s="163"/>
      <c r="D16" s="163"/>
      <c r="E16" s="163"/>
      <c r="F16" s="163"/>
      <c r="G16" s="163"/>
      <c r="H16" s="163"/>
      <c r="I16" s="137"/>
      <c r="J16" s="141"/>
      <c r="K16" s="137"/>
      <c r="L16" s="141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</row>
    <row r="17" spans="1:26" ht="16.5" customHeight="1" x14ac:dyDescent="0.35">
      <c r="A17" s="137"/>
      <c r="B17" s="163"/>
      <c r="C17" s="163"/>
      <c r="D17" s="163"/>
      <c r="E17" s="163"/>
      <c r="F17" s="163"/>
      <c r="G17" s="163"/>
      <c r="H17" s="163"/>
      <c r="I17" s="137"/>
      <c r="J17" s="141"/>
      <c r="K17" s="137"/>
      <c r="L17" s="141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</row>
    <row r="18" spans="1:26" x14ac:dyDescent="0.35">
      <c r="A18" s="137"/>
      <c r="B18" s="163"/>
      <c r="C18" s="163"/>
      <c r="D18" s="163"/>
      <c r="E18" s="163"/>
      <c r="F18" s="163"/>
      <c r="G18" s="163"/>
      <c r="H18" s="163"/>
      <c r="I18" s="137"/>
      <c r="J18" s="137"/>
      <c r="K18" s="137"/>
      <c r="L18" s="141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</row>
    <row r="19" spans="1:26" x14ac:dyDescent="0.35">
      <c r="A19" s="137"/>
      <c r="B19" s="163"/>
      <c r="C19" s="163"/>
      <c r="D19" s="163"/>
      <c r="E19" s="163"/>
      <c r="F19" s="163"/>
      <c r="G19" s="163"/>
      <c r="H19" s="163"/>
      <c r="I19" s="137"/>
      <c r="J19" s="137"/>
      <c r="K19" s="137"/>
      <c r="L19" s="141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</row>
    <row r="20" spans="1:26" x14ac:dyDescent="0.3">
      <c r="A20" s="137"/>
      <c r="B20" s="163"/>
      <c r="C20" s="163"/>
      <c r="D20" s="163"/>
      <c r="E20" s="163"/>
      <c r="F20" s="163"/>
      <c r="G20" s="163"/>
      <c r="H20" s="163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</row>
    <row r="21" spans="1:26" x14ac:dyDescent="0.3">
      <c r="A21" s="137"/>
      <c r="B21" s="163"/>
      <c r="C21" s="163"/>
      <c r="D21" s="163"/>
      <c r="E21" s="163"/>
      <c r="F21" s="163"/>
      <c r="G21" s="163"/>
      <c r="H21" s="163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</row>
    <row r="22" spans="1:26" x14ac:dyDescent="0.3">
      <c r="A22" s="137"/>
      <c r="B22" s="163"/>
      <c r="C22" s="163"/>
      <c r="D22" s="163"/>
      <c r="E22" s="163"/>
      <c r="F22" s="163"/>
      <c r="G22" s="163"/>
      <c r="H22" s="163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</row>
    <row r="23" spans="1:26" x14ac:dyDescent="0.3">
      <c r="A23" s="137"/>
      <c r="B23" s="163"/>
      <c r="C23" s="163"/>
      <c r="D23" s="163"/>
      <c r="E23" s="163"/>
      <c r="F23" s="163"/>
      <c r="G23" s="163"/>
      <c r="H23" s="163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</row>
    <row r="24" spans="1:26" x14ac:dyDescent="0.3">
      <c r="A24" s="137"/>
      <c r="B24" s="163"/>
      <c r="C24" s="163"/>
      <c r="D24" s="163"/>
      <c r="E24" s="163"/>
      <c r="F24" s="163"/>
      <c r="G24" s="163"/>
      <c r="H24" s="163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</row>
    <row r="25" spans="1:26" x14ac:dyDescent="0.3">
      <c r="A25" s="137"/>
      <c r="B25" s="163"/>
      <c r="C25" s="163"/>
      <c r="D25" s="163"/>
      <c r="E25" s="163"/>
      <c r="F25" s="163"/>
      <c r="G25" s="163"/>
      <c r="H25" s="163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</row>
    <row r="26" spans="1:26" x14ac:dyDescent="0.3">
      <c r="A26" s="137"/>
      <c r="B26" s="163"/>
      <c r="C26" s="163"/>
      <c r="D26" s="163"/>
      <c r="E26" s="163"/>
      <c r="F26" s="163"/>
      <c r="G26" s="163"/>
      <c r="H26" s="163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</row>
    <row r="27" spans="1:26" x14ac:dyDescent="0.3">
      <c r="A27" s="137"/>
      <c r="B27" s="163"/>
      <c r="C27" s="163"/>
      <c r="D27" s="163"/>
      <c r="E27" s="163"/>
      <c r="F27" s="163"/>
      <c r="G27" s="163"/>
      <c r="H27" s="163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</row>
    <row r="28" spans="1:26" x14ac:dyDescent="0.3">
      <c r="A28" s="137"/>
      <c r="B28" s="163"/>
      <c r="C28" s="163"/>
      <c r="D28" s="163"/>
      <c r="E28" s="163"/>
      <c r="F28" s="163"/>
      <c r="G28" s="163"/>
      <c r="H28" s="163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</row>
    <row r="29" spans="1:26" x14ac:dyDescent="0.3">
      <c r="A29" s="137"/>
      <c r="B29" s="163"/>
      <c r="C29" s="163"/>
      <c r="D29" s="163"/>
      <c r="E29" s="163"/>
      <c r="F29" s="163"/>
      <c r="G29" s="163"/>
      <c r="H29" s="163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</row>
    <row r="30" spans="1:26" x14ac:dyDescent="0.3">
      <c r="A30" s="137"/>
      <c r="B30" s="163"/>
      <c r="C30" s="163"/>
      <c r="D30" s="163"/>
      <c r="E30" s="163"/>
      <c r="F30" s="163"/>
      <c r="G30" s="163"/>
      <c r="H30" s="163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</row>
    <row r="31" spans="1:26" x14ac:dyDescent="0.3">
      <c r="A31" s="137"/>
      <c r="B31" s="163"/>
      <c r="C31" s="163"/>
      <c r="D31" s="163"/>
      <c r="E31" s="163"/>
      <c r="F31" s="163"/>
      <c r="G31" s="163"/>
      <c r="H31" s="163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</row>
    <row r="32" spans="1:26" x14ac:dyDescent="0.3">
      <c r="A32" s="137"/>
      <c r="B32" s="163"/>
      <c r="C32" s="163"/>
      <c r="D32" s="163"/>
      <c r="E32" s="163"/>
      <c r="F32" s="163"/>
      <c r="G32" s="163"/>
      <c r="H32" s="163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</row>
    <row r="33" spans="1:26" x14ac:dyDescent="0.3">
      <c r="A33" s="137"/>
      <c r="B33" s="163"/>
      <c r="C33" s="163"/>
      <c r="D33" s="163"/>
      <c r="E33" s="163"/>
      <c r="F33" s="163"/>
      <c r="G33" s="163"/>
      <c r="H33" s="163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</row>
    <row r="34" spans="1:26" x14ac:dyDescent="0.3">
      <c r="A34" s="137"/>
      <c r="B34" s="163"/>
      <c r="C34" s="163"/>
      <c r="D34" s="163"/>
      <c r="E34" s="163"/>
      <c r="F34" s="163"/>
      <c r="G34" s="163"/>
      <c r="H34" s="163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</row>
    <row r="35" spans="1:26" x14ac:dyDescent="0.3">
      <c r="A35" s="137"/>
      <c r="B35" s="163"/>
      <c r="C35" s="163"/>
      <c r="D35" s="163"/>
      <c r="E35" s="163"/>
      <c r="F35" s="163"/>
      <c r="G35" s="163"/>
      <c r="H35" s="163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</row>
    <row r="36" spans="1:26" x14ac:dyDescent="0.3">
      <c r="A36" s="137"/>
      <c r="B36" s="163"/>
      <c r="C36" s="163"/>
      <c r="D36" s="163"/>
      <c r="E36" s="163"/>
      <c r="F36" s="163"/>
      <c r="G36" s="163"/>
      <c r="H36" s="163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</row>
    <row r="37" spans="1:26" x14ac:dyDescent="0.3">
      <c r="A37" s="137"/>
      <c r="B37" s="163"/>
      <c r="C37" s="163"/>
      <c r="D37" s="163"/>
      <c r="E37" s="163"/>
      <c r="F37" s="163"/>
      <c r="G37" s="163"/>
      <c r="H37" s="16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</row>
    <row r="38" spans="1:26" x14ac:dyDescent="0.3">
      <c r="A38" s="137"/>
      <c r="B38" s="163"/>
      <c r="C38" s="163"/>
      <c r="D38" s="163"/>
      <c r="E38" s="163"/>
      <c r="F38" s="163"/>
      <c r="G38" s="163"/>
      <c r="H38" s="163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</row>
    <row r="39" spans="1:26" x14ac:dyDescent="0.3">
      <c r="A39" s="137"/>
      <c r="B39" s="163"/>
      <c r="C39" s="163"/>
      <c r="D39" s="163"/>
      <c r="E39" s="163"/>
      <c r="F39" s="163"/>
      <c r="G39" s="163"/>
      <c r="H39" s="163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</row>
    <row r="40" spans="1:26" x14ac:dyDescent="0.3">
      <c r="A40" s="137"/>
      <c r="B40" s="163"/>
      <c r="C40" s="163"/>
      <c r="D40" s="163"/>
      <c r="E40" s="163"/>
      <c r="F40" s="163"/>
      <c r="G40" s="163"/>
      <c r="H40" s="163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</row>
    <row r="41" spans="1:26" x14ac:dyDescent="0.3">
      <c r="A41" s="137"/>
      <c r="B41" s="163"/>
      <c r="C41" s="163"/>
      <c r="D41" s="163"/>
      <c r="E41" s="163"/>
      <c r="F41" s="163"/>
      <c r="G41" s="163"/>
      <c r="H41" s="163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</row>
    <row r="42" spans="1:26" x14ac:dyDescent="0.3">
      <c r="A42" s="137"/>
      <c r="B42" s="163"/>
      <c r="C42" s="163"/>
      <c r="D42" s="163"/>
      <c r="E42" s="163"/>
      <c r="F42" s="163"/>
      <c r="G42" s="163"/>
      <c r="H42" s="163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</row>
    <row r="43" spans="1:26" x14ac:dyDescent="0.3">
      <c r="A43" s="137"/>
      <c r="B43" s="163"/>
      <c r="C43" s="163"/>
      <c r="D43" s="163"/>
      <c r="E43" s="163"/>
      <c r="F43" s="163"/>
      <c r="G43" s="163"/>
      <c r="H43" s="163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</row>
    <row r="44" spans="1:26" x14ac:dyDescent="0.3">
      <c r="A44" s="137"/>
      <c r="B44" s="163"/>
      <c r="C44" s="163"/>
      <c r="D44" s="163"/>
      <c r="E44" s="163"/>
      <c r="F44" s="163"/>
      <c r="G44" s="163"/>
      <c r="H44" s="163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</row>
    <row r="45" spans="1:26" x14ac:dyDescent="0.3">
      <c r="A45" s="137"/>
      <c r="B45" s="163"/>
      <c r="C45" s="163"/>
      <c r="D45" s="163"/>
      <c r="E45" s="163"/>
      <c r="F45" s="163"/>
      <c r="G45" s="163"/>
      <c r="H45" s="163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</row>
    <row r="46" spans="1:26" x14ac:dyDescent="0.3">
      <c r="A46" s="137"/>
      <c r="B46" s="163"/>
      <c r="C46" s="163"/>
      <c r="D46" s="163"/>
      <c r="E46" s="163"/>
      <c r="F46" s="163"/>
      <c r="G46" s="163"/>
      <c r="H46" s="163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</row>
    <row r="47" spans="1:26" x14ac:dyDescent="0.3">
      <c r="A47" s="137"/>
      <c r="B47" s="163"/>
      <c r="C47" s="163"/>
      <c r="D47" s="163"/>
      <c r="E47" s="163"/>
      <c r="F47" s="163"/>
      <c r="G47" s="163"/>
      <c r="H47" s="163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</row>
    <row r="48" spans="1:26" x14ac:dyDescent="0.3">
      <c r="A48" s="137"/>
      <c r="B48" s="163"/>
      <c r="C48" s="163"/>
      <c r="D48" s="163"/>
      <c r="E48" s="163"/>
      <c r="F48" s="163"/>
      <c r="G48" s="163"/>
      <c r="H48" s="163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</row>
    <row r="49" spans="1:26" x14ac:dyDescent="0.3">
      <c r="A49" s="137"/>
      <c r="B49" s="163"/>
      <c r="C49" s="163"/>
      <c r="D49" s="163"/>
      <c r="E49" s="163"/>
      <c r="F49" s="163"/>
      <c r="G49" s="163"/>
      <c r="H49" s="163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</row>
    <row r="50" spans="1:26" x14ac:dyDescent="0.3">
      <c r="A50" s="137"/>
      <c r="B50" s="163"/>
      <c r="C50" s="163"/>
      <c r="D50" s="163"/>
      <c r="E50" s="163"/>
      <c r="F50" s="163"/>
      <c r="G50" s="163"/>
      <c r="H50" s="163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</row>
    <row r="51" spans="1:26" x14ac:dyDescent="0.3">
      <c r="A51" s="137"/>
      <c r="B51" s="163"/>
      <c r="C51" s="163"/>
      <c r="D51" s="163"/>
      <c r="E51" s="163"/>
      <c r="F51" s="163"/>
      <c r="G51" s="163"/>
      <c r="H51" s="163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</row>
    <row r="52" spans="1:26" x14ac:dyDescent="0.3">
      <c r="A52" s="137"/>
      <c r="B52" s="163"/>
      <c r="C52" s="163"/>
      <c r="D52" s="163"/>
      <c r="E52" s="163"/>
      <c r="F52" s="163"/>
      <c r="G52" s="163"/>
      <c r="H52" s="163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</row>
    <row r="53" spans="1:26" x14ac:dyDescent="0.3">
      <c r="A53" s="137"/>
      <c r="B53" s="163"/>
      <c r="C53" s="163"/>
      <c r="D53" s="163"/>
      <c r="E53" s="163"/>
      <c r="F53" s="163"/>
      <c r="G53" s="163"/>
      <c r="H53" s="163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</row>
    <row r="54" spans="1:26" x14ac:dyDescent="0.3">
      <c r="A54" s="137"/>
      <c r="B54" s="163"/>
      <c r="C54" s="163"/>
      <c r="D54" s="163"/>
      <c r="E54" s="163"/>
      <c r="F54" s="163"/>
      <c r="G54" s="163"/>
      <c r="H54" s="163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</row>
    <row r="55" spans="1:26" x14ac:dyDescent="0.3">
      <c r="A55" s="137"/>
      <c r="B55" s="163"/>
      <c r="C55" s="163"/>
      <c r="D55" s="163"/>
      <c r="E55" s="163"/>
      <c r="F55" s="163"/>
      <c r="G55" s="163"/>
      <c r="H55" s="163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</row>
    <row r="56" spans="1:26" x14ac:dyDescent="0.3">
      <c r="A56" s="137"/>
      <c r="B56" s="163"/>
      <c r="C56" s="163"/>
      <c r="D56" s="163"/>
      <c r="E56" s="163"/>
      <c r="F56" s="163"/>
      <c r="G56" s="163"/>
      <c r="H56" s="163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</row>
    <row r="57" spans="1:26" x14ac:dyDescent="0.3">
      <c r="A57" s="137"/>
      <c r="B57" s="163"/>
      <c r="C57" s="163"/>
      <c r="D57" s="163"/>
      <c r="E57" s="163"/>
      <c r="F57" s="163"/>
      <c r="G57" s="163"/>
      <c r="H57" s="163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</row>
    <row r="58" spans="1:26" x14ac:dyDescent="0.3">
      <c r="A58" s="137"/>
      <c r="B58" s="163"/>
      <c r="C58" s="163"/>
      <c r="D58" s="163"/>
      <c r="E58" s="163"/>
      <c r="F58" s="163"/>
      <c r="G58" s="163"/>
      <c r="H58" s="163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</row>
    <row r="59" spans="1:26" x14ac:dyDescent="0.3">
      <c r="A59" s="137"/>
      <c r="B59" s="163"/>
      <c r="C59" s="163"/>
      <c r="D59" s="163"/>
      <c r="E59" s="163"/>
      <c r="F59" s="163"/>
      <c r="G59" s="163"/>
      <c r="H59" s="163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</row>
    <row r="60" spans="1:26" x14ac:dyDescent="0.3">
      <c r="A60" s="137"/>
      <c r="B60" s="163"/>
      <c r="C60" s="163"/>
      <c r="D60" s="163"/>
      <c r="E60" s="163"/>
      <c r="F60" s="163"/>
      <c r="G60" s="163"/>
      <c r="H60" s="163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</row>
    <row r="61" spans="1:26" x14ac:dyDescent="0.3">
      <c r="A61" s="137"/>
      <c r="B61" s="163"/>
      <c r="C61" s="163"/>
      <c r="D61" s="163"/>
      <c r="E61" s="163"/>
      <c r="F61" s="163"/>
      <c r="G61" s="163"/>
      <c r="H61" s="163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</row>
    <row r="62" spans="1:26" x14ac:dyDescent="0.3">
      <c r="A62" s="137"/>
      <c r="B62" s="163"/>
      <c r="C62" s="163"/>
      <c r="D62" s="163"/>
      <c r="E62" s="163"/>
      <c r="F62" s="163"/>
      <c r="G62" s="163"/>
      <c r="H62" s="163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</row>
    <row r="63" spans="1:26" x14ac:dyDescent="0.3">
      <c r="A63" s="137"/>
      <c r="B63" s="163"/>
      <c r="C63" s="163"/>
      <c r="D63" s="163"/>
      <c r="E63" s="163"/>
      <c r="F63" s="163"/>
      <c r="G63" s="163"/>
      <c r="H63" s="163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</row>
    <row r="64" spans="1:26" x14ac:dyDescent="0.3">
      <c r="A64" s="137"/>
      <c r="B64" s="163"/>
      <c r="C64" s="163"/>
      <c r="D64" s="163"/>
      <c r="E64" s="163"/>
      <c r="F64" s="163"/>
      <c r="G64" s="163"/>
      <c r="H64" s="163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</row>
    <row r="65" spans="1:26" x14ac:dyDescent="0.3">
      <c r="A65" s="137"/>
      <c r="B65" s="163"/>
      <c r="C65" s="163"/>
      <c r="D65" s="163"/>
      <c r="E65" s="163"/>
      <c r="F65" s="163"/>
      <c r="G65" s="163"/>
      <c r="H65" s="163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</row>
    <row r="66" spans="1:26" x14ac:dyDescent="0.3">
      <c r="A66" s="137"/>
      <c r="B66" s="163"/>
      <c r="C66" s="163"/>
      <c r="D66" s="163"/>
      <c r="E66" s="163"/>
      <c r="F66" s="163"/>
      <c r="G66" s="163"/>
      <c r="H66" s="163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</row>
    <row r="67" spans="1:26" x14ac:dyDescent="0.3">
      <c r="A67" s="137"/>
      <c r="B67" s="163"/>
      <c r="C67" s="163"/>
      <c r="D67" s="163"/>
      <c r="E67" s="163"/>
      <c r="F67" s="163"/>
      <c r="G67" s="163"/>
      <c r="H67" s="163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</row>
    <row r="68" spans="1:26" x14ac:dyDescent="0.3">
      <c r="A68" s="137"/>
      <c r="B68" s="163"/>
      <c r="C68" s="163"/>
      <c r="D68" s="163"/>
      <c r="E68" s="163"/>
      <c r="F68" s="163"/>
      <c r="G68" s="163"/>
      <c r="H68" s="163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</row>
    <row r="69" spans="1:26" x14ac:dyDescent="0.3">
      <c r="A69" s="137"/>
      <c r="B69" s="163"/>
      <c r="C69" s="163"/>
      <c r="D69" s="163"/>
      <c r="E69" s="163"/>
      <c r="F69" s="163"/>
      <c r="G69" s="163"/>
      <c r="H69" s="163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</row>
    <row r="70" spans="1:26" x14ac:dyDescent="0.3">
      <c r="A70" s="137"/>
      <c r="B70" s="163"/>
      <c r="C70" s="163"/>
      <c r="D70" s="163"/>
      <c r="E70" s="163"/>
      <c r="F70" s="163"/>
      <c r="G70" s="163"/>
      <c r="H70" s="163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</row>
    <row r="71" spans="1:26" x14ac:dyDescent="0.3">
      <c r="A71" s="137"/>
      <c r="B71" s="163"/>
      <c r="C71" s="163"/>
      <c r="D71" s="163"/>
      <c r="E71" s="163"/>
      <c r="F71" s="163"/>
      <c r="G71" s="163"/>
      <c r="H71" s="163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</row>
    <row r="72" spans="1:26" x14ac:dyDescent="0.3">
      <c r="A72" s="137"/>
      <c r="B72" s="163"/>
      <c r="C72" s="163"/>
      <c r="D72" s="163"/>
      <c r="E72" s="163"/>
      <c r="F72" s="163"/>
      <c r="G72" s="163"/>
      <c r="H72" s="163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</row>
    <row r="73" spans="1:26" x14ac:dyDescent="0.3">
      <c r="A73" s="137"/>
      <c r="B73" s="163"/>
      <c r="C73" s="163"/>
      <c r="D73" s="163"/>
      <c r="E73" s="163"/>
      <c r="F73" s="163"/>
      <c r="G73" s="163"/>
      <c r="H73" s="163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</row>
    <row r="74" spans="1:26" x14ac:dyDescent="0.3">
      <c r="A74" s="137"/>
      <c r="B74" s="163"/>
      <c r="C74" s="163"/>
      <c r="D74" s="163"/>
      <c r="E74" s="163"/>
      <c r="F74" s="163"/>
      <c r="G74" s="163"/>
      <c r="H74" s="163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</row>
    <row r="75" spans="1:26" x14ac:dyDescent="0.3">
      <c r="A75" s="137"/>
      <c r="B75" s="163"/>
      <c r="C75" s="163"/>
      <c r="D75" s="163"/>
      <c r="E75" s="163"/>
      <c r="F75" s="163"/>
      <c r="G75" s="163"/>
      <c r="H75" s="163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</row>
    <row r="76" spans="1:26" x14ac:dyDescent="0.3">
      <c r="A76" s="137"/>
      <c r="B76" s="163"/>
      <c r="C76" s="163"/>
      <c r="D76" s="163"/>
      <c r="E76" s="163"/>
      <c r="F76" s="163"/>
      <c r="G76" s="163"/>
      <c r="H76" s="163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</row>
    <row r="77" spans="1:26" x14ac:dyDescent="0.3">
      <c r="A77" s="137"/>
      <c r="B77" s="163"/>
      <c r="C77" s="163"/>
      <c r="D77" s="163"/>
      <c r="E77" s="163"/>
      <c r="F77" s="163"/>
      <c r="G77" s="163"/>
      <c r="H77" s="163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</row>
    <row r="78" spans="1:26" x14ac:dyDescent="0.3">
      <c r="A78" s="137"/>
      <c r="B78" s="163"/>
      <c r="C78" s="163"/>
      <c r="D78" s="163"/>
      <c r="E78" s="163"/>
      <c r="F78" s="163"/>
      <c r="G78" s="163"/>
      <c r="H78" s="163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</row>
    <row r="79" spans="1:26" x14ac:dyDescent="0.3">
      <c r="A79" s="137"/>
      <c r="B79" s="163"/>
      <c r="C79" s="163"/>
      <c r="D79" s="163"/>
      <c r="E79" s="163"/>
      <c r="F79" s="163"/>
      <c r="G79" s="163"/>
      <c r="H79" s="163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</row>
    <row r="80" spans="1:26" x14ac:dyDescent="0.3">
      <c r="A80" s="137"/>
      <c r="B80" s="163"/>
      <c r="C80" s="163"/>
      <c r="D80" s="163"/>
      <c r="E80" s="163"/>
      <c r="F80" s="163"/>
      <c r="G80" s="163"/>
      <c r="H80" s="163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</row>
    <row r="81" spans="1:26" x14ac:dyDescent="0.3">
      <c r="A81" s="137"/>
      <c r="B81" s="163"/>
      <c r="C81" s="163"/>
      <c r="D81" s="163"/>
      <c r="E81" s="163"/>
      <c r="F81" s="163"/>
      <c r="G81" s="163"/>
      <c r="H81" s="163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</row>
    <row r="82" spans="1:26" x14ac:dyDescent="0.3">
      <c r="A82" s="137"/>
      <c r="B82" s="163"/>
      <c r="C82" s="163"/>
      <c r="D82" s="163"/>
      <c r="E82" s="163"/>
      <c r="F82" s="163"/>
      <c r="G82" s="163"/>
      <c r="H82" s="163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</row>
    <row r="83" spans="1:26" x14ac:dyDescent="0.3">
      <c r="A83" s="137"/>
      <c r="B83" s="163"/>
      <c r="C83" s="163"/>
      <c r="D83" s="163"/>
      <c r="E83" s="163"/>
      <c r="F83" s="163"/>
      <c r="G83" s="163"/>
      <c r="H83" s="163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</row>
    <row r="84" spans="1:26" x14ac:dyDescent="0.3">
      <c r="A84" s="137"/>
      <c r="B84" s="163"/>
      <c r="C84" s="163"/>
      <c r="D84" s="163"/>
      <c r="E84" s="163"/>
      <c r="F84" s="163"/>
      <c r="G84" s="163"/>
      <c r="H84" s="163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</row>
    <row r="85" spans="1:26" x14ac:dyDescent="0.3">
      <c r="A85" s="137"/>
      <c r="B85" s="163"/>
      <c r="C85" s="163"/>
      <c r="D85" s="163"/>
      <c r="E85" s="163"/>
      <c r="F85" s="163"/>
      <c r="G85" s="163"/>
      <c r="H85" s="163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</row>
    <row r="86" spans="1:26" x14ac:dyDescent="0.3">
      <c r="A86" s="137"/>
      <c r="B86" s="163"/>
      <c r="C86" s="163"/>
      <c r="D86" s="163"/>
      <c r="E86" s="163"/>
      <c r="F86" s="163"/>
      <c r="G86" s="163"/>
      <c r="H86" s="163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</row>
    <row r="87" spans="1:26" x14ac:dyDescent="0.3">
      <c r="A87" s="137"/>
      <c r="B87" s="163"/>
      <c r="C87" s="163"/>
      <c r="D87" s="163"/>
      <c r="E87" s="163"/>
      <c r="F87" s="163"/>
      <c r="G87" s="163"/>
      <c r="H87" s="163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</row>
    <row r="88" spans="1:26" x14ac:dyDescent="0.3">
      <c r="A88" s="137"/>
      <c r="B88" s="163"/>
      <c r="C88" s="163"/>
      <c r="D88" s="163"/>
      <c r="E88" s="163"/>
      <c r="F88" s="163"/>
      <c r="G88" s="163"/>
      <c r="H88" s="163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</row>
    <row r="89" spans="1:26" x14ac:dyDescent="0.3">
      <c r="A89" s="137"/>
      <c r="B89" s="163"/>
      <c r="C89" s="163"/>
      <c r="D89" s="163"/>
      <c r="E89" s="163"/>
      <c r="F89" s="163"/>
      <c r="G89" s="163"/>
      <c r="H89" s="163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</row>
    <row r="90" spans="1:26" x14ac:dyDescent="0.3">
      <c r="A90" s="137"/>
      <c r="B90" s="163"/>
      <c r="C90" s="163"/>
      <c r="D90" s="163"/>
      <c r="E90" s="163"/>
      <c r="F90" s="163"/>
      <c r="G90" s="163"/>
      <c r="H90" s="163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</row>
    <row r="91" spans="1:26" x14ac:dyDescent="0.3">
      <c r="A91" s="137"/>
      <c r="B91" s="163"/>
      <c r="C91" s="163"/>
      <c r="D91" s="163"/>
      <c r="E91" s="163"/>
      <c r="F91" s="163"/>
      <c r="G91" s="163"/>
      <c r="H91" s="163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</row>
    <row r="92" spans="1:26" x14ac:dyDescent="0.3">
      <c r="A92" s="137"/>
      <c r="B92" s="163"/>
      <c r="C92" s="163"/>
      <c r="D92" s="163"/>
      <c r="E92" s="163"/>
      <c r="F92" s="163"/>
      <c r="G92" s="163"/>
      <c r="H92" s="163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</row>
    <row r="93" spans="1:26" x14ac:dyDescent="0.3">
      <c r="A93" s="137"/>
      <c r="B93" s="163"/>
      <c r="C93" s="163"/>
      <c r="D93" s="163"/>
      <c r="E93" s="163"/>
      <c r="F93" s="163"/>
      <c r="G93" s="163"/>
      <c r="H93" s="163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</row>
    <row r="94" spans="1:26" x14ac:dyDescent="0.3">
      <c r="A94" s="137"/>
      <c r="B94" s="163"/>
      <c r="C94" s="163"/>
      <c r="D94" s="163"/>
      <c r="E94" s="163"/>
      <c r="F94" s="163"/>
      <c r="G94" s="163"/>
      <c r="H94" s="163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</row>
    <row r="95" spans="1:26" x14ac:dyDescent="0.3">
      <c r="A95" s="137"/>
      <c r="B95" s="163"/>
      <c r="C95" s="163"/>
      <c r="D95" s="163"/>
      <c r="E95" s="163"/>
      <c r="F95" s="163"/>
      <c r="G95" s="163"/>
      <c r="H95" s="163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</row>
    <row r="96" spans="1:26" x14ac:dyDescent="0.3">
      <c r="A96" s="137"/>
      <c r="B96" s="163"/>
      <c r="C96" s="163"/>
      <c r="D96" s="163"/>
      <c r="E96" s="163"/>
      <c r="F96" s="163"/>
      <c r="G96" s="163"/>
      <c r="H96" s="163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</row>
    <row r="97" spans="1:26" x14ac:dyDescent="0.3">
      <c r="A97" s="137"/>
      <c r="B97" s="163"/>
      <c r="C97" s="163"/>
      <c r="D97" s="163"/>
      <c r="E97" s="163"/>
      <c r="F97" s="163"/>
      <c r="G97" s="163"/>
      <c r="H97" s="163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</row>
    <row r="98" spans="1:26" x14ac:dyDescent="0.3">
      <c r="A98" s="137"/>
      <c r="B98" s="163"/>
      <c r="C98" s="163"/>
      <c r="D98" s="163"/>
      <c r="E98" s="163"/>
      <c r="F98" s="163"/>
      <c r="G98" s="163"/>
      <c r="H98" s="163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</row>
    <row r="99" spans="1:26" x14ac:dyDescent="0.3">
      <c r="A99" s="137"/>
      <c r="B99" s="163"/>
      <c r="C99" s="163"/>
      <c r="D99" s="163"/>
      <c r="E99" s="163"/>
      <c r="F99" s="163"/>
      <c r="G99" s="163"/>
      <c r="H99" s="163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</row>
    <row r="100" spans="1:26" x14ac:dyDescent="0.3">
      <c r="A100" s="137"/>
      <c r="B100" s="163"/>
      <c r="C100" s="163"/>
      <c r="D100" s="163"/>
      <c r="E100" s="163"/>
      <c r="F100" s="163"/>
      <c r="G100" s="163"/>
      <c r="H100" s="163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</row>
    <row r="101" spans="1:26" x14ac:dyDescent="0.3">
      <c r="A101" s="137"/>
      <c r="B101" s="163"/>
      <c r="C101" s="163"/>
      <c r="D101" s="163"/>
      <c r="E101" s="163"/>
      <c r="F101" s="163"/>
      <c r="G101" s="163"/>
      <c r="H101" s="163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</row>
    <row r="102" spans="1:26" x14ac:dyDescent="0.3">
      <c r="A102" s="137"/>
      <c r="B102" s="163"/>
      <c r="C102" s="163"/>
      <c r="D102" s="163"/>
      <c r="E102" s="163"/>
      <c r="F102" s="163"/>
      <c r="G102" s="163"/>
      <c r="H102" s="163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</row>
    <row r="103" spans="1:26" x14ac:dyDescent="0.3">
      <c r="A103" s="137"/>
      <c r="B103" s="163"/>
      <c r="C103" s="163"/>
      <c r="D103" s="163"/>
      <c r="E103" s="163"/>
      <c r="F103" s="163"/>
      <c r="G103" s="163"/>
      <c r="H103" s="163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</row>
    <row r="104" spans="1:26" x14ac:dyDescent="0.3">
      <c r="A104" s="137"/>
      <c r="B104" s="163"/>
      <c r="C104" s="163"/>
      <c r="D104" s="163"/>
      <c r="E104" s="163"/>
      <c r="F104" s="163"/>
      <c r="G104" s="163"/>
      <c r="H104" s="163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</row>
    <row r="105" spans="1:26" x14ac:dyDescent="0.3">
      <c r="A105" s="137"/>
      <c r="B105" s="163"/>
      <c r="C105" s="163"/>
      <c r="D105" s="163"/>
      <c r="E105" s="163"/>
      <c r="F105" s="163"/>
      <c r="G105" s="163"/>
      <c r="H105" s="163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</row>
    <row r="106" spans="1:26" x14ac:dyDescent="0.3">
      <c r="A106" s="137"/>
      <c r="B106" s="163"/>
      <c r="C106" s="163"/>
      <c r="D106" s="163"/>
      <c r="E106" s="163"/>
      <c r="F106" s="163"/>
      <c r="G106" s="163"/>
      <c r="H106" s="163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</row>
    <row r="107" spans="1:26" x14ac:dyDescent="0.3">
      <c r="A107" s="137"/>
      <c r="B107" s="163"/>
      <c r="C107" s="163"/>
      <c r="D107" s="163"/>
      <c r="E107" s="163"/>
      <c r="F107" s="163"/>
      <c r="G107" s="163"/>
      <c r="H107" s="163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</row>
    <row r="108" spans="1:26" x14ac:dyDescent="0.3">
      <c r="A108" s="137"/>
      <c r="B108" s="163"/>
      <c r="C108" s="163"/>
      <c r="D108" s="163"/>
      <c r="E108" s="163"/>
      <c r="F108" s="163"/>
      <c r="G108" s="163"/>
      <c r="H108" s="163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</row>
    <row r="109" spans="1:26" x14ac:dyDescent="0.3">
      <c r="A109" s="137"/>
      <c r="B109" s="163"/>
      <c r="C109" s="163"/>
      <c r="D109" s="163"/>
      <c r="E109" s="163"/>
      <c r="F109" s="163"/>
      <c r="G109" s="163"/>
      <c r="H109" s="163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</row>
    <row r="110" spans="1:26" x14ac:dyDescent="0.3">
      <c r="A110" s="137"/>
      <c r="B110" s="163"/>
      <c r="C110" s="163"/>
      <c r="D110" s="163"/>
      <c r="E110" s="163"/>
      <c r="F110" s="163"/>
      <c r="G110" s="163"/>
      <c r="H110" s="163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</row>
    <row r="111" spans="1:26" x14ac:dyDescent="0.3">
      <c r="A111" s="137"/>
      <c r="B111" s="163"/>
      <c r="C111" s="163"/>
      <c r="D111" s="163"/>
      <c r="E111" s="163"/>
      <c r="F111" s="163"/>
      <c r="G111" s="163"/>
      <c r="H111" s="163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</row>
    <row r="112" spans="1:26" x14ac:dyDescent="0.3">
      <c r="A112" s="137"/>
      <c r="B112" s="163"/>
      <c r="C112" s="163"/>
      <c r="D112" s="163"/>
      <c r="E112" s="163"/>
      <c r="F112" s="163"/>
      <c r="G112" s="163"/>
      <c r="H112" s="163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</row>
    <row r="113" spans="1:26" x14ac:dyDescent="0.3">
      <c r="A113" s="137"/>
      <c r="B113" s="163"/>
      <c r="C113" s="163"/>
      <c r="D113" s="163"/>
      <c r="E113" s="163"/>
      <c r="F113" s="163"/>
      <c r="G113" s="163"/>
      <c r="H113" s="163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</row>
    <row r="114" spans="1:26" x14ac:dyDescent="0.3">
      <c r="A114" s="137"/>
      <c r="B114" s="163"/>
      <c r="C114" s="163"/>
      <c r="D114" s="163"/>
      <c r="E114" s="163"/>
      <c r="F114" s="163"/>
      <c r="G114" s="163"/>
      <c r="H114" s="163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</row>
    <row r="115" spans="1:26" x14ac:dyDescent="0.3">
      <c r="A115" s="137"/>
      <c r="B115" s="163"/>
      <c r="C115" s="163"/>
      <c r="D115" s="163"/>
      <c r="E115" s="163"/>
      <c r="F115" s="163"/>
      <c r="G115" s="163"/>
      <c r="H115" s="163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</row>
    <row r="116" spans="1:26" x14ac:dyDescent="0.3">
      <c r="A116" s="137"/>
      <c r="B116" s="163"/>
      <c r="C116" s="163"/>
      <c r="D116" s="163"/>
      <c r="E116" s="163"/>
      <c r="F116" s="163"/>
      <c r="G116" s="163"/>
      <c r="H116" s="163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</row>
    <row r="117" spans="1:26" x14ac:dyDescent="0.3">
      <c r="A117" s="137"/>
      <c r="B117" s="163"/>
      <c r="C117" s="163"/>
      <c r="D117" s="163"/>
      <c r="E117" s="163"/>
      <c r="F117" s="163"/>
      <c r="G117" s="163"/>
      <c r="H117" s="163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</row>
    <row r="118" spans="1:26" x14ac:dyDescent="0.3">
      <c r="A118" s="137"/>
      <c r="B118" s="163"/>
      <c r="C118" s="163"/>
      <c r="D118" s="163"/>
      <c r="E118" s="163"/>
      <c r="F118" s="163"/>
      <c r="G118" s="163"/>
      <c r="H118" s="163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</row>
    <row r="119" spans="1:26" x14ac:dyDescent="0.3">
      <c r="A119" s="137"/>
      <c r="B119" s="163"/>
      <c r="C119" s="163"/>
      <c r="D119" s="163"/>
      <c r="E119" s="163"/>
      <c r="F119" s="163"/>
      <c r="G119" s="163"/>
      <c r="H119" s="163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</row>
    <row r="120" spans="1:26" x14ac:dyDescent="0.3">
      <c r="A120" s="137"/>
      <c r="B120" s="163"/>
      <c r="C120" s="163"/>
      <c r="D120" s="163"/>
      <c r="E120" s="163"/>
      <c r="F120" s="163"/>
      <c r="G120" s="163"/>
      <c r="H120" s="163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</row>
    <row r="121" spans="1:26" x14ac:dyDescent="0.3">
      <c r="A121" s="137"/>
      <c r="B121" s="163"/>
      <c r="C121" s="163"/>
      <c r="D121" s="163"/>
      <c r="E121" s="163"/>
      <c r="F121" s="163"/>
      <c r="G121" s="163"/>
      <c r="H121" s="163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</row>
    <row r="122" spans="1:26" x14ac:dyDescent="0.3">
      <c r="A122" s="137"/>
      <c r="B122" s="163"/>
      <c r="C122" s="163"/>
      <c r="D122" s="163"/>
      <c r="E122" s="163"/>
      <c r="F122" s="163"/>
      <c r="G122" s="163"/>
      <c r="H122" s="163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</row>
    <row r="123" spans="1:26" x14ac:dyDescent="0.3">
      <c r="A123" s="137"/>
      <c r="B123" s="163"/>
      <c r="C123" s="163"/>
      <c r="D123" s="163"/>
      <c r="E123" s="163"/>
      <c r="F123" s="163"/>
      <c r="G123" s="163"/>
      <c r="H123" s="163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</row>
    <row r="124" spans="1:26" x14ac:dyDescent="0.3">
      <c r="A124" s="137"/>
      <c r="B124" s="163"/>
      <c r="C124" s="163"/>
      <c r="D124" s="163"/>
      <c r="E124" s="163"/>
      <c r="F124" s="163"/>
      <c r="G124" s="163"/>
      <c r="H124" s="163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</row>
    <row r="125" spans="1:26" x14ac:dyDescent="0.3">
      <c r="A125" s="137"/>
      <c r="B125" s="163"/>
      <c r="C125" s="163"/>
      <c r="D125" s="163"/>
      <c r="E125" s="163"/>
      <c r="F125" s="163"/>
      <c r="G125" s="163"/>
      <c r="H125" s="163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</row>
    <row r="126" spans="1:26" x14ac:dyDescent="0.3">
      <c r="A126" s="137"/>
      <c r="B126" s="163"/>
      <c r="C126" s="163"/>
      <c r="D126" s="163"/>
      <c r="E126" s="163"/>
      <c r="F126" s="163"/>
      <c r="G126" s="163"/>
      <c r="H126" s="163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</row>
    <row r="127" spans="1:26" x14ac:dyDescent="0.3">
      <c r="A127" s="137"/>
      <c r="B127" s="163"/>
      <c r="C127" s="163"/>
      <c r="D127" s="163"/>
      <c r="E127" s="163"/>
      <c r="F127" s="163"/>
      <c r="G127" s="163"/>
      <c r="H127" s="163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</row>
    <row r="128" spans="1:26" x14ac:dyDescent="0.3">
      <c r="A128" s="137"/>
      <c r="B128" s="163"/>
      <c r="C128" s="163"/>
      <c r="D128" s="163"/>
      <c r="E128" s="163"/>
      <c r="F128" s="163"/>
      <c r="G128" s="163"/>
      <c r="H128" s="163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</row>
    <row r="129" spans="1:26" x14ac:dyDescent="0.3">
      <c r="A129" s="137"/>
      <c r="B129" s="163"/>
      <c r="C129" s="163"/>
      <c r="D129" s="163"/>
      <c r="E129" s="163"/>
      <c r="F129" s="163"/>
      <c r="G129" s="163"/>
      <c r="H129" s="163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</row>
    <row r="130" spans="1:26" x14ac:dyDescent="0.3">
      <c r="A130" s="137"/>
      <c r="B130" s="163"/>
      <c r="C130" s="163"/>
      <c r="D130" s="163"/>
      <c r="E130" s="163"/>
      <c r="F130" s="163"/>
      <c r="G130" s="163"/>
      <c r="H130" s="163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</row>
    <row r="131" spans="1:26" x14ac:dyDescent="0.3">
      <c r="A131" s="137"/>
      <c r="B131" s="163"/>
      <c r="C131" s="163"/>
      <c r="D131" s="163"/>
      <c r="E131" s="163"/>
      <c r="F131" s="163"/>
      <c r="G131" s="163"/>
      <c r="H131" s="163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</row>
    <row r="132" spans="1:26" x14ac:dyDescent="0.3">
      <c r="A132" s="137"/>
      <c r="B132" s="163"/>
      <c r="C132" s="163"/>
      <c r="D132" s="163"/>
      <c r="E132" s="163"/>
      <c r="F132" s="163"/>
      <c r="G132" s="163"/>
      <c r="H132" s="163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</row>
    <row r="133" spans="1:26" x14ac:dyDescent="0.3">
      <c r="A133" s="137"/>
      <c r="B133" s="163"/>
      <c r="C133" s="163"/>
      <c r="D133" s="163"/>
      <c r="E133" s="163"/>
      <c r="F133" s="163"/>
      <c r="G133" s="163"/>
      <c r="H133" s="163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</row>
    <row r="134" spans="1:26" x14ac:dyDescent="0.3">
      <c r="A134" s="137"/>
      <c r="B134" s="163"/>
      <c r="C134" s="163"/>
      <c r="D134" s="163"/>
      <c r="E134" s="163"/>
      <c r="F134" s="163"/>
      <c r="G134" s="163"/>
      <c r="H134" s="163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</row>
    <row r="135" spans="1:26" x14ac:dyDescent="0.3">
      <c r="A135" s="137"/>
      <c r="B135" s="163"/>
      <c r="C135" s="163"/>
      <c r="D135" s="163"/>
      <c r="E135" s="163"/>
      <c r="F135" s="163"/>
      <c r="G135" s="163"/>
      <c r="H135" s="163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</row>
    <row r="136" spans="1:26" x14ac:dyDescent="0.3">
      <c r="A136" s="137"/>
      <c r="B136" s="163"/>
      <c r="C136" s="163"/>
      <c r="D136" s="163"/>
      <c r="E136" s="163"/>
      <c r="F136" s="163"/>
      <c r="G136" s="163"/>
      <c r="H136" s="163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</row>
    <row r="137" spans="1:26" x14ac:dyDescent="0.3">
      <c r="A137" s="137"/>
      <c r="B137" s="163"/>
      <c r="C137" s="163"/>
      <c r="D137" s="163"/>
      <c r="E137" s="163"/>
      <c r="F137" s="163"/>
      <c r="G137" s="163"/>
      <c r="H137" s="163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</row>
    <row r="138" spans="1:26" x14ac:dyDescent="0.3">
      <c r="A138" s="137"/>
      <c r="B138" s="163"/>
      <c r="C138" s="163"/>
      <c r="D138" s="163"/>
      <c r="E138" s="163"/>
      <c r="F138" s="163"/>
      <c r="G138" s="163"/>
      <c r="H138" s="163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</row>
    <row r="139" spans="1:26" x14ac:dyDescent="0.3">
      <c r="A139" s="137"/>
      <c r="B139" s="163"/>
      <c r="C139" s="163"/>
      <c r="D139" s="163"/>
      <c r="E139" s="163"/>
      <c r="F139" s="163"/>
      <c r="G139" s="163"/>
      <c r="H139" s="163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</row>
    <row r="140" spans="1:26" x14ac:dyDescent="0.3">
      <c r="A140" s="137"/>
      <c r="B140" s="163"/>
      <c r="C140" s="163"/>
      <c r="D140" s="163"/>
      <c r="E140" s="163"/>
      <c r="F140" s="163"/>
      <c r="G140" s="163"/>
      <c r="H140" s="163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</row>
  </sheetData>
  <sheetProtection algorithmName="SHA-512" hashValue="Hvuc0w/i5+PzKn5fK1tbobMxkwVSmj5CvtrRfbaI1RLJL3nX1vso81BBLJvJQGQLz+CnpywXbLFJKaDyrap7+w==" saltValue="smD+vZqja8t5ZigrrtfBMA==" spinCount="100000" sheet="1" objects="1" scenarios="1"/>
  <mergeCells count="11">
    <mergeCell ref="A1:A15"/>
    <mergeCell ref="B1:B3"/>
    <mergeCell ref="C1:C3"/>
    <mergeCell ref="D1:D3"/>
    <mergeCell ref="E1:E3"/>
    <mergeCell ref="G1:G3"/>
    <mergeCell ref="H1:H3"/>
    <mergeCell ref="J1:K1"/>
    <mergeCell ref="D14:D15"/>
    <mergeCell ref="E14:H15"/>
    <mergeCell ref="F1:F3"/>
  </mergeCells>
  <conditionalFormatting sqref="B4:B15">
    <cfRule type="expression" dxfId="7" priority="6">
      <formula>B$1="DOMINGO"</formula>
    </cfRule>
  </conditionalFormatting>
  <conditionalFormatting sqref="H4:H13">
    <cfRule type="expression" dxfId="6" priority="13">
      <formula>$H$1="DOMINGO"</formula>
    </cfRule>
  </conditionalFormatting>
  <conditionalFormatting sqref="B13:H13 B15:C15 B11:F11 B9:H9 B7:H7 B5:H5">
    <cfRule type="containsText" dxfId="5" priority="4" operator="containsText" text="VACACIONES">
      <formula>NOT(ISERROR(SEARCH("VACACIONES",B5)))</formula>
    </cfRule>
  </conditionalFormatting>
  <conditionalFormatting sqref="B5:H5 B7:H7 B9:H9 B13:H13 B15:C15 B11:H11">
    <cfRule type="containsText" dxfId="4" priority="1" operator="containsText" text="REVISAR REGISTRO">
      <formula>NOT(ISERROR(SEARCH("REVISAR REGISTRO",B5)))</formula>
    </cfRule>
    <cfRule type="containsText" dxfId="3" priority="3" operator="containsText" text="DIA FERIADO">
      <formula>NOT(ISERROR(SEARCH("DIA FERIADO",B5)))</formula>
    </cfRule>
    <cfRule type="containsText" dxfId="2" priority="5" operator="containsText" text="DIA PUENTE">
      <formula>NOT(ISERROR(SEARCH("DIA PUENTE",B5)))</formula>
    </cfRule>
    <cfRule type="cellIs" dxfId="1" priority="14" operator="greaterThan">
      <formula>0</formula>
    </cfRule>
  </conditionalFormatting>
  <conditionalFormatting sqref="G11:H11">
    <cfRule type="containsText" dxfId="0" priority="2" operator="containsText" text="VACACIONES">
      <formula>NOT(ISERROR(SEARCH("VACACIONES",G11)))</formula>
    </cfRule>
  </conditionalFormatting>
  <pageMargins left="0.7" right="0.7" top="0.75" bottom="0.75" header="0.3" footer="0.3"/>
  <pageSetup orientation="portrait" horizont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1"/>
  </sheetPr>
  <dimension ref="A1:BB9"/>
  <sheetViews>
    <sheetView showGridLines="0" workbookViewId="0">
      <selection activeCell="F17" sqref="A5:F17"/>
    </sheetView>
  </sheetViews>
  <sheetFormatPr baseColWidth="10" defaultRowHeight="14.4" x14ac:dyDescent="0.3"/>
  <cols>
    <col min="1" max="3" width="21.21875" style="6" customWidth="1"/>
    <col min="4" max="4" width="17.77734375" style="6" bestFit="1" customWidth="1"/>
    <col min="5" max="5" width="11.77734375" style="6" bestFit="1" customWidth="1"/>
    <col min="6" max="6" width="18.77734375" style="6" bestFit="1" customWidth="1"/>
    <col min="7" max="7" width="13.77734375" style="6" bestFit="1" customWidth="1"/>
    <col min="8" max="8" width="12.5546875" style="6" bestFit="1" customWidth="1"/>
    <col min="9" max="9" width="17" style="6" bestFit="1" customWidth="1"/>
    <col min="10" max="10" width="17.5546875" bestFit="1" customWidth="1"/>
    <col min="11" max="11" width="17.21875" style="6" bestFit="1" customWidth="1"/>
    <col min="12" max="13" width="17.77734375" bestFit="1" customWidth="1"/>
    <col min="14" max="14" width="14.77734375" bestFit="1" customWidth="1"/>
    <col min="15" max="15" width="13.77734375" style="6" customWidth="1"/>
    <col min="16" max="16" width="14.77734375" style="6" bestFit="1" customWidth="1"/>
    <col min="17" max="20" width="16.21875" style="6" customWidth="1"/>
    <col min="21" max="22" width="16.21875" customWidth="1"/>
    <col min="23" max="23" width="14.21875" customWidth="1"/>
    <col min="24" max="25" width="16.21875" customWidth="1"/>
    <col min="26" max="34" width="13.77734375" customWidth="1"/>
    <col min="35" max="42" width="16.21875" customWidth="1"/>
    <col min="43" max="52" width="14" bestFit="1" customWidth="1"/>
    <col min="53" max="54" width="14.44140625" bestFit="1" customWidth="1"/>
  </cols>
  <sheetData>
    <row r="1" spans="1:54" ht="42.75" customHeight="1" x14ac:dyDescent="0.3">
      <c r="A1" s="30" t="s">
        <v>179</v>
      </c>
      <c r="B1" s="30" t="s">
        <v>222</v>
      </c>
      <c r="C1" s="30" t="s">
        <v>223</v>
      </c>
      <c r="D1" s="30" t="s">
        <v>224</v>
      </c>
      <c r="E1" s="30" t="s">
        <v>225</v>
      </c>
      <c r="F1" s="30" t="s">
        <v>226</v>
      </c>
      <c r="G1" s="30" t="s">
        <v>227</v>
      </c>
      <c r="H1" s="30" t="s">
        <v>230</v>
      </c>
      <c r="I1" s="30" t="s">
        <v>228</v>
      </c>
      <c r="J1" s="30" t="s">
        <v>403</v>
      </c>
      <c r="K1" s="30" t="s">
        <v>235</v>
      </c>
      <c r="L1" s="30" t="s">
        <v>372</v>
      </c>
      <c r="M1" s="30" t="s">
        <v>231</v>
      </c>
      <c r="N1" s="30" t="s">
        <v>232</v>
      </c>
      <c r="O1" s="30" t="s">
        <v>233</v>
      </c>
      <c r="P1" s="30" t="s">
        <v>229</v>
      </c>
      <c r="Q1" s="30" t="s">
        <v>373</v>
      </c>
      <c r="R1" s="30" t="s">
        <v>374</v>
      </c>
      <c r="S1" s="30" t="s">
        <v>375</v>
      </c>
      <c r="T1" s="30" t="s">
        <v>376</v>
      </c>
      <c r="U1" s="30" t="s">
        <v>378</v>
      </c>
      <c r="V1" s="30" t="s">
        <v>377</v>
      </c>
      <c r="W1" s="30" t="s">
        <v>408</v>
      </c>
      <c r="X1" s="30" t="s">
        <v>417</v>
      </c>
      <c r="Y1" s="30" t="s">
        <v>424</v>
      </c>
      <c r="Z1" s="30" t="s">
        <v>428</v>
      </c>
      <c r="AA1" s="30" t="s">
        <v>463</v>
      </c>
      <c r="AB1" s="30" t="s">
        <v>464</v>
      </c>
      <c r="AC1" s="30" t="s">
        <v>508</v>
      </c>
      <c r="AD1" s="30" t="s">
        <v>509</v>
      </c>
      <c r="AE1" s="30" t="s">
        <v>510</v>
      </c>
      <c r="AF1" s="30" t="s">
        <v>511</v>
      </c>
      <c r="AG1" s="30" t="s">
        <v>512</v>
      </c>
      <c r="AH1" s="30" t="s">
        <v>513</v>
      </c>
      <c r="AI1" s="30" t="s">
        <v>379</v>
      </c>
      <c r="AJ1" s="30" t="s">
        <v>380</v>
      </c>
      <c r="AK1" s="30" t="s">
        <v>381</v>
      </c>
      <c r="AL1" s="30" t="s">
        <v>382</v>
      </c>
      <c r="AM1" s="30" t="s">
        <v>383</v>
      </c>
      <c r="AN1" s="30" t="s">
        <v>384</v>
      </c>
      <c r="AO1" s="30" t="s">
        <v>385</v>
      </c>
      <c r="AP1" s="30" t="s">
        <v>386</v>
      </c>
      <c r="AQ1" s="30" t="s">
        <v>387</v>
      </c>
      <c r="AR1" s="30" t="s">
        <v>388</v>
      </c>
      <c r="AS1" s="30" t="s">
        <v>389</v>
      </c>
      <c r="AT1" s="30" t="s">
        <v>390</v>
      </c>
      <c r="AU1" s="30" t="s">
        <v>391</v>
      </c>
      <c r="AV1" s="30" t="s">
        <v>392</v>
      </c>
      <c r="AW1" s="30" t="s">
        <v>393</v>
      </c>
      <c r="AX1" s="30" t="s">
        <v>394</v>
      </c>
      <c r="AY1" s="30" t="s">
        <v>395</v>
      </c>
      <c r="AZ1" s="30" t="s">
        <v>396</v>
      </c>
      <c r="BA1" s="30" t="s">
        <v>407</v>
      </c>
      <c r="BB1" s="30" t="s">
        <v>415</v>
      </c>
    </row>
    <row r="2" spans="1:54" x14ac:dyDescent="0.3">
      <c r="A2" s="6" t="s">
        <v>179</v>
      </c>
      <c r="B2" s="6">
        <v>1234</v>
      </c>
      <c r="C2" s="6" t="s">
        <v>234</v>
      </c>
      <c r="D2" s="6" t="b">
        <v>1</v>
      </c>
      <c r="E2" s="6" t="b">
        <v>1</v>
      </c>
      <c r="F2" s="6" t="b">
        <v>1</v>
      </c>
      <c r="G2" s="6" t="b">
        <v>1</v>
      </c>
      <c r="H2" s="6" t="b">
        <v>1</v>
      </c>
      <c r="I2" s="6" t="b">
        <v>1</v>
      </c>
      <c r="J2" s="6" t="b">
        <v>1</v>
      </c>
      <c r="K2" s="6" t="b">
        <v>1</v>
      </c>
      <c r="L2" s="6" t="b">
        <v>1</v>
      </c>
      <c r="M2" s="6" t="b">
        <v>1</v>
      </c>
      <c r="N2" s="6" t="b">
        <v>1</v>
      </c>
      <c r="O2" s="6" t="b">
        <v>1</v>
      </c>
      <c r="P2" s="6" t="b">
        <v>1</v>
      </c>
      <c r="Q2" s="6" t="b">
        <v>1</v>
      </c>
      <c r="R2" s="6" t="b">
        <v>1</v>
      </c>
      <c r="S2" s="6" t="b">
        <v>1</v>
      </c>
      <c r="T2" s="6" t="b">
        <v>1</v>
      </c>
      <c r="U2" s="6" t="b">
        <v>1</v>
      </c>
      <c r="V2" s="6" t="b">
        <v>1</v>
      </c>
      <c r="W2" s="6" t="b">
        <v>1</v>
      </c>
      <c r="X2" s="6" t="b">
        <v>1</v>
      </c>
      <c r="Y2" s="6" t="b">
        <v>1</v>
      </c>
      <c r="Z2" s="6" t="b">
        <v>1</v>
      </c>
      <c r="AA2" s="6" t="b">
        <v>1</v>
      </c>
      <c r="AB2" s="6" t="b">
        <v>1</v>
      </c>
      <c r="AC2" s="214" t="b">
        <v>1</v>
      </c>
      <c r="AD2" s="225" t="b">
        <v>1</v>
      </c>
      <c r="AE2" s="226" t="b">
        <v>1</v>
      </c>
      <c r="AF2" s="226" t="b">
        <v>1</v>
      </c>
      <c r="AG2" s="228" t="b">
        <v>1</v>
      </c>
      <c r="AH2" s="229" t="b">
        <v>1</v>
      </c>
      <c r="AI2" s="6" t="b">
        <v>1</v>
      </c>
      <c r="AJ2" s="6" t="b">
        <v>1</v>
      </c>
      <c r="AK2" s="6" t="b">
        <v>1</v>
      </c>
      <c r="AL2" s="6" t="b">
        <v>1</v>
      </c>
      <c r="AM2" s="6" t="b">
        <v>1</v>
      </c>
      <c r="AN2" s="6" t="b">
        <v>1</v>
      </c>
      <c r="AO2" s="6" t="b">
        <v>1</v>
      </c>
      <c r="AP2" s="6" t="b">
        <v>1</v>
      </c>
      <c r="AQ2" s="6" t="b">
        <v>1</v>
      </c>
      <c r="AR2" s="6" t="b">
        <v>1</v>
      </c>
      <c r="AS2" s="6" t="b">
        <v>1</v>
      </c>
      <c r="AT2" s="6" t="b">
        <v>1</v>
      </c>
      <c r="AU2" s="6" t="b">
        <v>1</v>
      </c>
      <c r="AV2" s="6" t="b">
        <v>1</v>
      </c>
      <c r="AW2" s="6" t="b">
        <v>1</v>
      </c>
      <c r="AX2" s="6" t="b">
        <v>1</v>
      </c>
      <c r="AY2" s="6" t="b">
        <v>1</v>
      </c>
      <c r="AZ2" s="6" t="b">
        <v>1</v>
      </c>
      <c r="BA2" s="6" t="b">
        <v>1</v>
      </c>
      <c r="BB2" s="6" t="b">
        <v>1</v>
      </c>
    </row>
    <row r="9" spans="1:54" x14ac:dyDescent="0.3">
      <c r="A9" s="305"/>
    </row>
  </sheetData>
  <phoneticPr fontId="3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1"/>
  </sheetPr>
  <dimension ref="A1:P731"/>
  <sheetViews>
    <sheetView showGridLines="0" zoomScale="85" zoomScaleNormal="85" workbookViewId="0">
      <selection activeCell="A9" sqref="A9"/>
    </sheetView>
  </sheetViews>
  <sheetFormatPr baseColWidth="10" defaultRowHeight="14.4" x14ac:dyDescent="0.3"/>
  <cols>
    <col min="1" max="1" width="34.77734375" style="6" customWidth="1"/>
    <col min="2" max="2" width="33.21875" style="6" customWidth="1"/>
    <col min="3" max="3" width="35.44140625" style="6" customWidth="1"/>
    <col min="4" max="4" width="7.5546875" customWidth="1"/>
    <col min="5" max="5" width="6.5546875" customWidth="1"/>
    <col min="6" max="6" width="6.21875" customWidth="1"/>
    <col min="10" max="10" width="6.77734375" customWidth="1"/>
    <col min="14" max="16" width="20.44140625" style="2" customWidth="1"/>
  </cols>
  <sheetData>
    <row r="1" spans="1:16" ht="17.399999999999999" x14ac:dyDescent="0.45">
      <c r="A1" s="54" t="s">
        <v>400</v>
      </c>
      <c r="B1" s="55" t="s">
        <v>179</v>
      </c>
      <c r="C1" s="55" t="s">
        <v>236</v>
      </c>
      <c r="G1" t="s">
        <v>179</v>
      </c>
      <c r="H1" t="s">
        <v>234</v>
      </c>
      <c r="K1" s="68" t="s">
        <v>352</v>
      </c>
      <c r="L1" s="67">
        <v>123456</v>
      </c>
      <c r="N1" s="54" t="s">
        <v>399</v>
      </c>
      <c r="O1" s="55" t="s">
        <v>179</v>
      </c>
      <c r="P1" s="55" t="s">
        <v>236</v>
      </c>
    </row>
    <row r="2" spans="1:16" x14ac:dyDescent="0.3">
      <c r="A2" s="31">
        <v>43483.346117013891</v>
      </c>
      <c r="B2" s="6" t="s">
        <v>219</v>
      </c>
      <c r="C2" s="6" t="s">
        <v>234</v>
      </c>
      <c r="K2" t="s">
        <v>523</v>
      </c>
      <c r="N2" s="31">
        <v>43539.484751736112</v>
      </c>
      <c r="O2" s="6" t="s">
        <v>397</v>
      </c>
      <c r="P2" s="6" t="s">
        <v>234</v>
      </c>
    </row>
    <row r="3" spans="1:16" x14ac:dyDescent="0.3">
      <c r="A3" s="31">
        <v>45235.483315393518</v>
      </c>
      <c r="B3" s="6" t="s">
        <v>522</v>
      </c>
      <c r="C3" s="6" t="s">
        <v>234</v>
      </c>
      <c r="N3" s="75">
        <v>45235.482607986109</v>
      </c>
      <c r="O3" s="2" t="s">
        <v>522</v>
      </c>
      <c r="P3" s="2" t="s">
        <v>234</v>
      </c>
    </row>
    <row r="4" spans="1:16" x14ac:dyDescent="0.3">
      <c r="A4" s="31">
        <v>45235.530793518519</v>
      </c>
      <c r="B4" s="6" t="s">
        <v>522</v>
      </c>
      <c r="C4" s="6" t="s">
        <v>234</v>
      </c>
      <c r="N4" s="75">
        <v>45235.492973263892</v>
      </c>
      <c r="O4" s="2" t="s">
        <v>522</v>
      </c>
      <c r="P4" s="2" t="s">
        <v>234</v>
      </c>
    </row>
    <row r="5" spans="1:16" x14ac:dyDescent="0.3">
      <c r="A5" s="31">
        <v>45235.534024768516</v>
      </c>
      <c r="B5" s="6" t="s">
        <v>522</v>
      </c>
      <c r="C5" s="6" t="s">
        <v>234</v>
      </c>
      <c r="N5" s="75">
        <v>45235.535024189812</v>
      </c>
      <c r="O5" s="2" t="s">
        <v>522</v>
      </c>
      <c r="P5" s="2" t="s">
        <v>234</v>
      </c>
    </row>
    <row r="6" spans="1:16" x14ac:dyDescent="0.3">
      <c r="A6" s="31">
        <v>45235.546889467594</v>
      </c>
      <c r="B6" s="6" t="s">
        <v>522</v>
      </c>
      <c r="C6" s="6" t="s">
        <v>234</v>
      </c>
      <c r="N6" s="75"/>
    </row>
    <row r="7" spans="1:16" x14ac:dyDescent="0.3">
      <c r="A7" s="31">
        <v>45235.548786458334</v>
      </c>
      <c r="B7" s="6" t="s">
        <v>522</v>
      </c>
      <c r="C7" s="6" t="s">
        <v>234</v>
      </c>
      <c r="N7" s="75"/>
    </row>
    <row r="8" spans="1:16" x14ac:dyDescent="0.3">
      <c r="A8" s="31">
        <v>45235.54965439815</v>
      </c>
      <c r="B8" s="6" t="s">
        <v>522</v>
      </c>
      <c r="C8" s="6" t="s">
        <v>234</v>
      </c>
      <c r="N8" s="75"/>
    </row>
    <row r="9" spans="1:16" x14ac:dyDescent="0.3">
      <c r="A9" s="31">
        <v>45237.776094212961</v>
      </c>
      <c r="B9" s="6" t="s">
        <v>179</v>
      </c>
      <c r="C9" s="6" t="s">
        <v>234</v>
      </c>
      <c r="N9" s="75"/>
    </row>
    <row r="10" spans="1:16" x14ac:dyDescent="0.3">
      <c r="A10" s="31"/>
      <c r="N10" s="75"/>
    </row>
    <row r="11" spans="1:16" x14ac:dyDescent="0.3">
      <c r="A11" s="31"/>
      <c r="N11" s="75"/>
    </row>
    <row r="12" spans="1:16" x14ac:dyDescent="0.3">
      <c r="A12" s="31"/>
      <c r="N12" s="75"/>
    </row>
    <row r="13" spans="1:16" x14ac:dyDescent="0.3">
      <c r="A13" s="31"/>
      <c r="N13" s="75"/>
    </row>
    <row r="14" spans="1:16" x14ac:dyDescent="0.3">
      <c r="A14" s="31"/>
      <c r="N14" s="75"/>
    </row>
    <row r="15" spans="1:16" x14ac:dyDescent="0.3">
      <c r="A15" s="31"/>
      <c r="N15" s="75"/>
    </row>
    <row r="16" spans="1:16" x14ac:dyDescent="0.3">
      <c r="A16" s="31"/>
      <c r="N16" s="75"/>
    </row>
    <row r="17" spans="1:14" x14ac:dyDescent="0.3">
      <c r="A17" s="31"/>
      <c r="N17" s="75"/>
    </row>
    <row r="18" spans="1:14" x14ac:dyDescent="0.3">
      <c r="A18" s="31"/>
      <c r="N18" s="75"/>
    </row>
    <row r="19" spans="1:14" x14ac:dyDescent="0.3">
      <c r="A19" s="31"/>
      <c r="N19" s="75"/>
    </row>
    <row r="20" spans="1:14" x14ac:dyDescent="0.3">
      <c r="A20" s="31"/>
      <c r="N20" s="75"/>
    </row>
    <row r="21" spans="1:14" x14ac:dyDescent="0.3">
      <c r="A21" s="31"/>
      <c r="N21" s="75"/>
    </row>
    <row r="22" spans="1:14" x14ac:dyDescent="0.3">
      <c r="A22" s="31"/>
      <c r="N22" s="75"/>
    </row>
    <row r="23" spans="1:14" x14ac:dyDescent="0.3">
      <c r="A23" s="31"/>
      <c r="N23" s="75"/>
    </row>
    <row r="24" spans="1:14" x14ac:dyDescent="0.3">
      <c r="A24" s="31"/>
      <c r="N24" s="75"/>
    </row>
    <row r="25" spans="1:14" x14ac:dyDescent="0.3">
      <c r="A25" s="31"/>
      <c r="N25" s="75"/>
    </row>
    <row r="26" spans="1:14" x14ac:dyDescent="0.3">
      <c r="A26" s="31"/>
      <c r="N26" s="75"/>
    </row>
    <row r="27" spans="1:14" x14ac:dyDescent="0.3">
      <c r="A27" s="31"/>
      <c r="N27" s="75"/>
    </row>
    <row r="28" spans="1:14" x14ac:dyDescent="0.3">
      <c r="A28" s="31"/>
      <c r="N28" s="75"/>
    </row>
    <row r="29" spans="1:14" x14ac:dyDescent="0.3">
      <c r="A29" s="31"/>
      <c r="N29" s="75"/>
    </row>
    <row r="30" spans="1:14" x14ac:dyDescent="0.3">
      <c r="A30" s="31"/>
      <c r="N30" s="75"/>
    </row>
    <row r="31" spans="1:14" x14ac:dyDescent="0.3">
      <c r="A31" s="31"/>
      <c r="N31" s="75"/>
    </row>
    <row r="32" spans="1:14" x14ac:dyDescent="0.3">
      <c r="A32" s="31"/>
      <c r="N32" s="75"/>
    </row>
    <row r="33" spans="1:14" x14ac:dyDescent="0.3">
      <c r="A33" s="31"/>
      <c r="N33" s="75"/>
    </row>
    <row r="34" spans="1:14" x14ac:dyDescent="0.3">
      <c r="A34" s="31"/>
      <c r="N34" s="75"/>
    </row>
    <row r="35" spans="1:14" x14ac:dyDescent="0.3">
      <c r="A35" s="31"/>
      <c r="N35" s="75"/>
    </row>
    <row r="36" spans="1:14" x14ac:dyDescent="0.3">
      <c r="A36" s="31"/>
      <c r="N36" s="75"/>
    </row>
    <row r="37" spans="1:14" x14ac:dyDescent="0.3">
      <c r="A37" s="31"/>
      <c r="N37" s="75"/>
    </row>
    <row r="38" spans="1:14" x14ac:dyDescent="0.3">
      <c r="A38" s="31"/>
      <c r="N38" s="75"/>
    </row>
    <row r="39" spans="1:14" x14ac:dyDescent="0.3">
      <c r="A39" s="31"/>
      <c r="N39" s="75"/>
    </row>
    <row r="40" spans="1:14" x14ac:dyDescent="0.3">
      <c r="A40" s="31"/>
      <c r="N40" s="75"/>
    </row>
    <row r="41" spans="1:14" x14ac:dyDescent="0.3">
      <c r="A41" s="31"/>
      <c r="N41" s="75"/>
    </row>
    <row r="42" spans="1:14" x14ac:dyDescent="0.3">
      <c r="A42" s="31"/>
      <c r="N42" s="75"/>
    </row>
    <row r="43" spans="1:14" x14ac:dyDescent="0.3">
      <c r="A43" s="31"/>
      <c r="N43" s="75"/>
    </row>
    <row r="44" spans="1:14" x14ac:dyDescent="0.3">
      <c r="A44" s="31"/>
      <c r="N44" s="75"/>
    </row>
    <row r="45" spans="1:14" x14ac:dyDescent="0.3">
      <c r="A45" s="31"/>
      <c r="N45" s="75"/>
    </row>
    <row r="46" spans="1:14" x14ac:dyDescent="0.3">
      <c r="A46" s="31"/>
      <c r="N46" s="75"/>
    </row>
    <row r="47" spans="1:14" x14ac:dyDescent="0.3">
      <c r="A47" s="31"/>
      <c r="N47" s="75"/>
    </row>
    <row r="48" spans="1:14" x14ac:dyDescent="0.3">
      <c r="A48" s="31"/>
      <c r="N48" s="75"/>
    </row>
    <row r="49" spans="1:14" x14ac:dyDescent="0.3">
      <c r="A49" s="31"/>
      <c r="N49" s="75"/>
    </row>
    <row r="50" spans="1:14" x14ac:dyDescent="0.3">
      <c r="A50" s="31"/>
      <c r="N50" s="75"/>
    </row>
    <row r="51" spans="1:14" x14ac:dyDescent="0.3">
      <c r="A51" s="31"/>
      <c r="N51" s="75"/>
    </row>
    <row r="52" spans="1:14" x14ac:dyDescent="0.3">
      <c r="A52" s="31"/>
      <c r="N52" s="75"/>
    </row>
    <row r="53" spans="1:14" x14ac:dyDescent="0.3">
      <c r="A53" s="31"/>
      <c r="N53" s="75"/>
    </row>
    <row r="54" spans="1:14" x14ac:dyDescent="0.3">
      <c r="A54" s="31"/>
      <c r="N54" s="75"/>
    </row>
    <row r="55" spans="1:14" x14ac:dyDescent="0.3">
      <c r="A55" s="31"/>
      <c r="N55" s="75"/>
    </row>
    <row r="56" spans="1:14" x14ac:dyDescent="0.3">
      <c r="A56" s="31"/>
      <c r="N56" s="75"/>
    </row>
    <row r="57" spans="1:14" x14ac:dyDescent="0.3">
      <c r="A57" s="31"/>
      <c r="N57" s="75"/>
    </row>
    <row r="58" spans="1:14" x14ac:dyDescent="0.3">
      <c r="A58" s="31"/>
      <c r="N58" s="75"/>
    </row>
    <row r="59" spans="1:14" x14ac:dyDescent="0.3">
      <c r="A59" s="31"/>
      <c r="N59" s="75"/>
    </row>
    <row r="60" spans="1:14" x14ac:dyDescent="0.3">
      <c r="A60" s="31"/>
      <c r="N60" s="75"/>
    </row>
    <row r="61" spans="1:14" x14ac:dyDescent="0.3">
      <c r="A61" s="31"/>
      <c r="N61" s="75"/>
    </row>
    <row r="62" spans="1:14" x14ac:dyDescent="0.3">
      <c r="A62" s="31"/>
      <c r="N62" s="75"/>
    </row>
    <row r="63" spans="1:14" x14ac:dyDescent="0.3">
      <c r="A63" s="31"/>
      <c r="N63" s="75"/>
    </row>
    <row r="64" spans="1:14" x14ac:dyDescent="0.3">
      <c r="A64" s="31"/>
      <c r="N64" s="75"/>
    </row>
    <row r="65" spans="1:14" x14ac:dyDescent="0.3">
      <c r="A65" s="31"/>
      <c r="N65" s="75"/>
    </row>
    <row r="66" spans="1:14" x14ac:dyDescent="0.3">
      <c r="A66" s="31"/>
      <c r="N66" s="75"/>
    </row>
    <row r="67" spans="1:14" x14ac:dyDescent="0.3">
      <c r="A67" s="31"/>
      <c r="N67" s="75"/>
    </row>
    <row r="68" spans="1:14" x14ac:dyDescent="0.3">
      <c r="A68" s="31"/>
      <c r="N68" s="75"/>
    </row>
    <row r="69" spans="1:14" x14ac:dyDescent="0.3">
      <c r="A69" s="31"/>
      <c r="N69" s="75"/>
    </row>
    <row r="70" spans="1:14" x14ac:dyDescent="0.3">
      <c r="A70" s="31"/>
      <c r="N70" s="75"/>
    </row>
    <row r="71" spans="1:14" x14ac:dyDescent="0.3">
      <c r="A71" s="31"/>
      <c r="N71" s="75"/>
    </row>
    <row r="72" spans="1:14" x14ac:dyDescent="0.3">
      <c r="A72" s="31"/>
      <c r="N72" s="75"/>
    </row>
    <row r="73" spans="1:14" x14ac:dyDescent="0.3">
      <c r="A73" s="31"/>
      <c r="N73" s="75"/>
    </row>
    <row r="74" spans="1:14" x14ac:dyDescent="0.3">
      <c r="A74" s="31"/>
      <c r="N74" s="75"/>
    </row>
    <row r="75" spans="1:14" x14ac:dyDescent="0.3">
      <c r="A75" s="31"/>
      <c r="N75" s="75"/>
    </row>
    <row r="76" spans="1:14" x14ac:dyDescent="0.3">
      <c r="A76" s="31"/>
      <c r="N76" s="75"/>
    </row>
    <row r="77" spans="1:14" x14ac:dyDescent="0.3">
      <c r="A77" s="31"/>
      <c r="N77" s="75"/>
    </row>
    <row r="78" spans="1:14" x14ac:dyDescent="0.3">
      <c r="A78" s="31"/>
      <c r="N78" s="75"/>
    </row>
    <row r="79" spans="1:14" x14ac:dyDescent="0.3">
      <c r="A79" s="31"/>
      <c r="N79" s="75"/>
    </row>
    <row r="80" spans="1:14" x14ac:dyDescent="0.3">
      <c r="A80" s="31"/>
      <c r="N80" s="75"/>
    </row>
    <row r="81" spans="1:14" x14ac:dyDescent="0.3">
      <c r="A81" s="31"/>
      <c r="N81" s="75"/>
    </row>
    <row r="82" spans="1:14" x14ac:dyDescent="0.3">
      <c r="A82" s="31"/>
      <c r="N82" s="75"/>
    </row>
    <row r="83" spans="1:14" x14ac:dyDescent="0.3">
      <c r="A83" s="31"/>
      <c r="N83" s="75"/>
    </row>
    <row r="84" spans="1:14" x14ac:dyDescent="0.3">
      <c r="A84" s="31"/>
      <c r="N84" s="75"/>
    </row>
    <row r="85" spans="1:14" x14ac:dyDescent="0.3">
      <c r="A85" s="31"/>
      <c r="N85" s="75"/>
    </row>
    <row r="86" spans="1:14" x14ac:dyDescent="0.3">
      <c r="A86" s="31"/>
      <c r="N86" s="75"/>
    </row>
    <row r="87" spans="1:14" x14ac:dyDescent="0.3">
      <c r="A87" s="31"/>
      <c r="N87" s="75"/>
    </row>
    <row r="88" spans="1:14" x14ac:dyDescent="0.3">
      <c r="A88" s="31"/>
      <c r="N88" s="75"/>
    </row>
    <row r="89" spans="1:14" x14ac:dyDescent="0.3">
      <c r="A89" s="31"/>
      <c r="N89" s="75"/>
    </row>
    <row r="90" spans="1:14" x14ac:dyDescent="0.3">
      <c r="A90" s="31"/>
      <c r="N90" s="75"/>
    </row>
    <row r="91" spans="1:14" x14ac:dyDescent="0.3">
      <c r="A91" s="31"/>
      <c r="N91" s="75"/>
    </row>
    <row r="92" spans="1:14" x14ac:dyDescent="0.3">
      <c r="A92" s="31"/>
      <c r="N92" s="75"/>
    </row>
    <row r="93" spans="1:14" x14ac:dyDescent="0.3">
      <c r="A93" s="31"/>
      <c r="N93" s="75"/>
    </row>
    <row r="94" spans="1:14" x14ac:dyDescent="0.3">
      <c r="A94" s="31"/>
      <c r="N94" s="75"/>
    </row>
    <row r="95" spans="1:14" x14ac:dyDescent="0.3">
      <c r="A95" s="31"/>
      <c r="N95" s="75"/>
    </row>
    <row r="96" spans="1:14" x14ac:dyDescent="0.3">
      <c r="A96" s="31"/>
      <c r="N96" s="75"/>
    </row>
    <row r="97" spans="1:14" x14ac:dyDescent="0.3">
      <c r="A97" s="31"/>
      <c r="N97" s="75"/>
    </row>
    <row r="98" spans="1:14" x14ac:dyDescent="0.3">
      <c r="A98" s="31"/>
      <c r="N98" s="75"/>
    </row>
    <row r="99" spans="1:14" x14ac:dyDescent="0.3">
      <c r="A99" s="31"/>
      <c r="N99" s="75"/>
    </row>
    <row r="100" spans="1:14" x14ac:dyDescent="0.3">
      <c r="A100" s="31"/>
      <c r="N100" s="75"/>
    </row>
    <row r="101" spans="1:14" x14ac:dyDescent="0.3">
      <c r="A101" s="31"/>
      <c r="N101" s="75"/>
    </row>
    <row r="102" spans="1:14" x14ac:dyDescent="0.3">
      <c r="A102" s="31"/>
      <c r="N102" s="75"/>
    </row>
    <row r="103" spans="1:14" x14ac:dyDescent="0.3">
      <c r="A103" s="31"/>
      <c r="N103" s="75"/>
    </row>
    <row r="104" spans="1:14" x14ac:dyDescent="0.3">
      <c r="A104" s="31"/>
      <c r="N104" s="75"/>
    </row>
    <row r="105" spans="1:14" x14ac:dyDescent="0.3">
      <c r="A105" s="31"/>
    </row>
    <row r="106" spans="1:14" x14ac:dyDescent="0.3">
      <c r="A106" s="31"/>
    </row>
    <row r="107" spans="1:14" x14ac:dyDescent="0.3">
      <c r="A107" s="31"/>
    </row>
    <row r="108" spans="1:14" x14ac:dyDescent="0.3">
      <c r="A108" s="31"/>
    </row>
    <row r="109" spans="1:14" x14ac:dyDescent="0.3">
      <c r="A109" s="31"/>
    </row>
    <row r="110" spans="1:14" x14ac:dyDescent="0.3">
      <c r="A110" s="31"/>
    </row>
    <row r="111" spans="1:14" x14ac:dyDescent="0.3">
      <c r="A111" s="31"/>
    </row>
    <row r="112" spans="1:14" x14ac:dyDescent="0.3">
      <c r="A112" s="31"/>
    </row>
    <row r="113" spans="1:1" x14ac:dyDescent="0.3">
      <c r="A113" s="31"/>
    </row>
    <row r="114" spans="1:1" x14ac:dyDescent="0.3">
      <c r="A114" s="31"/>
    </row>
    <row r="115" spans="1:1" x14ac:dyDescent="0.3">
      <c r="A115" s="31"/>
    </row>
    <row r="116" spans="1:1" x14ac:dyDescent="0.3">
      <c r="A116" s="31"/>
    </row>
    <row r="117" spans="1:1" x14ac:dyDescent="0.3">
      <c r="A117" s="31"/>
    </row>
    <row r="118" spans="1:1" x14ac:dyDescent="0.3">
      <c r="A118" s="31"/>
    </row>
    <row r="119" spans="1:1" x14ac:dyDescent="0.3">
      <c r="A119" s="31"/>
    </row>
    <row r="120" spans="1:1" x14ac:dyDescent="0.3">
      <c r="A120" s="31"/>
    </row>
    <row r="121" spans="1:1" x14ac:dyDescent="0.3">
      <c r="A121" s="31"/>
    </row>
    <row r="122" spans="1:1" x14ac:dyDescent="0.3">
      <c r="A122" s="31"/>
    </row>
    <row r="123" spans="1:1" x14ac:dyDescent="0.3">
      <c r="A123" s="31"/>
    </row>
    <row r="124" spans="1:1" x14ac:dyDescent="0.3">
      <c r="A124" s="31"/>
    </row>
    <row r="125" spans="1:1" x14ac:dyDescent="0.3">
      <c r="A125" s="31"/>
    </row>
    <row r="126" spans="1:1" x14ac:dyDescent="0.3">
      <c r="A126" s="31"/>
    </row>
    <row r="127" spans="1:1" x14ac:dyDescent="0.3">
      <c r="A127" s="31"/>
    </row>
    <row r="128" spans="1:1" x14ac:dyDescent="0.3">
      <c r="A128" s="31"/>
    </row>
    <row r="129" spans="1:14" x14ac:dyDescent="0.3">
      <c r="A129" s="31"/>
    </row>
    <row r="130" spans="1:14" x14ac:dyDescent="0.3">
      <c r="A130" s="31"/>
    </row>
    <row r="131" spans="1:14" x14ac:dyDescent="0.3">
      <c r="A131" s="31"/>
    </row>
    <row r="132" spans="1:14" x14ac:dyDescent="0.3">
      <c r="A132" s="31"/>
    </row>
    <row r="133" spans="1:14" x14ac:dyDescent="0.3">
      <c r="A133" s="31"/>
    </row>
    <row r="134" spans="1:14" x14ac:dyDescent="0.3">
      <c r="A134" s="31"/>
    </row>
    <row r="135" spans="1:14" x14ac:dyDescent="0.3">
      <c r="A135" s="31"/>
    </row>
    <row r="136" spans="1:14" x14ac:dyDescent="0.3">
      <c r="A136" s="31"/>
    </row>
    <row r="137" spans="1:14" x14ac:dyDescent="0.3">
      <c r="A137" s="31"/>
    </row>
    <row r="138" spans="1:14" x14ac:dyDescent="0.3">
      <c r="A138" s="31"/>
    </row>
    <row r="139" spans="1:14" x14ac:dyDescent="0.3">
      <c r="A139" s="31"/>
    </row>
    <row r="140" spans="1:14" x14ac:dyDescent="0.3">
      <c r="A140" s="31"/>
    </row>
    <row r="141" spans="1:14" x14ac:dyDescent="0.3">
      <c r="A141" s="31"/>
    </row>
    <row r="142" spans="1:14" x14ac:dyDescent="0.3">
      <c r="A142" s="31"/>
    </row>
    <row r="143" spans="1:14" x14ac:dyDescent="0.3">
      <c r="A143" s="31"/>
    </row>
    <row r="144" spans="1:14" x14ac:dyDescent="0.3">
      <c r="A144" s="31"/>
      <c r="N144" s="75"/>
    </row>
    <row r="145" spans="1:1" x14ac:dyDescent="0.3">
      <c r="A145" s="31"/>
    </row>
    <row r="146" spans="1:1" x14ac:dyDescent="0.3">
      <c r="A146" s="31"/>
    </row>
    <row r="147" spans="1:1" x14ac:dyDescent="0.3">
      <c r="A147" s="31"/>
    </row>
    <row r="148" spans="1:1" x14ac:dyDescent="0.3">
      <c r="A148" s="31"/>
    </row>
    <row r="149" spans="1:1" x14ac:dyDescent="0.3">
      <c r="A149" s="31"/>
    </row>
    <row r="150" spans="1:1" x14ac:dyDescent="0.3">
      <c r="A150" s="31"/>
    </row>
    <row r="151" spans="1:1" x14ac:dyDescent="0.3">
      <c r="A151" s="31"/>
    </row>
    <row r="152" spans="1:1" x14ac:dyDescent="0.3">
      <c r="A152" s="31"/>
    </row>
    <row r="153" spans="1:1" x14ac:dyDescent="0.3">
      <c r="A153" s="31"/>
    </row>
    <row r="154" spans="1:1" x14ac:dyDescent="0.3">
      <c r="A154" s="31"/>
    </row>
    <row r="155" spans="1:1" x14ac:dyDescent="0.3">
      <c r="A155" s="31"/>
    </row>
    <row r="156" spans="1:1" x14ac:dyDescent="0.3">
      <c r="A156" s="31"/>
    </row>
    <row r="157" spans="1:1" x14ac:dyDescent="0.3">
      <c r="A157" s="31"/>
    </row>
    <row r="158" spans="1:1" x14ac:dyDescent="0.3">
      <c r="A158" s="31"/>
    </row>
    <row r="159" spans="1:1" x14ac:dyDescent="0.3">
      <c r="A159" s="31"/>
    </row>
    <row r="160" spans="1:1" x14ac:dyDescent="0.3">
      <c r="A160" s="31"/>
    </row>
    <row r="161" spans="1:1" x14ac:dyDescent="0.3">
      <c r="A161" s="31"/>
    </row>
    <row r="162" spans="1:1" x14ac:dyDescent="0.3">
      <c r="A162" s="31"/>
    </row>
    <row r="163" spans="1:1" x14ac:dyDescent="0.3">
      <c r="A163" s="31"/>
    </row>
    <row r="164" spans="1:1" x14ac:dyDescent="0.3">
      <c r="A164" s="31"/>
    </row>
    <row r="165" spans="1:1" x14ac:dyDescent="0.3">
      <c r="A165" s="31"/>
    </row>
    <row r="166" spans="1:1" x14ac:dyDescent="0.3">
      <c r="A166" s="31"/>
    </row>
    <row r="167" spans="1:1" x14ac:dyDescent="0.3">
      <c r="A167" s="31"/>
    </row>
    <row r="168" spans="1:1" x14ac:dyDescent="0.3">
      <c r="A168" s="31"/>
    </row>
    <row r="169" spans="1:1" x14ac:dyDescent="0.3">
      <c r="A169" s="31"/>
    </row>
    <row r="170" spans="1:1" x14ac:dyDescent="0.3">
      <c r="A170" s="31"/>
    </row>
    <row r="171" spans="1:1" x14ac:dyDescent="0.3">
      <c r="A171" s="31"/>
    </row>
    <row r="172" spans="1:1" x14ac:dyDescent="0.3">
      <c r="A172" s="31"/>
    </row>
    <row r="173" spans="1:1" x14ac:dyDescent="0.3">
      <c r="A173" s="31"/>
    </row>
    <row r="174" spans="1:1" x14ac:dyDescent="0.3">
      <c r="A174" s="31"/>
    </row>
    <row r="175" spans="1:1" x14ac:dyDescent="0.3">
      <c r="A175" s="31"/>
    </row>
    <row r="176" spans="1:1" x14ac:dyDescent="0.3">
      <c r="A176" s="31"/>
    </row>
    <row r="177" spans="1:1" x14ac:dyDescent="0.3">
      <c r="A177" s="31"/>
    </row>
    <row r="178" spans="1:1" x14ac:dyDescent="0.3">
      <c r="A178" s="31"/>
    </row>
    <row r="179" spans="1:1" x14ac:dyDescent="0.3">
      <c r="A179" s="31"/>
    </row>
    <row r="180" spans="1:1" x14ac:dyDescent="0.3">
      <c r="A180" s="31"/>
    </row>
    <row r="181" spans="1:1" x14ac:dyDescent="0.3">
      <c r="A181" s="31"/>
    </row>
    <row r="182" spans="1:1" x14ac:dyDescent="0.3">
      <c r="A182" s="31"/>
    </row>
    <row r="183" spans="1:1" x14ac:dyDescent="0.3">
      <c r="A183" s="31"/>
    </row>
    <row r="184" spans="1:1" x14ac:dyDescent="0.3">
      <c r="A184" s="31"/>
    </row>
    <row r="185" spans="1:1" x14ac:dyDescent="0.3">
      <c r="A185" s="31"/>
    </row>
    <row r="186" spans="1:1" x14ac:dyDescent="0.3">
      <c r="A186" s="31"/>
    </row>
    <row r="187" spans="1:1" x14ac:dyDescent="0.3">
      <c r="A187" s="31"/>
    </row>
    <row r="188" spans="1:1" x14ac:dyDescent="0.3">
      <c r="A188" s="31"/>
    </row>
    <row r="189" spans="1:1" x14ac:dyDescent="0.3">
      <c r="A189" s="31"/>
    </row>
    <row r="190" spans="1:1" x14ac:dyDescent="0.3">
      <c r="A190" s="31"/>
    </row>
    <row r="191" spans="1:1" x14ac:dyDescent="0.3">
      <c r="A191" s="31"/>
    </row>
    <row r="192" spans="1:1" x14ac:dyDescent="0.3">
      <c r="A192" s="31"/>
    </row>
    <row r="193" spans="1:1" x14ac:dyDescent="0.3">
      <c r="A193" s="31"/>
    </row>
    <row r="194" spans="1:1" x14ac:dyDescent="0.3">
      <c r="A194" s="31"/>
    </row>
    <row r="195" spans="1:1" x14ac:dyDescent="0.3">
      <c r="A195" s="31"/>
    </row>
    <row r="196" spans="1:1" x14ac:dyDescent="0.3">
      <c r="A196" s="31"/>
    </row>
    <row r="197" spans="1:1" x14ac:dyDescent="0.3">
      <c r="A197" s="31"/>
    </row>
    <row r="198" spans="1:1" x14ac:dyDescent="0.3">
      <c r="A198" s="31"/>
    </row>
    <row r="199" spans="1:1" x14ac:dyDescent="0.3">
      <c r="A199" s="31"/>
    </row>
    <row r="200" spans="1:1" x14ac:dyDescent="0.3">
      <c r="A200" s="31"/>
    </row>
    <row r="201" spans="1:1" x14ac:dyDescent="0.3">
      <c r="A201" s="31"/>
    </row>
    <row r="202" spans="1:1" x14ac:dyDescent="0.3">
      <c r="A202" s="31"/>
    </row>
    <row r="203" spans="1:1" x14ac:dyDescent="0.3">
      <c r="A203" s="31"/>
    </row>
    <row r="204" spans="1:1" x14ac:dyDescent="0.3">
      <c r="A204" s="31"/>
    </row>
    <row r="205" spans="1:1" x14ac:dyDescent="0.3">
      <c r="A205" s="31"/>
    </row>
    <row r="206" spans="1:1" x14ac:dyDescent="0.3">
      <c r="A206" s="31"/>
    </row>
    <row r="207" spans="1:1" x14ac:dyDescent="0.3">
      <c r="A207" s="31"/>
    </row>
    <row r="208" spans="1:1" x14ac:dyDescent="0.3">
      <c r="A208" s="31"/>
    </row>
    <row r="209" spans="1:1" x14ac:dyDescent="0.3">
      <c r="A209" s="31"/>
    </row>
    <row r="210" spans="1:1" x14ac:dyDescent="0.3">
      <c r="A210" s="31"/>
    </row>
    <row r="211" spans="1:1" x14ac:dyDescent="0.3">
      <c r="A211" s="31"/>
    </row>
    <row r="212" spans="1:1" x14ac:dyDescent="0.3">
      <c r="A212" s="31"/>
    </row>
    <row r="213" spans="1:1" x14ac:dyDescent="0.3">
      <c r="A213" s="31"/>
    </row>
    <row r="214" spans="1:1" x14ac:dyDescent="0.3">
      <c r="A214" s="31"/>
    </row>
    <row r="215" spans="1:1" x14ac:dyDescent="0.3">
      <c r="A215" s="31"/>
    </row>
    <row r="216" spans="1:1" x14ac:dyDescent="0.3">
      <c r="A216" s="31"/>
    </row>
    <row r="217" spans="1:1" x14ac:dyDescent="0.3">
      <c r="A217" s="31"/>
    </row>
    <row r="218" spans="1:1" x14ac:dyDescent="0.3">
      <c r="A218" s="31"/>
    </row>
    <row r="219" spans="1:1" x14ac:dyDescent="0.3">
      <c r="A219" s="31"/>
    </row>
    <row r="220" spans="1:1" x14ac:dyDescent="0.3">
      <c r="A220" s="31"/>
    </row>
    <row r="221" spans="1:1" x14ac:dyDescent="0.3">
      <c r="A221" s="31"/>
    </row>
    <row r="222" spans="1:1" x14ac:dyDescent="0.3">
      <c r="A222" s="31"/>
    </row>
    <row r="223" spans="1:1" x14ac:dyDescent="0.3">
      <c r="A223" s="31"/>
    </row>
    <row r="224" spans="1:1" x14ac:dyDescent="0.3">
      <c r="A224" s="31"/>
    </row>
    <row r="225" spans="1:1" x14ac:dyDescent="0.3">
      <c r="A225" s="31"/>
    </row>
    <row r="226" spans="1:1" x14ac:dyDescent="0.3">
      <c r="A226" s="31"/>
    </row>
    <row r="227" spans="1:1" x14ac:dyDescent="0.3">
      <c r="A227" s="31"/>
    </row>
    <row r="228" spans="1:1" x14ac:dyDescent="0.3">
      <c r="A228" s="31"/>
    </row>
    <row r="229" spans="1:1" x14ac:dyDescent="0.3">
      <c r="A229" s="31"/>
    </row>
    <row r="230" spans="1:1" x14ac:dyDescent="0.3">
      <c r="A230" s="31"/>
    </row>
    <row r="231" spans="1:1" x14ac:dyDescent="0.3">
      <c r="A231" s="31"/>
    </row>
    <row r="232" spans="1:1" x14ac:dyDescent="0.3">
      <c r="A232" s="31"/>
    </row>
    <row r="233" spans="1:1" x14ac:dyDescent="0.3">
      <c r="A233" s="31"/>
    </row>
    <row r="234" spans="1:1" x14ac:dyDescent="0.3">
      <c r="A234" s="31"/>
    </row>
    <row r="235" spans="1:1" x14ac:dyDescent="0.3">
      <c r="A235" s="31"/>
    </row>
    <row r="236" spans="1:1" x14ac:dyDescent="0.3">
      <c r="A236" s="31"/>
    </row>
    <row r="237" spans="1:1" x14ac:dyDescent="0.3">
      <c r="A237" s="31"/>
    </row>
    <row r="238" spans="1:1" x14ac:dyDescent="0.3">
      <c r="A238" s="31"/>
    </row>
    <row r="239" spans="1:1" x14ac:dyDescent="0.3">
      <c r="A239" s="31"/>
    </row>
    <row r="240" spans="1:1" x14ac:dyDescent="0.3">
      <c r="A240" s="31"/>
    </row>
    <row r="241" spans="1:1" x14ac:dyDescent="0.3">
      <c r="A241" s="31"/>
    </row>
    <row r="242" spans="1:1" x14ac:dyDescent="0.3">
      <c r="A242" s="31"/>
    </row>
    <row r="243" spans="1:1" x14ac:dyDescent="0.3">
      <c r="A243" s="31"/>
    </row>
    <row r="244" spans="1:1" x14ac:dyDescent="0.3">
      <c r="A244" s="31"/>
    </row>
    <row r="245" spans="1:1" x14ac:dyDescent="0.3">
      <c r="A245" s="31"/>
    </row>
    <row r="246" spans="1:1" x14ac:dyDescent="0.3">
      <c r="A246" s="31"/>
    </row>
    <row r="247" spans="1:1" x14ac:dyDescent="0.3">
      <c r="A247" s="31"/>
    </row>
    <row r="248" spans="1:1" x14ac:dyDescent="0.3">
      <c r="A248" s="31"/>
    </row>
    <row r="249" spans="1:1" x14ac:dyDescent="0.3">
      <c r="A249" s="31"/>
    </row>
    <row r="250" spans="1:1" x14ac:dyDescent="0.3">
      <c r="A250" s="31"/>
    </row>
    <row r="251" spans="1:1" x14ac:dyDescent="0.3">
      <c r="A251" s="31"/>
    </row>
    <row r="252" spans="1:1" x14ac:dyDescent="0.3">
      <c r="A252" s="31"/>
    </row>
    <row r="253" spans="1:1" x14ac:dyDescent="0.3">
      <c r="A253" s="31"/>
    </row>
    <row r="254" spans="1:1" x14ac:dyDescent="0.3">
      <c r="A254" s="31"/>
    </row>
    <row r="255" spans="1:1" x14ac:dyDescent="0.3">
      <c r="A255" s="31"/>
    </row>
    <row r="256" spans="1:1" x14ac:dyDescent="0.3">
      <c r="A256" s="31"/>
    </row>
    <row r="257" spans="1:1" x14ac:dyDescent="0.3">
      <c r="A257" s="31"/>
    </row>
    <row r="258" spans="1:1" x14ac:dyDescent="0.3">
      <c r="A258" s="31"/>
    </row>
    <row r="259" spans="1:1" x14ac:dyDescent="0.3">
      <c r="A259" s="31"/>
    </row>
    <row r="260" spans="1:1" x14ac:dyDescent="0.3">
      <c r="A260" s="31"/>
    </row>
    <row r="261" spans="1:1" x14ac:dyDescent="0.3">
      <c r="A261" s="31"/>
    </row>
    <row r="262" spans="1:1" x14ac:dyDescent="0.3">
      <c r="A262" s="31"/>
    </row>
    <row r="263" spans="1:1" x14ac:dyDescent="0.3">
      <c r="A263" s="31"/>
    </row>
    <row r="264" spans="1:1" x14ac:dyDescent="0.3">
      <c r="A264" s="31"/>
    </row>
    <row r="265" spans="1:1" x14ac:dyDescent="0.3">
      <c r="A265" s="31"/>
    </row>
    <row r="266" spans="1:1" x14ac:dyDescent="0.3">
      <c r="A266" s="31"/>
    </row>
    <row r="267" spans="1:1" x14ac:dyDescent="0.3">
      <c r="A267" s="31"/>
    </row>
    <row r="268" spans="1:1" x14ac:dyDescent="0.3">
      <c r="A268" s="31"/>
    </row>
    <row r="269" spans="1:1" x14ac:dyDescent="0.3">
      <c r="A269" s="31"/>
    </row>
    <row r="270" spans="1:1" x14ac:dyDescent="0.3">
      <c r="A270" s="31"/>
    </row>
    <row r="271" spans="1:1" x14ac:dyDescent="0.3">
      <c r="A271" s="31"/>
    </row>
    <row r="272" spans="1:1" x14ac:dyDescent="0.3">
      <c r="A272" s="31"/>
    </row>
    <row r="273" spans="1:1" x14ac:dyDescent="0.3">
      <c r="A273" s="31"/>
    </row>
    <row r="274" spans="1:1" x14ac:dyDescent="0.3">
      <c r="A274" s="31"/>
    </row>
    <row r="275" spans="1:1" x14ac:dyDescent="0.3">
      <c r="A275" s="31"/>
    </row>
    <row r="276" spans="1:1" x14ac:dyDescent="0.3">
      <c r="A276" s="31"/>
    </row>
    <row r="277" spans="1:1" x14ac:dyDescent="0.3">
      <c r="A277" s="31"/>
    </row>
    <row r="278" spans="1:1" x14ac:dyDescent="0.3">
      <c r="A278" s="31"/>
    </row>
    <row r="279" spans="1:1" x14ac:dyDescent="0.3">
      <c r="A279" s="31"/>
    </row>
    <row r="280" spans="1:1" x14ac:dyDescent="0.3">
      <c r="A280" s="31"/>
    </row>
    <row r="281" spans="1:1" x14ac:dyDescent="0.3">
      <c r="A281" s="31"/>
    </row>
    <row r="282" spans="1:1" x14ac:dyDescent="0.3">
      <c r="A282" s="31"/>
    </row>
    <row r="283" spans="1:1" x14ac:dyDescent="0.3">
      <c r="A283" s="31"/>
    </row>
    <row r="284" spans="1:1" x14ac:dyDescent="0.3">
      <c r="A284" s="31"/>
    </row>
    <row r="285" spans="1:1" x14ac:dyDescent="0.3">
      <c r="A285" s="31"/>
    </row>
    <row r="286" spans="1:1" x14ac:dyDescent="0.3">
      <c r="A286" s="31"/>
    </row>
    <row r="287" spans="1:1" x14ac:dyDescent="0.3">
      <c r="A287" s="31"/>
    </row>
    <row r="288" spans="1:1" x14ac:dyDescent="0.3">
      <c r="A288" s="31"/>
    </row>
    <row r="289" spans="1:1" x14ac:dyDescent="0.3">
      <c r="A289" s="31"/>
    </row>
    <row r="290" spans="1:1" x14ac:dyDescent="0.3">
      <c r="A290" s="31"/>
    </row>
    <row r="291" spans="1:1" x14ac:dyDescent="0.3">
      <c r="A291" s="31"/>
    </row>
    <row r="292" spans="1:1" x14ac:dyDescent="0.3">
      <c r="A292" s="31"/>
    </row>
    <row r="293" spans="1:1" x14ac:dyDescent="0.3">
      <c r="A293" s="31"/>
    </row>
    <row r="294" spans="1:1" x14ac:dyDescent="0.3">
      <c r="A294" s="31"/>
    </row>
    <row r="295" spans="1:1" x14ac:dyDescent="0.3">
      <c r="A295" s="31"/>
    </row>
    <row r="296" spans="1:1" x14ac:dyDescent="0.3">
      <c r="A296" s="31"/>
    </row>
    <row r="297" spans="1:1" x14ac:dyDescent="0.3">
      <c r="A297" s="31"/>
    </row>
    <row r="298" spans="1:1" x14ac:dyDescent="0.3">
      <c r="A298" s="31"/>
    </row>
    <row r="299" spans="1:1" x14ac:dyDescent="0.3">
      <c r="A299" s="31"/>
    </row>
    <row r="300" spans="1:1" x14ac:dyDescent="0.3">
      <c r="A300" s="31"/>
    </row>
    <row r="301" spans="1:1" x14ac:dyDescent="0.3">
      <c r="A301" s="31"/>
    </row>
    <row r="302" spans="1:1" x14ac:dyDescent="0.3">
      <c r="A302" s="31"/>
    </row>
    <row r="303" spans="1:1" x14ac:dyDescent="0.3">
      <c r="A303" s="31"/>
    </row>
    <row r="304" spans="1:1" x14ac:dyDescent="0.3">
      <c r="A304" s="31"/>
    </row>
    <row r="305" spans="1:1" x14ac:dyDescent="0.3">
      <c r="A305" s="31"/>
    </row>
    <row r="306" spans="1:1" x14ac:dyDescent="0.3">
      <c r="A306" s="31"/>
    </row>
    <row r="307" spans="1:1" x14ac:dyDescent="0.3">
      <c r="A307" s="31"/>
    </row>
    <row r="308" spans="1:1" x14ac:dyDescent="0.3">
      <c r="A308" s="31"/>
    </row>
    <row r="309" spans="1:1" x14ac:dyDescent="0.3">
      <c r="A309" s="31"/>
    </row>
    <row r="310" spans="1:1" x14ac:dyDescent="0.3">
      <c r="A310" s="31"/>
    </row>
    <row r="311" spans="1:1" x14ac:dyDescent="0.3">
      <c r="A311" s="31"/>
    </row>
    <row r="312" spans="1:1" x14ac:dyDescent="0.3">
      <c r="A312" s="31"/>
    </row>
    <row r="313" spans="1:1" x14ac:dyDescent="0.3">
      <c r="A313" s="31"/>
    </row>
    <row r="314" spans="1:1" x14ac:dyDescent="0.3">
      <c r="A314" s="31"/>
    </row>
    <row r="315" spans="1:1" x14ac:dyDescent="0.3">
      <c r="A315" s="31"/>
    </row>
    <row r="316" spans="1:1" x14ac:dyDescent="0.3">
      <c r="A316" s="31"/>
    </row>
    <row r="317" spans="1:1" x14ac:dyDescent="0.3">
      <c r="A317" s="31"/>
    </row>
    <row r="318" spans="1:1" x14ac:dyDescent="0.3">
      <c r="A318" s="31"/>
    </row>
    <row r="319" spans="1:1" x14ac:dyDescent="0.3">
      <c r="A319" s="31"/>
    </row>
    <row r="320" spans="1:1" x14ac:dyDescent="0.3">
      <c r="A320" s="31"/>
    </row>
    <row r="321" spans="1:1" x14ac:dyDescent="0.3">
      <c r="A321" s="31"/>
    </row>
    <row r="322" spans="1:1" x14ac:dyDescent="0.3">
      <c r="A322" s="31"/>
    </row>
    <row r="323" spans="1:1" x14ac:dyDescent="0.3">
      <c r="A323" s="31"/>
    </row>
    <row r="324" spans="1:1" x14ac:dyDescent="0.3">
      <c r="A324" s="31"/>
    </row>
    <row r="325" spans="1:1" x14ac:dyDescent="0.3">
      <c r="A325" s="31"/>
    </row>
    <row r="326" spans="1:1" x14ac:dyDescent="0.3">
      <c r="A326" s="31"/>
    </row>
    <row r="327" spans="1:1" x14ac:dyDescent="0.3">
      <c r="A327" s="31"/>
    </row>
    <row r="328" spans="1:1" x14ac:dyDescent="0.3">
      <c r="A328" s="31"/>
    </row>
    <row r="329" spans="1:1" x14ac:dyDescent="0.3">
      <c r="A329" s="31"/>
    </row>
    <row r="330" spans="1:1" x14ac:dyDescent="0.3">
      <c r="A330" s="31"/>
    </row>
    <row r="331" spans="1:1" x14ac:dyDescent="0.3">
      <c r="A331" s="31"/>
    </row>
    <row r="332" spans="1:1" x14ac:dyDescent="0.3">
      <c r="A332" s="31"/>
    </row>
    <row r="333" spans="1:1" x14ac:dyDescent="0.3">
      <c r="A333" s="31"/>
    </row>
    <row r="334" spans="1:1" x14ac:dyDescent="0.3">
      <c r="A334" s="31"/>
    </row>
    <row r="335" spans="1:1" x14ac:dyDescent="0.3">
      <c r="A335" s="31"/>
    </row>
    <row r="336" spans="1:1" x14ac:dyDescent="0.3">
      <c r="A336" s="31"/>
    </row>
    <row r="337" spans="1:1" x14ac:dyDescent="0.3">
      <c r="A337" s="31"/>
    </row>
    <row r="338" spans="1:1" x14ac:dyDescent="0.3">
      <c r="A338" s="31"/>
    </row>
    <row r="339" spans="1:1" x14ac:dyDescent="0.3">
      <c r="A339" s="31"/>
    </row>
    <row r="340" spans="1:1" x14ac:dyDescent="0.3">
      <c r="A340" s="31"/>
    </row>
    <row r="341" spans="1:1" x14ac:dyDescent="0.3">
      <c r="A341" s="31"/>
    </row>
    <row r="342" spans="1:1" x14ac:dyDescent="0.3">
      <c r="A342" s="31"/>
    </row>
    <row r="343" spans="1:1" x14ac:dyDescent="0.3">
      <c r="A343" s="31"/>
    </row>
    <row r="344" spans="1:1" x14ac:dyDescent="0.3">
      <c r="A344" s="31"/>
    </row>
    <row r="345" spans="1:1" x14ac:dyDescent="0.3">
      <c r="A345" s="31"/>
    </row>
    <row r="346" spans="1:1" x14ac:dyDescent="0.3">
      <c r="A346" s="31"/>
    </row>
    <row r="347" spans="1:1" x14ac:dyDescent="0.3">
      <c r="A347" s="31"/>
    </row>
    <row r="348" spans="1:1" x14ac:dyDescent="0.3">
      <c r="A348" s="31"/>
    </row>
    <row r="349" spans="1:1" x14ac:dyDescent="0.3">
      <c r="A349" s="31"/>
    </row>
    <row r="350" spans="1:1" x14ac:dyDescent="0.3">
      <c r="A350" s="31"/>
    </row>
    <row r="351" spans="1:1" x14ac:dyDescent="0.3">
      <c r="A351" s="31"/>
    </row>
    <row r="352" spans="1:1" x14ac:dyDescent="0.3">
      <c r="A352" s="31"/>
    </row>
    <row r="353" spans="1:1" x14ac:dyDescent="0.3">
      <c r="A353" s="31"/>
    </row>
    <row r="354" spans="1:1" x14ac:dyDescent="0.3">
      <c r="A354" s="31"/>
    </row>
    <row r="355" spans="1:1" x14ac:dyDescent="0.3">
      <c r="A355" s="31"/>
    </row>
    <row r="356" spans="1:1" x14ac:dyDescent="0.3">
      <c r="A356" s="31"/>
    </row>
    <row r="357" spans="1:1" x14ac:dyDescent="0.3">
      <c r="A357" s="31"/>
    </row>
    <row r="358" spans="1:1" x14ac:dyDescent="0.3">
      <c r="A358" s="31"/>
    </row>
    <row r="359" spans="1:1" x14ac:dyDescent="0.3">
      <c r="A359" s="31"/>
    </row>
    <row r="360" spans="1:1" x14ac:dyDescent="0.3">
      <c r="A360" s="31"/>
    </row>
    <row r="361" spans="1:1" x14ac:dyDescent="0.3">
      <c r="A361" s="31"/>
    </row>
    <row r="362" spans="1:1" x14ac:dyDescent="0.3">
      <c r="A362" s="31"/>
    </row>
    <row r="363" spans="1:1" x14ac:dyDescent="0.3">
      <c r="A363" s="31"/>
    </row>
    <row r="364" spans="1:1" x14ac:dyDescent="0.3">
      <c r="A364" s="31"/>
    </row>
    <row r="365" spans="1:1" x14ac:dyDescent="0.3">
      <c r="A365" s="31"/>
    </row>
    <row r="366" spans="1:1" x14ac:dyDescent="0.3">
      <c r="A366" s="31"/>
    </row>
    <row r="367" spans="1:1" x14ac:dyDescent="0.3">
      <c r="A367" s="31"/>
    </row>
    <row r="368" spans="1:1" x14ac:dyDescent="0.3">
      <c r="A368" s="31"/>
    </row>
    <row r="369" spans="1:1" x14ac:dyDescent="0.3">
      <c r="A369" s="31"/>
    </row>
    <row r="370" spans="1:1" x14ac:dyDescent="0.3">
      <c r="A370" s="31"/>
    </row>
    <row r="371" spans="1:1" x14ac:dyDescent="0.3">
      <c r="A371" s="31"/>
    </row>
    <row r="372" spans="1:1" x14ac:dyDescent="0.3">
      <c r="A372" s="31"/>
    </row>
    <row r="373" spans="1:1" x14ac:dyDescent="0.3">
      <c r="A373" s="31"/>
    </row>
    <row r="374" spans="1:1" x14ac:dyDescent="0.3">
      <c r="A374" s="31"/>
    </row>
    <row r="375" spans="1:1" x14ac:dyDescent="0.3">
      <c r="A375" s="31"/>
    </row>
    <row r="376" spans="1:1" x14ac:dyDescent="0.3">
      <c r="A376" s="31"/>
    </row>
    <row r="377" spans="1:1" x14ac:dyDescent="0.3">
      <c r="A377" s="31"/>
    </row>
    <row r="378" spans="1:1" x14ac:dyDescent="0.3">
      <c r="A378" s="31"/>
    </row>
    <row r="379" spans="1:1" x14ac:dyDescent="0.3">
      <c r="A379" s="31"/>
    </row>
    <row r="380" spans="1:1" x14ac:dyDescent="0.3">
      <c r="A380" s="31"/>
    </row>
    <row r="381" spans="1:1" x14ac:dyDescent="0.3">
      <c r="A381" s="31"/>
    </row>
    <row r="382" spans="1:1" x14ac:dyDescent="0.3">
      <c r="A382" s="31"/>
    </row>
    <row r="383" spans="1:1" x14ac:dyDescent="0.3">
      <c r="A383" s="31"/>
    </row>
    <row r="384" spans="1:1" x14ac:dyDescent="0.3">
      <c r="A384" s="31"/>
    </row>
    <row r="385" spans="1:1" x14ac:dyDescent="0.3">
      <c r="A385" s="31"/>
    </row>
    <row r="386" spans="1:1" x14ac:dyDescent="0.3">
      <c r="A386" s="31"/>
    </row>
    <row r="387" spans="1:1" x14ac:dyDescent="0.3">
      <c r="A387" s="31"/>
    </row>
    <row r="388" spans="1:1" x14ac:dyDescent="0.3">
      <c r="A388" s="31"/>
    </row>
    <row r="389" spans="1:1" x14ac:dyDescent="0.3">
      <c r="A389" s="31"/>
    </row>
    <row r="390" spans="1:1" x14ac:dyDescent="0.3">
      <c r="A390" s="31"/>
    </row>
    <row r="391" spans="1:1" x14ac:dyDescent="0.3">
      <c r="A391" s="31"/>
    </row>
    <row r="392" spans="1:1" x14ac:dyDescent="0.3">
      <c r="A392" s="31"/>
    </row>
    <row r="393" spans="1:1" x14ac:dyDescent="0.3">
      <c r="A393" s="31"/>
    </row>
    <row r="394" spans="1:1" x14ac:dyDescent="0.3">
      <c r="A394" s="31"/>
    </row>
    <row r="395" spans="1:1" x14ac:dyDescent="0.3">
      <c r="A395" s="31"/>
    </row>
    <row r="396" spans="1:1" x14ac:dyDescent="0.3">
      <c r="A396" s="31"/>
    </row>
    <row r="397" spans="1:1" x14ac:dyDescent="0.3">
      <c r="A397" s="31"/>
    </row>
    <row r="398" spans="1:1" x14ac:dyDescent="0.3">
      <c r="A398" s="31"/>
    </row>
    <row r="399" spans="1:1" x14ac:dyDescent="0.3">
      <c r="A399" s="31"/>
    </row>
    <row r="400" spans="1:1" x14ac:dyDescent="0.3">
      <c r="A400" s="31"/>
    </row>
    <row r="401" spans="1:1" x14ac:dyDescent="0.3">
      <c r="A401" s="31"/>
    </row>
    <row r="402" spans="1:1" x14ac:dyDescent="0.3">
      <c r="A402" s="31"/>
    </row>
    <row r="403" spans="1:1" x14ac:dyDescent="0.3">
      <c r="A403" s="31"/>
    </row>
    <row r="404" spans="1:1" x14ac:dyDescent="0.3">
      <c r="A404" s="31"/>
    </row>
    <row r="405" spans="1:1" x14ac:dyDescent="0.3">
      <c r="A405" s="31"/>
    </row>
    <row r="406" spans="1:1" x14ac:dyDescent="0.3">
      <c r="A406" s="31"/>
    </row>
    <row r="407" spans="1:1" x14ac:dyDescent="0.3">
      <c r="A407" s="31"/>
    </row>
    <row r="408" spans="1:1" x14ac:dyDescent="0.3">
      <c r="A408" s="31"/>
    </row>
    <row r="409" spans="1:1" x14ac:dyDescent="0.3">
      <c r="A409" s="31"/>
    </row>
    <row r="410" spans="1:1" x14ac:dyDescent="0.3">
      <c r="A410" s="31"/>
    </row>
    <row r="411" spans="1:1" x14ac:dyDescent="0.3">
      <c r="A411" s="31"/>
    </row>
    <row r="412" spans="1:1" x14ac:dyDescent="0.3">
      <c r="A412" s="31"/>
    </row>
    <row r="413" spans="1:1" x14ac:dyDescent="0.3">
      <c r="A413" s="31"/>
    </row>
    <row r="414" spans="1:1" x14ac:dyDescent="0.3">
      <c r="A414" s="31"/>
    </row>
    <row r="415" spans="1:1" x14ac:dyDescent="0.3">
      <c r="A415" s="31"/>
    </row>
    <row r="416" spans="1:1" x14ac:dyDescent="0.3">
      <c r="A416" s="31"/>
    </row>
    <row r="417" spans="1:1" x14ac:dyDescent="0.3">
      <c r="A417" s="31"/>
    </row>
    <row r="418" spans="1:1" x14ac:dyDescent="0.3">
      <c r="A418" s="31"/>
    </row>
    <row r="419" spans="1:1" x14ac:dyDescent="0.3">
      <c r="A419" s="31"/>
    </row>
    <row r="420" spans="1:1" x14ac:dyDescent="0.3">
      <c r="A420" s="31"/>
    </row>
    <row r="421" spans="1:1" x14ac:dyDescent="0.3">
      <c r="A421" s="31"/>
    </row>
    <row r="422" spans="1:1" x14ac:dyDescent="0.3">
      <c r="A422" s="31"/>
    </row>
    <row r="423" spans="1:1" x14ac:dyDescent="0.3">
      <c r="A423" s="31"/>
    </row>
    <row r="424" spans="1:1" x14ac:dyDescent="0.3">
      <c r="A424" s="31"/>
    </row>
    <row r="425" spans="1:1" x14ac:dyDescent="0.3">
      <c r="A425" s="31"/>
    </row>
    <row r="426" spans="1:1" x14ac:dyDescent="0.3">
      <c r="A426" s="31"/>
    </row>
    <row r="427" spans="1:1" x14ac:dyDescent="0.3">
      <c r="A427" s="31"/>
    </row>
    <row r="428" spans="1:1" x14ac:dyDescent="0.3">
      <c r="A428" s="31"/>
    </row>
    <row r="429" spans="1:1" x14ac:dyDescent="0.3">
      <c r="A429" s="31"/>
    </row>
    <row r="430" spans="1:1" x14ac:dyDescent="0.3">
      <c r="A430" s="31"/>
    </row>
    <row r="431" spans="1:1" x14ac:dyDescent="0.3">
      <c r="A431" s="31"/>
    </row>
    <row r="432" spans="1:1" x14ac:dyDescent="0.3">
      <c r="A432" s="31"/>
    </row>
    <row r="433" spans="1:1" x14ac:dyDescent="0.3">
      <c r="A433" s="31"/>
    </row>
    <row r="434" spans="1:1" x14ac:dyDescent="0.3">
      <c r="A434" s="31"/>
    </row>
    <row r="435" spans="1:1" x14ac:dyDescent="0.3">
      <c r="A435" s="31"/>
    </row>
    <row r="436" spans="1:1" x14ac:dyDescent="0.3">
      <c r="A436" s="31"/>
    </row>
    <row r="437" spans="1:1" x14ac:dyDescent="0.3">
      <c r="A437" s="31"/>
    </row>
    <row r="438" spans="1:1" x14ac:dyDescent="0.3">
      <c r="A438" s="31"/>
    </row>
    <row r="439" spans="1:1" x14ac:dyDescent="0.3">
      <c r="A439" s="31"/>
    </row>
    <row r="440" spans="1:1" x14ac:dyDescent="0.3">
      <c r="A440" s="31"/>
    </row>
    <row r="441" spans="1:1" x14ac:dyDescent="0.3">
      <c r="A441" s="31"/>
    </row>
    <row r="442" spans="1:1" x14ac:dyDescent="0.3">
      <c r="A442" s="31"/>
    </row>
    <row r="443" spans="1:1" x14ac:dyDescent="0.3">
      <c r="A443" s="31"/>
    </row>
    <row r="444" spans="1:1" x14ac:dyDescent="0.3">
      <c r="A444" s="31"/>
    </row>
    <row r="445" spans="1:1" x14ac:dyDescent="0.3">
      <c r="A445" s="31"/>
    </row>
    <row r="446" spans="1:1" x14ac:dyDescent="0.3">
      <c r="A446" s="31"/>
    </row>
    <row r="447" spans="1:1" x14ac:dyDescent="0.3">
      <c r="A447" s="31"/>
    </row>
    <row r="448" spans="1:1" x14ac:dyDescent="0.3">
      <c r="A448" s="31"/>
    </row>
    <row r="449" spans="1:1" x14ac:dyDescent="0.3">
      <c r="A449" s="31"/>
    </row>
    <row r="450" spans="1:1" x14ac:dyDescent="0.3">
      <c r="A450" s="31"/>
    </row>
    <row r="451" spans="1:1" x14ac:dyDescent="0.3">
      <c r="A451" s="31"/>
    </row>
    <row r="452" spans="1:1" x14ac:dyDescent="0.3">
      <c r="A452" s="31"/>
    </row>
    <row r="453" spans="1:1" x14ac:dyDescent="0.3">
      <c r="A453" s="31"/>
    </row>
    <row r="454" spans="1:1" x14ac:dyDescent="0.3">
      <c r="A454" s="31"/>
    </row>
    <row r="455" spans="1:1" x14ac:dyDescent="0.3">
      <c r="A455" s="31"/>
    </row>
    <row r="456" spans="1:1" x14ac:dyDescent="0.3">
      <c r="A456" s="31"/>
    </row>
    <row r="457" spans="1:1" x14ac:dyDescent="0.3">
      <c r="A457" s="31"/>
    </row>
    <row r="458" spans="1:1" x14ac:dyDescent="0.3">
      <c r="A458" s="31"/>
    </row>
    <row r="459" spans="1:1" x14ac:dyDescent="0.3">
      <c r="A459" s="31"/>
    </row>
    <row r="460" spans="1:1" x14ac:dyDescent="0.3">
      <c r="A460" s="31"/>
    </row>
    <row r="461" spans="1:1" x14ac:dyDescent="0.3">
      <c r="A461" s="31"/>
    </row>
    <row r="462" spans="1:1" x14ac:dyDescent="0.3">
      <c r="A462" s="31"/>
    </row>
    <row r="463" spans="1:1" x14ac:dyDescent="0.3">
      <c r="A463" s="31"/>
    </row>
    <row r="464" spans="1:1" x14ac:dyDescent="0.3">
      <c r="A464" s="31"/>
    </row>
    <row r="465" spans="1:1" x14ac:dyDescent="0.3">
      <c r="A465" s="31"/>
    </row>
    <row r="466" spans="1:1" x14ac:dyDescent="0.3">
      <c r="A466" s="31"/>
    </row>
    <row r="467" spans="1:1" x14ac:dyDescent="0.3">
      <c r="A467" s="31"/>
    </row>
    <row r="468" spans="1:1" x14ac:dyDescent="0.3">
      <c r="A468" s="31"/>
    </row>
    <row r="469" spans="1:1" x14ac:dyDescent="0.3">
      <c r="A469" s="31"/>
    </row>
    <row r="470" spans="1:1" x14ac:dyDescent="0.3">
      <c r="A470" s="31"/>
    </row>
    <row r="471" spans="1:1" x14ac:dyDescent="0.3">
      <c r="A471" s="31"/>
    </row>
    <row r="472" spans="1:1" x14ac:dyDescent="0.3">
      <c r="A472" s="31"/>
    </row>
    <row r="473" spans="1:1" x14ac:dyDescent="0.3">
      <c r="A473" s="31"/>
    </row>
    <row r="474" spans="1:1" x14ac:dyDescent="0.3">
      <c r="A474" s="31"/>
    </row>
    <row r="475" spans="1:1" x14ac:dyDescent="0.3">
      <c r="A475" s="31"/>
    </row>
    <row r="476" spans="1:1" x14ac:dyDescent="0.3">
      <c r="A476" s="31"/>
    </row>
    <row r="477" spans="1:1" x14ac:dyDescent="0.3">
      <c r="A477" s="31"/>
    </row>
    <row r="478" spans="1:1" x14ac:dyDescent="0.3">
      <c r="A478" s="31"/>
    </row>
    <row r="479" spans="1:1" x14ac:dyDescent="0.3">
      <c r="A479" s="31"/>
    </row>
    <row r="480" spans="1:1" x14ac:dyDescent="0.3">
      <c r="A480" s="31"/>
    </row>
    <row r="481" spans="1:1" x14ac:dyDescent="0.3">
      <c r="A481" s="31"/>
    </row>
    <row r="482" spans="1:1" x14ac:dyDescent="0.3">
      <c r="A482" s="31"/>
    </row>
    <row r="483" spans="1:1" x14ac:dyDescent="0.3">
      <c r="A483" s="31"/>
    </row>
    <row r="484" spans="1:1" x14ac:dyDescent="0.3">
      <c r="A484" s="31"/>
    </row>
    <row r="485" spans="1:1" x14ac:dyDescent="0.3">
      <c r="A485" s="31"/>
    </row>
    <row r="486" spans="1:1" x14ac:dyDescent="0.3">
      <c r="A486" s="31"/>
    </row>
    <row r="487" spans="1:1" x14ac:dyDescent="0.3">
      <c r="A487" s="31"/>
    </row>
    <row r="488" spans="1:1" x14ac:dyDescent="0.3">
      <c r="A488" s="31"/>
    </row>
    <row r="489" spans="1:1" x14ac:dyDescent="0.3">
      <c r="A489" s="31"/>
    </row>
    <row r="490" spans="1:1" x14ac:dyDescent="0.3">
      <c r="A490" s="31"/>
    </row>
    <row r="491" spans="1:1" x14ac:dyDescent="0.3">
      <c r="A491" s="31"/>
    </row>
    <row r="492" spans="1:1" x14ac:dyDescent="0.3">
      <c r="A492" s="31"/>
    </row>
    <row r="493" spans="1:1" x14ac:dyDescent="0.3">
      <c r="A493" s="31"/>
    </row>
    <row r="494" spans="1:1" x14ac:dyDescent="0.3">
      <c r="A494" s="31"/>
    </row>
    <row r="495" spans="1:1" x14ac:dyDescent="0.3">
      <c r="A495" s="31"/>
    </row>
    <row r="496" spans="1:1" x14ac:dyDescent="0.3">
      <c r="A496" s="31"/>
    </row>
    <row r="497" spans="1:1" x14ac:dyDescent="0.3">
      <c r="A497" s="31"/>
    </row>
    <row r="498" spans="1:1" x14ac:dyDescent="0.3">
      <c r="A498" s="31"/>
    </row>
    <row r="499" spans="1:1" x14ac:dyDescent="0.3">
      <c r="A499" s="31"/>
    </row>
    <row r="500" spans="1:1" x14ac:dyDescent="0.3">
      <c r="A500" s="31"/>
    </row>
    <row r="501" spans="1:1" x14ac:dyDescent="0.3">
      <c r="A501" s="31"/>
    </row>
    <row r="502" spans="1:1" x14ac:dyDescent="0.3">
      <c r="A502" s="31"/>
    </row>
    <row r="503" spans="1:1" x14ac:dyDescent="0.3">
      <c r="A503" s="31"/>
    </row>
    <row r="504" spans="1:1" x14ac:dyDescent="0.3">
      <c r="A504" s="31"/>
    </row>
    <row r="505" spans="1:1" x14ac:dyDescent="0.3">
      <c r="A505" s="31"/>
    </row>
    <row r="506" spans="1:1" x14ac:dyDescent="0.3">
      <c r="A506" s="31"/>
    </row>
    <row r="507" spans="1:1" x14ac:dyDescent="0.3">
      <c r="A507" s="31"/>
    </row>
    <row r="508" spans="1:1" x14ac:dyDescent="0.3">
      <c r="A508" s="31"/>
    </row>
    <row r="509" spans="1:1" x14ac:dyDescent="0.3">
      <c r="A509" s="31"/>
    </row>
    <row r="510" spans="1:1" x14ac:dyDescent="0.3">
      <c r="A510" s="31"/>
    </row>
    <row r="511" spans="1:1" x14ac:dyDescent="0.3">
      <c r="A511" s="31"/>
    </row>
    <row r="512" spans="1:1" x14ac:dyDescent="0.3">
      <c r="A512" s="31"/>
    </row>
    <row r="513" spans="1:1" x14ac:dyDescent="0.3">
      <c r="A513" s="31"/>
    </row>
    <row r="514" spans="1:1" x14ac:dyDescent="0.3">
      <c r="A514" s="31"/>
    </row>
    <row r="515" spans="1:1" x14ac:dyDescent="0.3">
      <c r="A515" s="31"/>
    </row>
    <row r="516" spans="1:1" x14ac:dyDescent="0.3">
      <c r="A516" s="31"/>
    </row>
    <row r="517" spans="1:1" x14ac:dyDescent="0.3">
      <c r="A517" s="31"/>
    </row>
    <row r="518" spans="1:1" x14ac:dyDescent="0.3">
      <c r="A518" s="31"/>
    </row>
    <row r="519" spans="1:1" x14ac:dyDescent="0.3">
      <c r="A519" s="31"/>
    </row>
    <row r="520" spans="1:1" x14ac:dyDescent="0.3">
      <c r="A520" s="31"/>
    </row>
    <row r="521" spans="1:1" x14ac:dyDescent="0.3">
      <c r="A521" s="31"/>
    </row>
    <row r="522" spans="1:1" x14ac:dyDescent="0.3">
      <c r="A522" s="31"/>
    </row>
    <row r="523" spans="1:1" x14ac:dyDescent="0.3">
      <c r="A523" s="31"/>
    </row>
    <row r="524" spans="1:1" x14ac:dyDescent="0.3">
      <c r="A524" s="31"/>
    </row>
    <row r="525" spans="1:1" x14ac:dyDescent="0.3">
      <c r="A525" s="31"/>
    </row>
    <row r="526" spans="1:1" x14ac:dyDescent="0.3">
      <c r="A526" s="31"/>
    </row>
    <row r="527" spans="1:1" x14ac:dyDescent="0.3">
      <c r="A527" s="31"/>
    </row>
    <row r="528" spans="1:1" x14ac:dyDescent="0.3">
      <c r="A528" s="31"/>
    </row>
    <row r="529" spans="1:1" x14ac:dyDescent="0.3">
      <c r="A529" s="31"/>
    </row>
    <row r="530" spans="1:1" x14ac:dyDescent="0.3">
      <c r="A530" s="31"/>
    </row>
    <row r="531" spans="1:1" x14ac:dyDescent="0.3">
      <c r="A531" s="31"/>
    </row>
    <row r="532" spans="1:1" x14ac:dyDescent="0.3">
      <c r="A532" s="31"/>
    </row>
    <row r="533" spans="1:1" x14ac:dyDescent="0.3">
      <c r="A533" s="31"/>
    </row>
    <row r="534" spans="1:1" x14ac:dyDescent="0.3">
      <c r="A534" s="31"/>
    </row>
    <row r="535" spans="1:1" x14ac:dyDescent="0.3">
      <c r="A535" s="31"/>
    </row>
    <row r="536" spans="1:1" x14ac:dyDescent="0.3">
      <c r="A536" s="31"/>
    </row>
    <row r="537" spans="1:1" x14ac:dyDescent="0.3">
      <c r="A537" s="31"/>
    </row>
    <row r="538" spans="1:1" x14ac:dyDescent="0.3">
      <c r="A538" s="31"/>
    </row>
    <row r="539" spans="1:1" x14ac:dyDescent="0.3">
      <c r="A539" s="31"/>
    </row>
    <row r="540" spans="1:1" x14ac:dyDescent="0.3">
      <c r="A540" s="31"/>
    </row>
    <row r="541" spans="1:1" x14ac:dyDescent="0.3">
      <c r="A541" s="31"/>
    </row>
    <row r="542" spans="1:1" x14ac:dyDescent="0.3">
      <c r="A542" s="31"/>
    </row>
    <row r="543" spans="1:1" x14ac:dyDescent="0.3">
      <c r="A543" s="31"/>
    </row>
    <row r="544" spans="1:1" x14ac:dyDescent="0.3">
      <c r="A544" s="31"/>
    </row>
    <row r="545" spans="1:1" x14ac:dyDescent="0.3">
      <c r="A545" s="31"/>
    </row>
    <row r="546" spans="1:1" x14ac:dyDescent="0.3">
      <c r="A546" s="31"/>
    </row>
    <row r="547" spans="1:1" x14ac:dyDescent="0.3">
      <c r="A547" s="31"/>
    </row>
    <row r="548" spans="1:1" x14ac:dyDescent="0.3">
      <c r="A548" s="31"/>
    </row>
    <row r="549" spans="1:1" x14ac:dyDescent="0.3">
      <c r="A549" s="31"/>
    </row>
    <row r="550" spans="1:1" x14ac:dyDescent="0.3">
      <c r="A550" s="31"/>
    </row>
    <row r="551" spans="1:1" x14ac:dyDescent="0.3">
      <c r="A551" s="31"/>
    </row>
    <row r="552" spans="1:1" x14ac:dyDescent="0.3">
      <c r="A552" s="31"/>
    </row>
    <row r="553" spans="1:1" x14ac:dyDescent="0.3">
      <c r="A553" s="31"/>
    </row>
    <row r="554" spans="1:1" x14ac:dyDescent="0.3">
      <c r="A554" s="31"/>
    </row>
    <row r="555" spans="1:1" x14ac:dyDescent="0.3">
      <c r="A555" s="31"/>
    </row>
    <row r="556" spans="1:1" x14ac:dyDescent="0.3">
      <c r="A556" s="31"/>
    </row>
    <row r="557" spans="1:1" x14ac:dyDescent="0.3">
      <c r="A557" s="31"/>
    </row>
    <row r="558" spans="1:1" x14ac:dyDescent="0.3">
      <c r="A558" s="31"/>
    </row>
    <row r="559" spans="1:1" x14ac:dyDescent="0.3">
      <c r="A559" s="31"/>
    </row>
    <row r="560" spans="1:1" x14ac:dyDescent="0.3">
      <c r="A560" s="31"/>
    </row>
    <row r="561" spans="1:1" x14ac:dyDescent="0.3">
      <c r="A561" s="31"/>
    </row>
    <row r="562" spans="1:1" x14ac:dyDescent="0.3">
      <c r="A562" s="31"/>
    </row>
    <row r="563" spans="1:1" x14ac:dyDescent="0.3">
      <c r="A563" s="31"/>
    </row>
    <row r="564" spans="1:1" x14ac:dyDescent="0.3">
      <c r="A564" s="31"/>
    </row>
    <row r="565" spans="1:1" x14ac:dyDescent="0.3">
      <c r="A565" s="31"/>
    </row>
    <row r="566" spans="1:1" x14ac:dyDescent="0.3">
      <c r="A566" s="31"/>
    </row>
    <row r="567" spans="1:1" x14ac:dyDescent="0.3">
      <c r="A567" s="31"/>
    </row>
    <row r="568" spans="1:1" x14ac:dyDescent="0.3">
      <c r="A568" s="31"/>
    </row>
    <row r="569" spans="1:1" x14ac:dyDescent="0.3">
      <c r="A569" s="31"/>
    </row>
    <row r="570" spans="1:1" x14ac:dyDescent="0.3">
      <c r="A570" s="31"/>
    </row>
    <row r="571" spans="1:1" x14ac:dyDescent="0.3">
      <c r="A571" s="31"/>
    </row>
    <row r="572" spans="1:1" x14ac:dyDescent="0.3">
      <c r="A572" s="31"/>
    </row>
    <row r="573" spans="1:1" x14ac:dyDescent="0.3">
      <c r="A573" s="31"/>
    </row>
    <row r="574" spans="1:1" x14ac:dyDescent="0.3">
      <c r="A574" s="31"/>
    </row>
    <row r="575" spans="1:1" x14ac:dyDescent="0.3">
      <c r="A575" s="31"/>
    </row>
    <row r="576" spans="1:1" x14ac:dyDescent="0.3">
      <c r="A576" s="31"/>
    </row>
    <row r="577" spans="1:1" x14ac:dyDescent="0.3">
      <c r="A577" s="31"/>
    </row>
    <row r="578" spans="1:1" x14ac:dyDescent="0.3">
      <c r="A578" s="31"/>
    </row>
    <row r="579" spans="1:1" x14ac:dyDescent="0.3">
      <c r="A579" s="31"/>
    </row>
    <row r="580" spans="1:1" x14ac:dyDescent="0.3">
      <c r="A580" s="31"/>
    </row>
    <row r="581" spans="1:1" x14ac:dyDescent="0.3">
      <c r="A581" s="31"/>
    </row>
    <row r="582" spans="1:1" x14ac:dyDescent="0.3">
      <c r="A582" s="31"/>
    </row>
    <row r="583" spans="1:1" x14ac:dyDescent="0.3">
      <c r="A583" s="31"/>
    </row>
    <row r="584" spans="1:1" x14ac:dyDescent="0.3">
      <c r="A584" s="31"/>
    </row>
    <row r="585" spans="1:1" x14ac:dyDescent="0.3">
      <c r="A585" s="31"/>
    </row>
    <row r="586" spans="1:1" x14ac:dyDescent="0.3">
      <c r="A586" s="31"/>
    </row>
    <row r="587" spans="1:1" x14ac:dyDescent="0.3">
      <c r="A587" s="31"/>
    </row>
    <row r="588" spans="1:1" x14ac:dyDescent="0.3">
      <c r="A588" s="31"/>
    </row>
    <row r="589" spans="1:1" x14ac:dyDescent="0.3">
      <c r="A589" s="31"/>
    </row>
    <row r="590" spans="1:1" x14ac:dyDescent="0.3">
      <c r="A590" s="31"/>
    </row>
    <row r="591" spans="1:1" x14ac:dyDescent="0.3">
      <c r="A591" s="31"/>
    </row>
    <row r="592" spans="1:1" x14ac:dyDescent="0.3">
      <c r="A592" s="31"/>
    </row>
    <row r="593" spans="1:1" x14ac:dyDescent="0.3">
      <c r="A593" s="31"/>
    </row>
    <row r="594" spans="1:1" x14ac:dyDescent="0.3">
      <c r="A594" s="31"/>
    </row>
    <row r="595" spans="1:1" x14ac:dyDescent="0.3">
      <c r="A595" s="31"/>
    </row>
    <row r="596" spans="1:1" x14ac:dyDescent="0.3">
      <c r="A596" s="31"/>
    </row>
    <row r="597" spans="1:1" x14ac:dyDescent="0.3">
      <c r="A597" s="31"/>
    </row>
    <row r="598" spans="1:1" x14ac:dyDescent="0.3">
      <c r="A598" s="31"/>
    </row>
    <row r="599" spans="1:1" x14ac:dyDescent="0.3">
      <c r="A599" s="31"/>
    </row>
    <row r="600" spans="1:1" x14ac:dyDescent="0.3">
      <c r="A600" s="31"/>
    </row>
    <row r="601" spans="1:1" x14ac:dyDescent="0.3">
      <c r="A601" s="31"/>
    </row>
    <row r="602" spans="1:1" x14ac:dyDescent="0.3">
      <c r="A602" s="31"/>
    </row>
    <row r="603" spans="1:1" x14ac:dyDescent="0.3">
      <c r="A603" s="31"/>
    </row>
    <row r="604" spans="1:1" x14ac:dyDescent="0.3">
      <c r="A604" s="31"/>
    </row>
    <row r="605" spans="1:1" x14ac:dyDescent="0.3">
      <c r="A605" s="31"/>
    </row>
    <row r="606" spans="1:1" x14ac:dyDescent="0.3">
      <c r="A606" s="31"/>
    </row>
    <row r="607" spans="1:1" x14ac:dyDescent="0.3">
      <c r="A607" s="31"/>
    </row>
    <row r="608" spans="1:1" x14ac:dyDescent="0.3">
      <c r="A608" s="31"/>
    </row>
    <row r="609" spans="1:1" x14ac:dyDescent="0.3">
      <c r="A609" s="31"/>
    </row>
    <row r="610" spans="1:1" x14ac:dyDescent="0.3">
      <c r="A610" s="31"/>
    </row>
    <row r="611" spans="1:1" x14ac:dyDescent="0.3">
      <c r="A611" s="31"/>
    </row>
    <row r="612" spans="1:1" x14ac:dyDescent="0.3">
      <c r="A612" s="31"/>
    </row>
    <row r="613" spans="1:1" x14ac:dyDescent="0.3">
      <c r="A613" s="31"/>
    </row>
    <row r="614" spans="1:1" x14ac:dyDescent="0.3">
      <c r="A614" s="31"/>
    </row>
    <row r="615" spans="1:1" x14ac:dyDescent="0.3">
      <c r="A615" s="31"/>
    </row>
    <row r="616" spans="1:1" x14ac:dyDescent="0.3">
      <c r="A616" s="31"/>
    </row>
    <row r="617" spans="1:1" x14ac:dyDescent="0.3">
      <c r="A617" s="31"/>
    </row>
    <row r="618" spans="1:1" x14ac:dyDescent="0.3">
      <c r="A618" s="31"/>
    </row>
    <row r="619" spans="1:1" x14ac:dyDescent="0.3">
      <c r="A619" s="31"/>
    </row>
    <row r="620" spans="1:1" x14ac:dyDescent="0.3">
      <c r="A620" s="31"/>
    </row>
    <row r="621" spans="1:1" x14ac:dyDescent="0.3">
      <c r="A621" s="31"/>
    </row>
    <row r="622" spans="1:1" x14ac:dyDescent="0.3">
      <c r="A622" s="31"/>
    </row>
    <row r="623" spans="1:1" x14ac:dyDescent="0.3">
      <c r="A623" s="31"/>
    </row>
    <row r="624" spans="1:1" x14ac:dyDescent="0.3">
      <c r="A624" s="31"/>
    </row>
    <row r="625" spans="1:1" x14ac:dyDescent="0.3">
      <c r="A625" s="31"/>
    </row>
    <row r="626" spans="1:1" x14ac:dyDescent="0.3">
      <c r="A626" s="31"/>
    </row>
    <row r="627" spans="1:1" x14ac:dyDescent="0.3">
      <c r="A627" s="31"/>
    </row>
    <row r="628" spans="1:1" x14ac:dyDescent="0.3">
      <c r="A628" s="31"/>
    </row>
    <row r="629" spans="1:1" x14ac:dyDescent="0.3">
      <c r="A629" s="31"/>
    </row>
    <row r="630" spans="1:1" x14ac:dyDescent="0.3">
      <c r="A630" s="31"/>
    </row>
    <row r="631" spans="1:1" x14ac:dyDescent="0.3">
      <c r="A631" s="31"/>
    </row>
    <row r="632" spans="1:1" x14ac:dyDescent="0.3">
      <c r="A632" s="31"/>
    </row>
    <row r="633" spans="1:1" x14ac:dyDescent="0.3">
      <c r="A633" s="31"/>
    </row>
    <row r="634" spans="1:1" x14ac:dyDescent="0.3">
      <c r="A634" s="31"/>
    </row>
    <row r="635" spans="1:1" x14ac:dyDescent="0.3">
      <c r="A635" s="31"/>
    </row>
    <row r="636" spans="1:1" x14ac:dyDescent="0.3">
      <c r="A636" s="31"/>
    </row>
    <row r="637" spans="1:1" x14ac:dyDescent="0.3">
      <c r="A637" s="31"/>
    </row>
    <row r="638" spans="1:1" x14ac:dyDescent="0.3">
      <c r="A638" s="31"/>
    </row>
    <row r="639" spans="1:1" x14ac:dyDescent="0.3">
      <c r="A639" s="31"/>
    </row>
    <row r="640" spans="1:1" x14ac:dyDescent="0.3">
      <c r="A640" s="31"/>
    </row>
    <row r="641" spans="1:1" x14ac:dyDescent="0.3">
      <c r="A641" s="31"/>
    </row>
    <row r="642" spans="1:1" x14ac:dyDescent="0.3">
      <c r="A642" s="31"/>
    </row>
    <row r="643" spans="1:1" x14ac:dyDescent="0.3">
      <c r="A643" s="31"/>
    </row>
    <row r="644" spans="1:1" x14ac:dyDescent="0.3">
      <c r="A644" s="31"/>
    </row>
    <row r="645" spans="1:1" x14ac:dyDescent="0.3">
      <c r="A645" s="31"/>
    </row>
    <row r="646" spans="1:1" x14ac:dyDescent="0.3">
      <c r="A646" s="31"/>
    </row>
    <row r="647" spans="1:1" x14ac:dyDescent="0.3">
      <c r="A647" s="31"/>
    </row>
    <row r="648" spans="1:1" x14ac:dyDescent="0.3">
      <c r="A648" s="31"/>
    </row>
    <row r="649" spans="1:1" x14ac:dyDescent="0.3">
      <c r="A649" s="31"/>
    </row>
    <row r="650" spans="1:1" x14ac:dyDescent="0.3">
      <c r="A650" s="31"/>
    </row>
    <row r="651" spans="1:1" x14ac:dyDescent="0.3">
      <c r="A651" s="31"/>
    </row>
    <row r="652" spans="1:1" x14ac:dyDescent="0.3">
      <c r="A652" s="31"/>
    </row>
    <row r="653" spans="1:1" x14ac:dyDescent="0.3">
      <c r="A653" s="31"/>
    </row>
    <row r="654" spans="1:1" x14ac:dyDescent="0.3">
      <c r="A654" s="31"/>
    </row>
    <row r="655" spans="1:1" x14ac:dyDescent="0.3">
      <c r="A655" s="31"/>
    </row>
    <row r="656" spans="1:1" x14ac:dyDescent="0.3">
      <c r="A656" s="31"/>
    </row>
    <row r="657" spans="1:1" x14ac:dyDescent="0.3">
      <c r="A657" s="31"/>
    </row>
    <row r="658" spans="1:1" x14ac:dyDescent="0.3">
      <c r="A658" s="31"/>
    </row>
    <row r="659" spans="1:1" x14ac:dyDescent="0.3">
      <c r="A659" s="31"/>
    </row>
    <row r="660" spans="1:1" x14ac:dyDescent="0.3">
      <c r="A660" s="31"/>
    </row>
    <row r="661" spans="1:1" x14ac:dyDescent="0.3">
      <c r="A661" s="31"/>
    </row>
    <row r="662" spans="1:1" x14ac:dyDescent="0.3">
      <c r="A662" s="31"/>
    </row>
    <row r="663" spans="1:1" x14ac:dyDescent="0.3">
      <c r="A663" s="31"/>
    </row>
    <row r="664" spans="1:1" x14ac:dyDescent="0.3">
      <c r="A664" s="31"/>
    </row>
    <row r="665" spans="1:1" x14ac:dyDescent="0.3">
      <c r="A665" s="31"/>
    </row>
    <row r="666" spans="1:1" x14ac:dyDescent="0.3">
      <c r="A666" s="31"/>
    </row>
    <row r="667" spans="1:1" x14ac:dyDescent="0.3">
      <c r="A667" s="31"/>
    </row>
    <row r="668" spans="1:1" x14ac:dyDescent="0.3">
      <c r="A668" s="31"/>
    </row>
    <row r="669" spans="1:1" x14ac:dyDescent="0.3">
      <c r="A669" s="31"/>
    </row>
    <row r="670" spans="1:1" x14ac:dyDescent="0.3">
      <c r="A670" s="31"/>
    </row>
    <row r="671" spans="1:1" x14ac:dyDescent="0.3">
      <c r="A671" s="31"/>
    </row>
    <row r="672" spans="1:1" x14ac:dyDescent="0.3">
      <c r="A672" s="31"/>
    </row>
    <row r="673" spans="1:1" x14ac:dyDescent="0.3">
      <c r="A673" s="31"/>
    </row>
    <row r="674" spans="1:1" x14ac:dyDescent="0.3">
      <c r="A674" s="31"/>
    </row>
    <row r="675" spans="1:1" x14ac:dyDescent="0.3">
      <c r="A675" s="31"/>
    </row>
    <row r="676" spans="1:1" x14ac:dyDescent="0.3">
      <c r="A676" s="31"/>
    </row>
    <row r="677" spans="1:1" x14ac:dyDescent="0.3">
      <c r="A677" s="31"/>
    </row>
    <row r="678" spans="1:1" x14ac:dyDescent="0.3">
      <c r="A678" s="31"/>
    </row>
    <row r="679" spans="1:1" x14ac:dyDescent="0.3">
      <c r="A679" s="31"/>
    </row>
    <row r="680" spans="1:1" x14ac:dyDescent="0.3">
      <c r="A680" s="31"/>
    </row>
    <row r="681" spans="1:1" x14ac:dyDescent="0.3">
      <c r="A681" s="31"/>
    </row>
    <row r="682" spans="1:1" x14ac:dyDescent="0.3">
      <c r="A682" s="31"/>
    </row>
    <row r="683" spans="1:1" x14ac:dyDescent="0.3">
      <c r="A683" s="31"/>
    </row>
    <row r="684" spans="1:1" x14ac:dyDescent="0.3">
      <c r="A684" s="31"/>
    </row>
    <row r="685" spans="1:1" x14ac:dyDescent="0.3">
      <c r="A685" s="31"/>
    </row>
    <row r="686" spans="1:1" x14ac:dyDescent="0.3">
      <c r="A686" s="31"/>
    </row>
    <row r="687" spans="1:1" x14ac:dyDescent="0.3">
      <c r="A687" s="31"/>
    </row>
    <row r="688" spans="1:1" x14ac:dyDescent="0.3">
      <c r="A688" s="31"/>
    </row>
    <row r="689" spans="1:1" x14ac:dyDescent="0.3">
      <c r="A689" s="31"/>
    </row>
    <row r="690" spans="1:1" x14ac:dyDescent="0.3">
      <c r="A690" s="31"/>
    </row>
    <row r="691" spans="1:1" x14ac:dyDescent="0.3">
      <c r="A691" s="31"/>
    </row>
    <row r="692" spans="1:1" x14ac:dyDescent="0.3">
      <c r="A692" s="31"/>
    </row>
    <row r="693" spans="1:1" x14ac:dyDescent="0.3">
      <c r="A693" s="31"/>
    </row>
    <row r="694" spans="1:1" x14ac:dyDescent="0.3">
      <c r="A694" s="31"/>
    </row>
    <row r="695" spans="1:1" x14ac:dyDescent="0.3">
      <c r="A695" s="31"/>
    </row>
    <row r="696" spans="1:1" x14ac:dyDescent="0.3">
      <c r="A696" s="31"/>
    </row>
    <row r="697" spans="1:1" x14ac:dyDescent="0.3">
      <c r="A697" s="31"/>
    </row>
    <row r="698" spans="1:1" x14ac:dyDescent="0.3">
      <c r="A698" s="31"/>
    </row>
    <row r="699" spans="1:1" x14ac:dyDescent="0.3">
      <c r="A699" s="31"/>
    </row>
    <row r="700" spans="1:1" x14ac:dyDescent="0.3">
      <c r="A700" s="31"/>
    </row>
    <row r="701" spans="1:1" x14ac:dyDescent="0.3">
      <c r="A701" s="31"/>
    </row>
    <row r="702" spans="1:1" x14ac:dyDescent="0.3">
      <c r="A702" s="31"/>
    </row>
    <row r="703" spans="1:1" x14ac:dyDescent="0.3">
      <c r="A703" s="31"/>
    </row>
    <row r="704" spans="1:1" x14ac:dyDescent="0.3">
      <c r="A704" s="31"/>
    </row>
    <row r="705" spans="1:1" x14ac:dyDescent="0.3">
      <c r="A705" s="31"/>
    </row>
    <row r="706" spans="1:1" x14ac:dyDescent="0.3">
      <c r="A706" s="31"/>
    </row>
    <row r="707" spans="1:1" x14ac:dyDescent="0.3">
      <c r="A707" s="31"/>
    </row>
    <row r="708" spans="1:1" x14ac:dyDescent="0.3">
      <c r="A708" s="31"/>
    </row>
    <row r="709" spans="1:1" x14ac:dyDescent="0.3">
      <c r="A709" s="31"/>
    </row>
    <row r="710" spans="1:1" x14ac:dyDescent="0.3">
      <c r="A710" s="31"/>
    </row>
    <row r="711" spans="1:1" x14ac:dyDescent="0.3">
      <c r="A711" s="31"/>
    </row>
    <row r="712" spans="1:1" x14ac:dyDescent="0.3">
      <c r="A712" s="31"/>
    </row>
    <row r="713" spans="1:1" x14ac:dyDescent="0.3">
      <c r="A713" s="31"/>
    </row>
    <row r="714" spans="1:1" x14ac:dyDescent="0.3">
      <c r="A714" s="31"/>
    </row>
    <row r="715" spans="1:1" x14ac:dyDescent="0.3">
      <c r="A715" s="31"/>
    </row>
    <row r="716" spans="1:1" x14ac:dyDescent="0.3">
      <c r="A716" s="31"/>
    </row>
    <row r="717" spans="1:1" x14ac:dyDescent="0.3">
      <c r="A717" s="31"/>
    </row>
    <row r="718" spans="1:1" x14ac:dyDescent="0.3">
      <c r="A718" s="31"/>
    </row>
    <row r="719" spans="1:1" x14ac:dyDescent="0.3">
      <c r="A719" s="31"/>
    </row>
    <row r="720" spans="1:1" x14ac:dyDescent="0.3">
      <c r="A720" s="31"/>
    </row>
    <row r="721" spans="1:1" x14ac:dyDescent="0.3">
      <c r="A721" s="31"/>
    </row>
    <row r="722" spans="1:1" x14ac:dyDescent="0.3">
      <c r="A722" s="31"/>
    </row>
    <row r="723" spans="1:1" x14ac:dyDescent="0.3">
      <c r="A723" s="31"/>
    </row>
    <row r="724" spans="1:1" x14ac:dyDescent="0.3">
      <c r="A724" s="31"/>
    </row>
    <row r="725" spans="1:1" x14ac:dyDescent="0.3">
      <c r="A725" s="31"/>
    </row>
    <row r="726" spans="1:1" x14ac:dyDescent="0.3">
      <c r="A726" s="31"/>
    </row>
    <row r="727" spans="1:1" x14ac:dyDescent="0.3">
      <c r="A727" s="31"/>
    </row>
    <row r="728" spans="1:1" x14ac:dyDescent="0.3">
      <c r="A728" s="31"/>
    </row>
    <row r="729" spans="1:1" x14ac:dyDescent="0.3">
      <c r="A729" s="31"/>
    </row>
    <row r="730" spans="1:1" x14ac:dyDescent="0.3">
      <c r="A730" s="31"/>
    </row>
    <row r="731" spans="1:1" x14ac:dyDescent="0.3">
      <c r="A731" s="31"/>
    </row>
  </sheetData>
  <sheetProtection algorithmName="SHA-512" hashValue="bOUqHWJLL4kcVHKhMwswCc5Ho75N9Q5D6sCRUF35rUAuDPc+xGuCFicYICoHNjxrypjZJI7xVk/3eHk1LLk/7w==" saltValue="2OykJD1bvO1C3q1IktgGRA==" spinCount="100000" sheet="1" objects="1" scenarios="1"/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1">
    <tabColor rgb="FF7030A0"/>
    <pageSetUpPr fitToPage="1"/>
  </sheetPr>
  <dimension ref="A1:CM64"/>
  <sheetViews>
    <sheetView showGridLines="0" topLeftCell="X1" zoomScale="96" zoomScaleNormal="96" workbookViewId="0">
      <selection activeCell="AJ3" sqref="AJ3"/>
    </sheetView>
  </sheetViews>
  <sheetFormatPr baseColWidth="10" defaultRowHeight="14.4" x14ac:dyDescent="0.3"/>
  <cols>
    <col min="1" max="1" width="10.33203125" customWidth="1"/>
    <col min="2" max="2" width="15.109375" bestFit="1" customWidth="1"/>
    <col min="3" max="3" width="30.77734375" bestFit="1" customWidth="1"/>
    <col min="4" max="4" width="15.6640625" customWidth="1"/>
    <col min="5" max="5" width="44.6640625" customWidth="1"/>
    <col min="6" max="6" width="14.109375" customWidth="1"/>
    <col min="7" max="7" width="33.21875" style="106" bestFit="1" customWidth="1"/>
    <col min="8" max="8" width="56.77734375" style="1" customWidth="1"/>
    <col min="9" max="9" width="10.77734375" customWidth="1"/>
    <col min="10" max="10" width="31.21875" bestFit="1" customWidth="1"/>
    <col min="11" max="11" width="9.21875" customWidth="1"/>
    <col min="12" max="12" width="18.6640625" bestFit="1" customWidth="1"/>
    <col min="13" max="13" width="9.109375" customWidth="1"/>
    <col min="14" max="14" width="17" customWidth="1"/>
    <col min="15" max="15" width="9" customWidth="1"/>
    <col min="16" max="16" width="52.21875" style="6" bestFit="1" customWidth="1"/>
    <col min="17" max="17" width="42.88671875" style="6" customWidth="1"/>
    <col min="18" max="18" width="42.88671875" style="303" customWidth="1"/>
    <col min="20" max="20" width="17.21875" bestFit="1" customWidth="1"/>
    <col min="21" max="21" width="6.77734375" customWidth="1"/>
    <col min="22" max="22" width="28.21875" bestFit="1" customWidth="1"/>
    <col min="23" max="23" width="7.109375" customWidth="1"/>
    <col min="24" max="25" width="15.77734375" customWidth="1"/>
    <col min="26" max="26" width="11.44140625" customWidth="1"/>
    <col min="27" max="27" width="24.5546875" bestFit="1" customWidth="1"/>
    <col min="28" max="28" width="11.33203125" bestFit="1" customWidth="1"/>
    <col min="29" max="29" width="17" bestFit="1" customWidth="1"/>
    <col min="30" max="30" width="11.44140625" customWidth="1"/>
    <col min="31" max="31" width="20.44140625" bestFit="1" customWidth="1"/>
    <col min="32" max="32" width="22.77734375" bestFit="1" customWidth="1"/>
    <col min="33" max="33" width="7.77734375" customWidth="1"/>
    <col min="34" max="34" width="22.77734375" style="30" customWidth="1"/>
    <col min="35" max="35" width="7.109375" style="30" customWidth="1"/>
    <col min="36" max="36" width="26.109375" style="30" customWidth="1"/>
    <col min="37" max="37" width="14.33203125" style="30" customWidth="1"/>
    <col min="38" max="38" width="24.77734375" customWidth="1"/>
    <col min="39" max="39" width="15.21875" customWidth="1"/>
    <col min="40" max="40" width="15.33203125" style="127" customWidth="1"/>
    <col min="41" max="41" width="20.77734375" customWidth="1"/>
    <col min="42" max="42" width="17.21875" customWidth="1"/>
    <col min="43" max="43" width="16.6640625" customWidth="1"/>
    <col min="44" max="44" width="14.5546875" customWidth="1"/>
    <col min="45" max="45" width="17.44140625" customWidth="1"/>
    <col min="46" max="46" width="16" customWidth="1"/>
    <col min="47" max="47" width="48.77734375" bestFit="1" customWidth="1"/>
    <col min="48" max="49" width="15.5546875" customWidth="1"/>
    <col min="50" max="50" width="14" customWidth="1"/>
    <col min="51" max="51" width="21.44140625" customWidth="1"/>
    <col min="52" max="52" width="15.21875" customWidth="1"/>
    <col min="53" max="55" width="12.44140625" customWidth="1"/>
    <col min="56" max="61" width="13.77734375" customWidth="1"/>
    <col min="62" max="62" width="73.77734375" customWidth="1"/>
    <col min="63" max="63" width="13.77734375" customWidth="1"/>
    <col min="64" max="64" width="27.5546875" customWidth="1"/>
    <col min="65" max="66" width="16.77734375" customWidth="1"/>
    <col min="68" max="68" width="17.5546875" customWidth="1"/>
    <col min="69" max="70" width="16.77734375" style="2" customWidth="1"/>
    <col min="71" max="71" width="17.21875" bestFit="1" customWidth="1"/>
    <col min="73" max="73" width="25.44140625" bestFit="1" customWidth="1"/>
    <col min="74" max="74" width="17.21875" customWidth="1"/>
    <col min="76" max="77" width="22.5546875" bestFit="1" customWidth="1"/>
    <col min="78" max="78" width="16.21875" bestFit="1" customWidth="1"/>
    <col min="79" max="79" width="12.5546875" bestFit="1" customWidth="1"/>
    <col min="80" max="80" width="21.5546875" customWidth="1"/>
    <col min="85" max="85" width="24.88671875" customWidth="1"/>
    <col min="86" max="86" width="21.109375" customWidth="1"/>
  </cols>
  <sheetData>
    <row r="1" spans="1:91" ht="46.2" x14ac:dyDescent="0.3">
      <c r="A1" s="306" t="s">
        <v>595</v>
      </c>
      <c r="P1" s="303"/>
      <c r="Q1" s="303"/>
      <c r="AN1" s="303"/>
    </row>
    <row r="2" spans="1:91" ht="18.600000000000001" thickBot="1" x14ac:dyDescent="0.35">
      <c r="G2" s="311" t="s">
        <v>602</v>
      </c>
      <c r="J2" s="311" t="s">
        <v>604</v>
      </c>
      <c r="L2" s="311" t="s">
        <v>651</v>
      </c>
      <c r="N2" s="311" t="s">
        <v>652</v>
      </c>
      <c r="P2" s="311" t="s">
        <v>653</v>
      </c>
      <c r="Q2"/>
      <c r="R2"/>
      <c r="T2" s="311" t="s">
        <v>654</v>
      </c>
      <c r="V2" s="311" t="s">
        <v>655</v>
      </c>
      <c r="X2" s="311" t="s">
        <v>656</v>
      </c>
      <c r="AA2" s="311" t="s">
        <v>690</v>
      </c>
      <c r="AD2" s="303"/>
      <c r="AE2" s="311" t="s">
        <v>691</v>
      </c>
      <c r="AJ2" s="311" t="s">
        <v>692</v>
      </c>
      <c r="AN2" s="303"/>
    </row>
    <row r="3" spans="1:91" ht="45.6" customHeight="1" thickBot="1" x14ac:dyDescent="0.35">
      <c r="A3" s="273" t="s">
        <v>326</v>
      </c>
      <c r="B3" s="309" t="s">
        <v>596</v>
      </c>
      <c r="C3" s="309" t="s">
        <v>597</v>
      </c>
      <c r="D3" s="310" t="s">
        <v>667</v>
      </c>
      <c r="E3" s="310" t="s">
        <v>598</v>
      </c>
      <c r="G3" s="106" t="s">
        <v>4</v>
      </c>
      <c r="H3" s="303" t="s">
        <v>608</v>
      </c>
      <c r="J3" s="222" t="s">
        <v>284</v>
      </c>
      <c r="L3" s="331" t="s">
        <v>648</v>
      </c>
      <c r="N3" s="6" t="s">
        <v>649</v>
      </c>
      <c r="P3" s="314" t="s">
        <v>615</v>
      </c>
      <c r="Q3" s="315" t="s">
        <v>621</v>
      </c>
      <c r="R3" s="332" t="s">
        <v>678</v>
      </c>
      <c r="T3" s="303" t="s">
        <v>609</v>
      </c>
      <c r="V3" s="303" t="s">
        <v>610</v>
      </c>
      <c r="X3" s="6" t="s">
        <v>205</v>
      </c>
      <c r="Y3" s="6" t="s">
        <v>200</v>
      </c>
      <c r="AA3" s="30" t="s">
        <v>240</v>
      </c>
      <c r="AB3" s="30" t="s">
        <v>434</v>
      </c>
      <c r="AC3" s="30" t="s">
        <v>435</v>
      </c>
      <c r="AE3" s="6" t="s">
        <v>271</v>
      </c>
      <c r="AF3" s="6" t="s">
        <v>437</v>
      </c>
      <c r="AG3" s="6" t="s">
        <v>438</v>
      </c>
      <c r="AH3" s="6" t="s">
        <v>693</v>
      </c>
      <c r="AI3"/>
      <c r="AJ3" s="30" t="s">
        <v>246</v>
      </c>
      <c r="AK3" s="30" t="s">
        <v>449</v>
      </c>
      <c r="AL3" s="30" t="s">
        <v>448</v>
      </c>
      <c r="AM3" s="30" t="s">
        <v>446</v>
      </c>
      <c r="AN3" s="30" t="s">
        <v>447</v>
      </c>
      <c r="AO3" s="30" t="s">
        <v>430</v>
      </c>
      <c r="AP3" s="30" t="s">
        <v>431</v>
      </c>
      <c r="AQ3" s="30" t="s">
        <v>432</v>
      </c>
      <c r="AR3" s="30" t="s">
        <v>433</v>
      </c>
      <c r="AS3" s="30" t="s">
        <v>429</v>
      </c>
      <c r="AT3" s="30" t="s">
        <v>454</v>
      </c>
      <c r="AU3" s="30" t="s">
        <v>436</v>
      </c>
    </row>
    <row r="4" spans="1:91" ht="16.8" customHeight="1" x14ac:dyDescent="0.3">
      <c r="A4" s="2">
        <v>1</v>
      </c>
      <c r="B4" s="177" t="s">
        <v>599</v>
      </c>
      <c r="C4" s="177" t="s">
        <v>601</v>
      </c>
      <c r="D4" s="1" t="s">
        <v>668</v>
      </c>
      <c r="E4" s="1" t="s">
        <v>600</v>
      </c>
      <c r="G4" s="308">
        <v>43466</v>
      </c>
      <c r="H4" s="1" t="s">
        <v>175</v>
      </c>
      <c r="J4" s="223" t="s">
        <v>532</v>
      </c>
      <c r="L4" s="119" t="s">
        <v>611</v>
      </c>
      <c r="N4" s="6" t="s">
        <v>593</v>
      </c>
      <c r="P4" s="318"/>
      <c r="Q4" s="319"/>
      <c r="R4" s="333"/>
      <c r="T4" s="303">
        <v>1</v>
      </c>
      <c r="V4" s="303">
        <v>2018</v>
      </c>
      <c r="X4" s="6">
        <v>1</v>
      </c>
      <c r="Y4" s="6" t="s">
        <v>203</v>
      </c>
      <c r="AA4" s="6" t="s">
        <v>434</v>
      </c>
      <c r="AB4" s="6" t="s">
        <v>174</v>
      </c>
      <c r="AC4" s="6" t="s">
        <v>238</v>
      </c>
      <c r="AE4" t="s">
        <v>272</v>
      </c>
      <c r="AF4" s="110" t="s">
        <v>439</v>
      </c>
      <c r="AG4" s="110">
        <v>0.75</v>
      </c>
      <c r="AH4" s="108">
        <v>1</v>
      </c>
      <c r="AI4"/>
      <c r="AJ4" s="6" t="s">
        <v>453</v>
      </c>
      <c r="AK4" s="107">
        <v>0.33333333333333331</v>
      </c>
      <c r="AL4" s="107">
        <v>0.33333333333333331</v>
      </c>
      <c r="AM4" s="107">
        <v>4.1666666666666664E-2</v>
      </c>
      <c r="AN4" s="107">
        <f>SUM(Tabla_Jornada[[#This Row],[HORAS DIA DE SEMANA]:[DESCANSO]])</f>
        <v>0.70833333333333326</v>
      </c>
      <c r="AO4" s="107">
        <v>0.22916666666666666</v>
      </c>
      <c r="AP4" s="107">
        <v>0.33333333333333331</v>
      </c>
      <c r="AQ4" s="107">
        <v>0</v>
      </c>
      <c r="AR4" s="107">
        <f>SUM(Tabla_Jornada[[#This Row],[HORAS SABADO]:[DESCANSO SABADO]])</f>
        <v>0.5625</v>
      </c>
      <c r="AS4" s="109">
        <f>SUM(Tabla_Jornada[[#This Row],[HORAS DIA DE SEMANA]]*5,Tabla_Jornada[[#This Row],[HORAS SABADO]])</f>
        <v>1.8958333333333333</v>
      </c>
      <c r="AT4" s="109">
        <v>0</v>
      </c>
      <c r="AU4" s="107" t="s">
        <v>461</v>
      </c>
    </row>
    <row r="5" spans="1:91" ht="16.8" customHeight="1" x14ac:dyDescent="0.3">
      <c r="A5" s="2">
        <v>2</v>
      </c>
      <c r="B5" s="177" t="s">
        <v>605</v>
      </c>
      <c r="C5" s="177" t="s">
        <v>606</v>
      </c>
      <c r="D5" s="1" t="s">
        <v>669</v>
      </c>
      <c r="E5" s="1" t="s">
        <v>607</v>
      </c>
      <c r="G5"/>
      <c r="H5"/>
      <c r="J5" s="224" t="s">
        <v>543</v>
      </c>
      <c r="L5" s="119" t="s">
        <v>705</v>
      </c>
      <c r="M5" s="30"/>
      <c r="N5" s="6" t="s">
        <v>594</v>
      </c>
      <c r="P5" s="312" t="s">
        <v>613</v>
      </c>
      <c r="Q5" s="329">
        <v>26</v>
      </c>
      <c r="R5" s="334" t="s">
        <v>688</v>
      </c>
      <c r="T5" s="303">
        <v>2</v>
      </c>
      <c r="V5" s="303">
        <v>2019</v>
      </c>
      <c r="X5" s="6">
        <v>2</v>
      </c>
      <c r="Y5" s="6" t="s">
        <v>206</v>
      </c>
      <c r="AA5" s="6" t="s">
        <v>435</v>
      </c>
      <c r="AB5" s="6" t="s">
        <v>238</v>
      </c>
      <c r="AC5" s="6" t="s">
        <v>174</v>
      </c>
      <c r="AE5" t="s">
        <v>445</v>
      </c>
      <c r="AF5" s="110">
        <v>0.75</v>
      </c>
      <c r="AG5" s="110">
        <v>0.83333333333333337</v>
      </c>
      <c r="AH5" s="108">
        <v>1</v>
      </c>
      <c r="AI5"/>
      <c r="AJ5" s="6" t="s">
        <v>549</v>
      </c>
      <c r="AK5" s="107">
        <v>0.33333333333333331</v>
      </c>
      <c r="AL5" s="107">
        <v>0.33333333333333331</v>
      </c>
      <c r="AM5" s="107">
        <v>4.1666666666666664E-2</v>
      </c>
      <c r="AN5" s="107">
        <f>SUM(Tabla_Jornada[[#This Row],[HORAS DIA DE SEMANA]:[DESCANSO]])</f>
        <v>0.70833333333333326</v>
      </c>
      <c r="AO5" s="107">
        <v>0.33333333333333331</v>
      </c>
      <c r="AP5" s="107">
        <v>0.33333333333333331</v>
      </c>
      <c r="AQ5" s="107">
        <v>4.1666666666666664E-2</v>
      </c>
      <c r="AR5" s="107">
        <f>SUM(Tabla_Jornada[[#This Row],[HORAS SABADO]:[DESCANSO SABADO]])</f>
        <v>0.70833333333333326</v>
      </c>
      <c r="AS5" s="109">
        <f>SUM(Tabla_Jornada[[#This Row],[HORAS DIA DE SEMANA]]*5,Tabla_Jornada[[#This Row],[HORAS SABADO]])</f>
        <v>1.9999999999999998</v>
      </c>
      <c r="AT5" s="109">
        <v>8.3333333333333329E-2</v>
      </c>
      <c r="AU5" s="107" t="s">
        <v>459</v>
      </c>
    </row>
    <row r="6" spans="1:91" ht="16.8" customHeight="1" x14ac:dyDescent="0.3">
      <c r="A6" s="2">
        <v>3</v>
      </c>
      <c r="B6" s="177" t="s">
        <v>612</v>
      </c>
      <c r="C6" s="177" t="s">
        <v>659</v>
      </c>
      <c r="D6" s="1" t="s">
        <v>669</v>
      </c>
      <c r="E6" s="1" t="s">
        <v>672</v>
      </c>
      <c r="J6" s="223" t="s">
        <v>457</v>
      </c>
      <c r="P6" s="312" t="s">
        <v>614</v>
      </c>
      <c r="Q6" s="329">
        <v>11</v>
      </c>
      <c r="R6" s="334" t="s">
        <v>688</v>
      </c>
      <c r="T6" s="303">
        <v>3</v>
      </c>
      <c r="V6" s="303">
        <v>2020</v>
      </c>
      <c r="X6" s="6">
        <v>3</v>
      </c>
      <c r="Y6" s="6" t="s">
        <v>207</v>
      </c>
      <c r="AA6" s="6" t="s">
        <v>689</v>
      </c>
      <c r="AB6" s="6" t="s">
        <v>238</v>
      </c>
      <c r="AC6" s="6" t="s">
        <v>238</v>
      </c>
      <c r="AE6" t="s">
        <v>273</v>
      </c>
      <c r="AF6" s="110">
        <v>0.83333333333333337</v>
      </c>
      <c r="AG6" s="111" t="s">
        <v>283</v>
      </c>
      <c r="AH6" s="108">
        <v>1</v>
      </c>
      <c r="AI6"/>
      <c r="AJ6" s="6" t="s">
        <v>542</v>
      </c>
      <c r="AK6" s="107">
        <v>0.33333333333333331</v>
      </c>
      <c r="AL6" s="107">
        <v>0.33333333333333331</v>
      </c>
      <c r="AM6" s="107">
        <v>4.1666666666666664E-2</v>
      </c>
      <c r="AN6" s="107">
        <f>SUM(Tabla_Jornada[[#This Row],[HORAS DIA DE SEMANA]:[DESCANSO]])</f>
        <v>0.70833333333333326</v>
      </c>
      <c r="AO6" s="107">
        <v>3.3306690738754701E-16</v>
      </c>
      <c r="AP6" s="107">
        <v>0.33333333333333331</v>
      </c>
      <c r="AQ6" s="107">
        <v>0.33333333333333331</v>
      </c>
      <c r="AR6" s="107">
        <f>SUM(Tabla_Jornada[[#This Row],[HORAS SABADO]:[DESCANSO SABADO]])</f>
        <v>0.66666666666666696</v>
      </c>
      <c r="AS6" s="109">
        <f>SUM(Tabla_Jornada[[#This Row],[HORAS DIA DE SEMANA]]*5,Tabla_Jornada[[#This Row],[HORAS SABADO]])</f>
        <v>1.666666666666667</v>
      </c>
      <c r="AT6" s="109">
        <v>0</v>
      </c>
      <c r="AU6" s="107" t="s">
        <v>458</v>
      </c>
    </row>
    <row r="7" spans="1:91" ht="16.8" customHeight="1" x14ac:dyDescent="0.3">
      <c r="A7" s="2">
        <v>4</v>
      </c>
      <c r="B7" s="177" t="s">
        <v>657</v>
      </c>
      <c r="C7" s="177" t="s">
        <v>660</v>
      </c>
      <c r="D7" s="1" t="s">
        <v>669</v>
      </c>
      <c r="E7" s="1" t="s">
        <v>673</v>
      </c>
      <c r="P7" s="320" t="s">
        <v>616</v>
      </c>
      <c r="Q7" s="330">
        <v>43916</v>
      </c>
      <c r="R7" s="335" t="s">
        <v>679</v>
      </c>
      <c r="T7" s="303">
        <v>4</v>
      </c>
      <c r="V7" s="303">
        <v>2021</v>
      </c>
      <c r="X7" s="6">
        <v>4</v>
      </c>
      <c r="Y7" s="6" t="s">
        <v>208</v>
      </c>
      <c r="AH7"/>
      <c r="AI7"/>
      <c r="AJ7" s="6" t="s">
        <v>550</v>
      </c>
      <c r="AK7" s="107">
        <v>0.33333333333333331</v>
      </c>
      <c r="AL7" s="107">
        <v>0.33333333333333331</v>
      </c>
      <c r="AM7" s="107">
        <v>4.1666666666666664E-2</v>
      </c>
      <c r="AN7" s="107">
        <f>SUM(Tabla_Jornada[[#This Row],[HORAS DIA DE SEMANA]:[DESCANSO]])</f>
        <v>0.70833333333333326</v>
      </c>
      <c r="AO7" s="107">
        <v>0.20833333333333301</v>
      </c>
      <c r="AP7" s="107">
        <v>0.33333333333333331</v>
      </c>
      <c r="AQ7" s="107">
        <v>4.1666666666666664E-2</v>
      </c>
      <c r="AR7" s="107">
        <f>SUM(Tabla_Jornada[[#This Row],[HORAS SABADO]:[DESCANSO SABADO]])</f>
        <v>0.58333333333333293</v>
      </c>
      <c r="AS7" s="109">
        <f>SUM(Tabla_Jornada[[#This Row],[HORAS DIA DE SEMANA]]*5,Tabla_Jornada[[#This Row],[HORAS SABADO]])</f>
        <v>1.8749999999999996</v>
      </c>
      <c r="AT7" s="109">
        <v>0</v>
      </c>
      <c r="AU7" s="107" t="s">
        <v>460</v>
      </c>
    </row>
    <row r="8" spans="1:91" ht="16.8" customHeight="1" x14ac:dyDescent="0.3">
      <c r="A8" s="2">
        <v>5</v>
      </c>
      <c r="B8" s="177" t="s">
        <v>658</v>
      </c>
      <c r="C8" s="177" t="s">
        <v>661</v>
      </c>
      <c r="D8" s="1" t="s">
        <v>670</v>
      </c>
      <c r="E8" s="1" t="s">
        <v>674</v>
      </c>
      <c r="G8" s="308"/>
      <c r="P8" s="320" t="s">
        <v>617</v>
      </c>
      <c r="Q8" s="330">
        <v>43931</v>
      </c>
      <c r="R8" s="335" t="s">
        <v>679</v>
      </c>
      <c r="T8" s="303">
        <v>5</v>
      </c>
      <c r="V8" s="303">
        <v>2022</v>
      </c>
      <c r="X8" s="6">
        <v>5</v>
      </c>
      <c r="Y8" s="6" t="s">
        <v>209</v>
      </c>
      <c r="AH8"/>
      <c r="AI8"/>
      <c r="AJ8" s="6" t="s">
        <v>704</v>
      </c>
      <c r="AK8" s="107">
        <v>0.29166666666666669</v>
      </c>
      <c r="AL8" s="107">
        <v>0.29166666666666669</v>
      </c>
      <c r="AM8" s="107">
        <v>4.1666666666666664E-2</v>
      </c>
      <c r="AN8" s="107">
        <f>SUM(Tabla_Jornada[[#This Row],[HORAS DIA DE SEMANA]:[DESCANSO]])</f>
        <v>0.625</v>
      </c>
      <c r="AO8" s="107">
        <v>0.22916666666666666</v>
      </c>
      <c r="AP8" s="107">
        <v>0.29166666666666669</v>
      </c>
      <c r="AQ8" s="107">
        <v>0</v>
      </c>
      <c r="AR8" s="107">
        <f>SUM(Tabla_Jornada[[#This Row],[HORAS SABADO]:[DESCANSO SABADO]])</f>
        <v>0.52083333333333337</v>
      </c>
      <c r="AS8" s="109">
        <f>SUM(Tabla_Jornada[[#This Row],[HORAS DIA DE SEMANA]]*5,Tabla_Jornada[[#This Row],[HORAS SABADO]])</f>
        <v>1.6875000000000002</v>
      </c>
      <c r="AT8" s="109">
        <v>0</v>
      </c>
      <c r="AU8" s="107" t="s">
        <v>501</v>
      </c>
    </row>
    <row r="9" spans="1:91" ht="16.8" customHeight="1" x14ac:dyDescent="0.3">
      <c r="A9" s="2">
        <v>6</v>
      </c>
      <c r="B9" s="177" t="s">
        <v>662</v>
      </c>
      <c r="C9" s="177" t="s">
        <v>665</v>
      </c>
      <c r="D9" s="1" t="s">
        <v>671</v>
      </c>
      <c r="E9" s="1" t="s">
        <v>675</v>
      </c>
      <c r="P9" s="320" t="s">
        <v>618</v>
      </c>
      <c r="Q9" s="330">
        <v>43936</v>
      </c>
      <c r="R9" s="335" t="s">
        <v>679</v>
      </c>
      <c r="T9" s="303">
        <v>6</v>
      </c>
      <c r="V9" s="303">
        <v>2023</v>
      </c>
      <c r="X9" s="6">
        <v>6</v>
      </c>
      <c r="Y9" s="6" t="s">
        <v>210</v>
      </c>
      <c r="AD9" s="303"/>
      <c r="AN9" s="303"/>
    </row>
    <row r="10" spans="1:91" ht="16.8" customHeight="1" x14ac:dyDescent="0.3">
      <c r="A10" s="2">
        <v>7</v>
      </c>
      <c r="B10" s="177" t="s">
        <v>663</v>
      </c>
      <c r="C10" s="177" t="s">
        <v>666</v>
      </c>
      <c r="D10" s="1" t="s">
        <v>669</v>
      </c>
      <c r="E10" s="1" t="s">
        <v>676</v>
      </c>
      <c r="P10" s="320" t="s">
        <v>620</v>
      </c>
      <c r="Q10" s="321" t="s">
        <v>552</v>
      </c>
      <c r="R10" s="336" t="s">
        <v>679</v>
      </c>
      <c r="T10" s="303">
        <v>7</v>
      </c>
      <c r="V10" s="303">
        <v>2024</v>
      </c>
      <c r="X10" s="6">
        <v>7</v>
      </c>
      <c r="Y10" s="6" t="s">
        <v>211</v>
      </c>
      <c r="AD10" s="303"/>
      <c r="AK10"/>
      <c r="AN10"/>
    </row>
    <row r="11" spans="1:91" ht="16.8" customHeight="1" x14ac:dyDescent="0.3">
      <c r="A11" s="2">
        <v>8</v>
      </c>
      <c r="B11" s="177" t="s">
        <v>664</v>
      </c>
      <c r="C11" s="177" t="s">
        <v>603</v>
      </c>
      <c r="D11" s="1" t="s">
        <v>671</v>
      </c>
      <c r="E11" s="1" t="s">
        <v>677</v>
      </c>
      <c r="P11" s="320" t="s">
        <v>619</v>
      </c>
      <c r="Q11" s="321" t="str">
        <f>CONCATENATE("DEL ",DAY(FECHA_HORAS),(IF(AND(DAY(FECHA_HORAS)=26,MONTH(FECHA_HORAS)=12),CONCATENATE(" DE ",VLOOKUP(MONTH(FECHA_HORAS),Tabla_Meses[],2,0)," DEL ",YEAR(FECHA_HORAS)),IF(DAY(FECHA_HORAS)=26,CONCATENATE(" DE ",VLOOKUP(MONTH(FECHA_HORAS),Tabla_Meses[],2,0)),"")))," AL ",(IF(DAY(FECHA_HORAS)=26,10,25))," DE ",(IF(DAY(FECHA_HORAS)=26,VLOOKUP(MONTH(FECHA_HORAS)+1,Tabla_Meses[],2,0),VLOOKUP(MONTH(FECHA_HORAS),Tabla_Meses[],2,0)))," DEL ",(IF(AND(DAY(FECHA_HORAS)=26,(MONTH(FECHA_HORAS)=12)),YEAR(FECHA_HORAS)+1,YEAR(FECHA_HORAS))))</f>
        <v>DEL 26 DE MARZO AL 10 DE ABRIL DEL 2020</v>
      </c>
      <c r="R11" s="336" t="s">
        <v>679</v>
      </c>
      <c r="T11" s="303">
        <v>8</v>
      </c>
      <c r="V11" s="303">
        <v>2025</v>
      </c>
      <c r="X11" s="6">
        <v>8</v>
      </c>
      <c r="Y11" s="6" t="s">
        <v>212</v>
      </c>
      <c r="AD11" s="303"/>
      <c r="AH11"/>
      <c r="AI11"/>
      <c r="AK11"/>
      <c r="AN11"/>
      <c r="AX11" s="23"/>
    </row>
    <row r="12" spans="1:91" ht="16.8" customHeight="1" thickBot="1" x14ac:dyDescent="0.35">
      <c r="A12" s="2">
        <v>9</v>
      </c>
      <c r="B12" s="177" t="s">
        <v>694</v>
      </c>
      <c r="C12" s="177" t="s">
        <v>697</v>
      </c>
      <c r="D12" s="1" t="s">
        <v>700</v>
      </c>
      <c r="E12" s="1" t="s">
        <v>703</v>
      </c>
      <c r="P12" s="322" t="s">
        <v>622</v>
      </c>
      <c r="Q12" s="324" t="s">
        <v>553</v>
      </c>
      <c r="R12" s="336" t="s">
        <v>679</v>
      </c>
      <c r="T12" s="303">
        <v>9</v>
      </c>
      <c r="V12" s="303">
        <v>2026</v>
      </c>
      <c r="X12" s="6">
        <v>9</v>
      </c>
      <c r="Y12" s="6" t="s">
        <v>213</v>
      </c>
      <c r="AD12" s="303"/>
      <c r="AH12"/>
      <c r="AI12"/>
      <c r="AJ12"/>
      <c r="AK12"/>
      <c r="AN12"/>
    </row>
    <row r="13" spans="1:91" ht="16.8" customHeight="1" x14ac:dyDescent="0.3">
      <c r="A13" s="2">
        <v>10</v>
      </c>
      <c r="B13" s="177" t="s">
        <v>695</v>
      </c>
      <c r="C13" s="177" t="s">
        <v>698</v>
      </c>
      <c r="D13" s="1" t="s">
        <v>668</v>
      </c>
      <c r="E13" s="1" t="s">
        <v>702</v>
      </c>
      <c r="P13" s="318"/>
      <c r="Q13" s="319"/>
      <c r="R13" s="333"/>
      <c r="T13" s="303">
        <v>10</v>
      </c>
      <c r="V13" s="303">
        <v>2027</v>
      </c>
      <c r="X13" s="6">
        <v>10</v>
      </c>
      <c r="Y13" s="6" t="s">
        <v>214</v>
      </c>
      <c r="AD13" s="303"/>
      <c r="AI13"/>
      <c r="AJ13"/>
      <c r="AK13"/>
      <c r="AN13"/>
    </row>
    <row r="14" spans="1:91" ht="16.8" customHeight="1" x14ac:dyDescent="0.3">
      <c r="A14" s="342">
        <v>11</v>
      </c>
      <c r="B14" s="177" t="s">
        <v>696</v>
      </c>
      <c r="C14" s="177" t="s">
        <v>699</v>
      </c>
      <c r="D14" s="1" t="s">
        <v>668</v>
      </c>
      <c r="E14" s="1" t="s">
        <v>701</v>
      </c>
      <c r="P14" s="312" t="s">
        <v>623</v>
      </c>
      <c r="Q14" s="329">
        <v>2.72</v>
      </c>
      <c r="R14" s="334"/>
      <c r="T14" s="303">
        <v>11</v>
      </c>
      <c r="V14" s="303">
        <v>2028</v>
      </c>
      <c r="X14" s="6">
        <v>11</v>
      </c>
      <c r="Y14" s="6" t="s">
        <v>215</v>
      </c>
      <c r="AD14" s="303"/>
      <c r="AI14"/>
      <c r="AJ14"/>
      <c r="AN14"/>
    </row>
    <row r="15" spans="1:91" ht="16.8" customHeight="1" x14ac:dyDescent="0.3">
      <c r="P15" s="320" t="s">
        <v>624</v>
      </c>
      <c r="Q15" s="321">
        <v>12</v>
      </c>
      <c r="R15" s="336" t="s">
        <v>679</v>
      </c>
      <c r="T15" s="303">
        <v>12</v>
      </c>
      <c r="V15" s="303">
        <v>2029</v>
      </c>
      <c r="X15" s="6">
        <v>12</v>
      </c>
      <c r="Y15" s="6" t="s">
        <v>216</v>
      </c>
      <c r="AD15" s="303"/>
      <c r="AI15"/>
      <c r="AJ15"/>
      <c r="AN15"/>
    </row>
    <row r="16" spans="1:91" ht="16.8" customHeight="1" x14ac:dyDescent="0.3">
      <c r="P16" s="320" t="s">
        <v>625</v>
      </c>
      <c r="Q16" s="321">
        <v>52</v>
      </c>
      <c r="R16" s="336" t="s">
        <v>679</v>
      </c>
      <c r="V16" s="303">
        <v>2030</v>
      </c>
      <c r="X16" s="6">
        <v>13</v>
      </c>
      <c r="Y16" s="6" t="s">
        <v>203</v>
      </c>
      <c r="AD16" s="303"/>
      <c r="AI16"/>
      <c r="AJ16"/>
      <c r="CJ16" s="30"/>
      <c r="CK16" s="30"/>
      <c r="CL16" s="30"/>
      <c r="CM16" s="30"/>
    </row>
    <row r="17" spans="8:91" ht="16.8" customHeight="1" thickBot="1" x14ac:dyDescent="0.35">
      <c r="H17" s="307"/>
      <c r="P17" s="322" t="s">
        <v>626</v>
      </c>
      <c r="Q17" s="323">
        <f>Q16/Q15</f>
        <v>4.333333333333333</v>
      </c>
      <c r="R17" s="337" t="s">
        <v>679</v>
      </c>
      <c r="CJ17" s="30"/>
      <c r="CK17" s="30"/>
      <c r="CL17" s="30"/>
      <c r="CM17" s="30"/>
    </row>
    <row r="18" spans="8:91" ht="16.8" customHeight="1" x14ac:dyDescent="0.3">
      <c r="P18" s="318"/>
      <c r="Q18" s="319"/>
      <c r="R18" s="333"/>
      <c r="CK18" s="30"/>
      <c r="CL18" s="30"/>
      <c r="CM18" s="30"/>
    </row>
    <row r="19" spans="8:91" ht="16.8" customHeight="1" x14ac:dyDescent="0.3">
      <c r="P19" s="312" t="s">
        <v>628</v>
      </c>
      <c r="Q19" s="327">
        <v>4.1666666666666666E-3</v>
      </c>
      <c r="R19" s="338" t="s">
        <v>680</v>
      </c>
      <c r="CK19" s="30"/>
      <c r="CL19" s="128"/>
      <c r="CM19" s="30"/>
    </row>
    <row r="20" spans="8:91" ht="16.8" customHeight="1" x14ac:dyDescent="0.3">
      <c r="P20" s="312" t="s">
        <v>627</v>
      </c>
      <c r="Q20" s="327">
        <v>1.0416666666666666E-2</v>
      </c>
      <c r="R20" s="338" t="s">
        <v>680</v>
      </c>
      <c r="CK20" s="30"/>
      <c r="CL20" s="128"/>
      <c r="CM20" s="30"/>
    </row>
    <row r="21" spans="8:91" ht="16.8" customHeight="1" x14ac:dyDescent="0.3">
      <c r="P21" s="312" t="s">
        <v>650</v>
      </c>
      <c r="Q21" s="327">
        <v>0.41666666666666669</v>
      </c>
      <c r="R21" s="338" t="s">
        <v>687</v>
      </c>
      <c r="AS21" s="115"/>
      <c r="AY21" s="117"/>
      <c r="AZ21" s="118"/>
      <c r="BB21" s="117"/>
      <c r="CK21" s="30"/>
      <c r="CL21" s="128"/>
      <c r="CM21" s="30"/>
    </row>
    <row r="22" spans="8:91" ht="16.8" customHeight="1" thickBot="1" x14ac:dyDescent="0.35">
      <c r="P22" s="317" t="s">
        <v>629</v>
      </c>
      <c r="Q22" s="328">
        <v>0.1875</v>
      </c>
      <c r="R22" s="338" t="s">
        <v>687</v>
      </c>
      <c r="AZ22" s="118"/>
    </row>
    <row r="23" spans="8:91" ht="16.8" customHeight="1" x14ac:dyDescent="0.3">
      <c r="P23" s="318"/>
      <c r="Q23" s="319"/>
      <c r="R23" s="333"/>
    </row>
    <row r="24" spans="8:91" ht="16.8" customHeight="1" x14ac:dyDescent="0.3">
      <c r="P24" s="320" t="s">
        <v>630</v>
      </c>
      <c r="Q24" s="321">
        <v>0</v>
      </c>
      <c r="R24" s="336" t="s">
        <v>680</v>
      </c>
      <c r="CG24" s="2"/>
    </row>
    <row r="25" spans="8:91" ht="16.8" customHeight="1" x14ac:dyDescent="0.3">
      <c r="P25" s="320" t="s">
        <v>631</v>
      </c>
      <c r="Q25" s="321">
        <v>0</v>
      </c>
      <c r="R25" s="336" t="s">
        <v>680</v>
      </c>
      <c r="CG25" s="2"/>
    </row>
    <row r="26" spans="8:91" ht="16.8" customHeight="1" x14ac:dyDescent="0.3">
      <c r="P26" s="320" t="s">
        <v>632</v>
      </c>
      <c r="Q26" s="321">
        <v>0</v>
      </c>
      <c r="R26" s="336" t="s">
        <v>680</v>
      </c>
    </row>
    <row r="27" spans="8:91" ht="16.8" customHeight="1" x14ac:dyDescent="0.3">
      <c r="P27" s="320" t="s">
        <v>633</v>
      </c>
      <c r="Q27" s="321">
        <v>0</v>
      </c>
      <c r="R27" s="336" t="s">
        <v>680</v>
      </c>
      <c r="AT27" s="116"/>
    </row>
    <row r="28" spans="8:91" ht="16.8" customHeight="1" thickBot="1" x14ac:dyDescent="0.35">
      <c r="P28" s="322" t="s">
        <v>634</v>
      </c>
      <c r="Q28" s="324">
        <v>0</v>
      </c>
      <c r="R28" s="336" t="s">
        <v>680</v>
      </c>
      <c r="AU28" s="115"/>
    </row>
    <row r="29" spans="8:91" ht="16.8" customHeight="1" x14ac:dyDescent="0.3">
      <c r="P29" s="312"/>
      <c r="Q29" s="316"/>
      <c r="R29" s="339"/>
    </row>
    <row r="30" spans="8:91" ht="16.8" customHeight="1" x14ac:dyDescent="0.3">
      <c r="P30" s="320" t="s">
        <v>635</v>
      </c>
      <c r="Q30" s="321" t="s">
        <v>405</v>
      </c>
      <c r="R30" s="336" t="s">
        <v>679</v>
      </c>
      <c r="BY30" s="30"/>
      <c r="BZ30" s="30"/>
      <c r="CA30" s="30"/>
    </row>
    <row r="31" spans="8:91" ht="16.8" customHeight="1" x14ac:dyDescent="0.3">
      <c r="P31" s="320" t="s">
        <v>636</v>
      </c>
      <c r="Q31" s="321" t="s">
        <v>406</v>
      </c>
      <c r="R31" s="336" t="s">
        <v>679</v>
      </c>
      <c r="BY31" s="30"/>
      <c r="BZ31" s="30"/>
      <c r="CA31" s="30"/>
    </row>
    <row r="32" spans="8:91" ht="16.8" customHeight="1" x14ac:dyDescent="0.3">
      <c r="P32" s="320" t="s">
        <v>637</v>
      </c>
      <c r="Q32" s="321" t="s">
        <v>357</v>
      </c>
      <c r="R32" s="336" t="s">
        <v>679</v>
      </c>
      <c r="BQ32"/>
      <c r="BR32"/>
      <c r="BY32" s="30"/>
      <c r="BZ32" s="30"/>
      <c r="CA32" s="30"/>
    </row>
    <row r="33" spans="7:79" ht="16.8" customHeight="1" x14ac:dyDescent="0.3">
      <c r="P33" s="320" t="s">
        <v>638</v>
      </c>
      <c r="Q33" s="321" t="s">
        <v>358</v>
      </c>
      <c r="R33" s="336" t="s">
        <v>679</v>
      </c>
      <c r="AI33"/>
      <c r="AJ33"/>
      <c r="AK33"/>
      <c r="BY33" s="30"/>
      <c r="BZ33" s="30"/>
      <c r="CA33" s="30"/>
    </row>
    <row r="34" spans="7:79" ht="16.8" customHeight="1" x14ac:dyDescent="0.3">
      <c r="G34"/>
      <c r="H34"/>
      <c r="P34" s="320" t="s">
        <v>639</v>
      </c>
      <c r="Q34" s="321" t="s">
        <v>8</v>
      </c>
      <c r="R34" s="336" t="s">
        <v>679</v>
      </c>
      <c r="S34" s="2"/>
      <c r="BY34" s="30"/>
      <c r="BZ34" s="30"/>
      <c r="CA34" s="30"/>
    </row>
    <row r="35" spans="7:79" ht="16.8" customHeight="1" x14ac:dyDescent="0.3">
      <c r="G35"/>
      <c r="P35" s="320" t="s">
        <v>640</v>
      </c>
      <c r="Q35" s="321" t="s">
        <v>285</v>
      </c>
      <c r="R35" s="336" t="s">
        <v>679</v>
      </c>
      <c r="AT35" s="117"/>
      <c r="BY35" s="30"/>
      <c r="BZ35" s="30"/>
      <c r="CA35" s="30"/>
    </row>
    <row r="36" spans="7:79" ht="16.8" customHeight="1" x14ac:dyDescent="0.3">
      <c r="G36"/>
      <c r="P36" s="320" t="s">
        <v>641</v>
      </c>
      <c r="Q36" s="321" t="s">
        <v>245</v>
      </c>
      <c r="R36" s="336" t="s">
        <v>679</v>
      </c>
    </row>
    <row r="37" spans="7:79" ht="16.8" customHeight="1" x14ac:dyDescent="0.3">
      <c r="G37"/>
      <c r="P37" s="320" t="s">
        <v>642</v>
      </c>
      <c r="Q37" s="321" t="s">
        <v>325</v>
      </c>
      <c r="R37" s="336" t="s">
        <v>679</v>
      </c>
    </row>
    <row r="38" spans="7:79" ht="16.8" customHeight="1" x14ac:dyDescent="0.3">
      <c r="G38"/>
      <c r="P38" s="320" t="s">
        <v>643</v>
      </c>
      <c r="Q38" s="321" t="s">
        <v>174</v>
      </c>
      <c r="R38" s="336" t="s">
        <v>679</v>
      </c>
    </row>
    <row r="39" spans="7:79" ht="16.8" customHeight="1" x14ac:dyDescent="0.3">
      <c r="G39"/>
      <c r="P39" s="320" t="s">
        <v>644</v>
      </c>
      <c r="Q39" s="321" t="s">
        <v>238</v>
      </c>
      <c r="R39" s="336" t="s">
        <v>679</v>
      </c>
      <c r="S39" s="2"/>
    </row>
    <row r="40" spans="7:79" ht="16.8" customHeight="1" x14ac:dyDescent="0.3">
      <c r="G40"/>
      <c r="H40"/>
      <c r="P40" s="320" t="s">
        <v>645</v>
      </c>
      <c r="Q40" s="321" t="s">
        <v>493</v>
      </c>
      <c r="R40" s="336" t="s">
        <v>679</v>
      </c>
      <c r="S40" s="2"/>
    </row>
    <row r="41" spans="7:79" ht="16.8" customHeight="1" x14ac:dyDescent="0.3">
      <c r="G41"/>
      <c r="H41"/>
      <c r="P41" s="320" t="s">
        <v>646</v>
      </c>
      <c r="Q41" s="321" t="s">
        <v>455</v>
      </c>
      <c r="R41" s="336" t="s">
        <v>679</v>
      </c>
      <c r="S41" s="2"/>
    </row>
    <row r="42" spans="7:79" ht="16.8" customHeight="1" thickBot="1" x14ac:dyDescent="0.35">
      <c r="G42"/>
      <c r="H42"/>
      <c r="P42" s="320" t="s">
        <v>647</v>
      </c>
      <c r="Q42" s="321" t="s">
        <v>456</v>
      </c>
      <c r="R42" s="336" t="s">
        <v>679</v>
      </c>
      <c r="S42" s="2"/>
    </row>
    <row r="43" spans="7:79" ht="16.8" customHeight="1" x14ac:dyDescent="0.3">
      <c r="G43" s="30"/>
      <c r="H43"/>
      <c r="P43" s="318"/>
      <c r="Q43" s="319"/>
      <c r="R43" s="333"/>
      <c r="S43" s="2"/>
    </row>
    <row r="44" spans="7:79" ht="16.8" customHeight="1" x14ac:dyDescent="0.3">
      <c r="G44" s="109"/>
      <c r="H44"/>
      <c r="P44" s="312" t="s">
        <v>682</v>
      </c>
      <c r="Q44" s="325">
        <v>0</v>
      </c>
      <c r="R44" s="340" t="s">
        <v>681</v>
      </c>
      <c r="S44" s="2"/>
      <c r="AH44"/>
    </row>
    <row r="45" spans="7:79" ht="16.8" customHeight="1" x14ac:dyDescent="0.3">
      <c r="G45" s="109"/>
      <c r="H45"/>
      <c r="P45" s="312" t="s">
        <v>683</v>
      </c>
      <c r="Q45" s="325">
        <v>0</v>
      </c>
      <c r="R45" s="340" t="s">
        <v>681</v>
      </c>
      <c r="S45" s="2"/>
    </row>
    <row r="46" spans="7:79" ht="16.8" customHeight="1" x14ac:dyDescent="0.3">
      <c r="G46" s="109"/>
      <c r="H46"/>
      <c r="P46" s="312" t="s">
        <v>684</v>
      </c>
      <c r="Q46" s="325">
        <v>0</v>
      </c>
      <c r="R46" s="340" t="s">
        <v>681</v>
      </c>
      <c r="S46" s="2"/>
      <c r="AA46" s="30"/>
      <c r="AB46" s="30"/>
    </row>
    <row r="47" spans="7:79" ht="16.8" customHeight="1" x14ac:dyDescent="0.3">
      <c r="G47" s="109"/>
      <c r="H47"/>
      <c r="P47" s="312" t="s">
        <v>685</v>
      </c>
      <c r="Q47" s="325">
        <v>0</v>
      </c>
      <c r="R47" s="340" t="s">
        <v>681</v>
      </c>
      <c r="S47" s="2"/>
      <c r="U47" s="23"/>
      <c r="V47" s="23"/>
      <c r="Y47" s="30"/>
      <c r="Z47" s="30"/>
    </row>
    <row r="48" spans="7:79" ht="16.8" customHeight="1" thickBot="1" x14ac:dyDescent="0.35">
      <c r="G48" s="109"/>
      <c r="H48"/>
      <c r="P48" s="317" t="s">
        <v>686</v>
      </c>
      <c r="Q48" s="326">
        <v>0</v>
      </c>
      <c r="R48" s="341" t="s">
        <v>681</v>
      </c>
      <c r="S48" s="2"/>
      <c r="U48" s="23"/>
    </row>
    <row r="49" spans="7:29" ht="16.8" customHeight="1" x14ac:dyDescent="0.3">
      <c r="G49" s="109"/>
      <c r="H49"/>
      <c r="S49" s="2"/>
    </row>
    <row r="50" spans="7:29" ht="16.8" customHeight="1" x14ac:dyDescent="0.3">
      <c r="G50" s="109"/>
      <c r="H50"/>
      <c r="P50"/>
      <c r="Q50" s="313"/>
      <c r="R50" s="313"/>
      <c r="S50" s="2"/>
    </row>
    <row r="51" spans="7:29" ht="16.8" customHeight="1" x14ac:dyDescent="0.3">
      <c r="G51" s="109"/>
      <c r="H51"/>
      <c r="P51"/>
      <c r="Q51" s="313"/>
      <c r="R51" s="313"/>
      <c r="S51" s="2"/>
    </row>
    <row r="52" spans="7:29" ht="16.8" customHeight="1" x14ac:dyDescent="0.3">
      <c r="G52" s="109"/>
      <c r="H52"/>
      <c r="P52"/>
      <c r="Q52" s="313"/>
      <c r="R52" s="313"/>
      <c r="S52" s="2"/>
      <c r="AC52" s="126"/>
    </row>
    <row r="53" spans="7:29" ht="16.8" customHeight="1" x14ac:dyDescent="0.3">
      <c r="G53"/>
      <c r="H53"/>
      <c r="P53"/>
      <c r="Q53" s="313"/>
      <c r="R53" s="313"/>
      <c r="S53" s="2"/>
      <c r="AA53" s="30"/>
      <c r="AB53" s="30"/>
      <c r="AC53" s="126"/>
    </row>
    <row r="54" spans="7:29" ht="16.8" customHeight="1" x14ac:dyDescent="0.3">
      <c r="G54"/>
      <c r="H54"/>
      <c r="P54"/>
      <c r="Q54" s="313"/>
      <c r="R54" s="313"/>
      <c r="S54" s="2"/>
      <c r="Z54" s="30"/>
    </row>
    <row r="55" spans="7:29" ht="16.8" customHeight="1" x14ac:dyDescent="0.3">
      <c r="G55"/>
      <c r="H55"/>
      <c r="P55"/>
      <c r="Q55" s="313"/>
      <c r="R55" s="313"/>
      <c r="S55" s="2"/>
    </row>
    <row r="56" spans="7:29" ht="16.8" customHeight="1" x14ac:dyDescent="0.3">
      <c r="G56"/>
      <c r="H56"/>
      <c r="P56"/>
      <c r="Q56" s="2"/>
      <c r="R56" s="2"/>
      <c r="S56" s="2"/>
    </row>
    <row r="57" spans="7:29" ht="16.8" customHeight="1" x14ac:dyDescent="0.3">
      <c r="G57"/>
      <c r="H57"/>
      <c r="P57"/>
      <c r="Q57" s="2"/>
      <c r="R57" s="2"/>
      <c r="S57" s="2"/>
    </row>
    <row r="58" spans="7:29" ht="16.8" customHeight="1" x14ac:dyDescent="0.3">
      <c r="G58"/>
      <c r="H58"/>
      <c r="P58"/>
      <c r="Q58" s="2"/>
      <c r="R58" s="2"/>
      <c r="S58" s="2"/>
      <c r="AA58" s="128"/>
      <c r="AB58" s="30"/>
    </row>
    <row r="59" spans="7:29" ht="16.8" customHeight="1" x14ac:dyDescent="0.3">
      <c r="G59"/>
      <c r="H59"/>
      <c r="P59"/>
      <c r="Q59" s="2"/>
      <c r="R59" s="2"/>
      <c r="S59" s="2"/>
      <c r="Z59" s="128"/>
      <c r="AA59" s="128"/>
      <c r="AB59" s="30"/>
    </row>
    <row r="60" spans="7:29" ht="16.8" customHeight="1" x14ac:dyDescent="0.3">
      <c r="G60"/>
      <c r="H60"/>
      <c r="P60"/>
      <c r="Q60" s="2"/>
      <c r="R60" s="2"/>
      <c r="S60" s="2"/>
      <c r="Z60" s="30"/>
      <c r="AA60" s="128"/>
      <c r="AB60" s="30"/>
    </row>
    <row r="61" spans="7:29" ht="16.8" customHeight="1" x14ac:dyDescent="0.3">
      <c r="G61"/>
      <c r="H61"/>
      <c r="P61"/>
      <c r="Q61" s="2"/>
      <c r="R61" s="2"/>
      <c r="S61" s="2"/>
      <c r="Z61" s="30"/>
      <c r="AA61" s="128"/>
      <c r="AB61" s="30"/>
    </row>
    <row r="62" spans="7:29" x14ac:dyDescent="0.3">
      <c r="G62"/>
      <c r="H62"/>
      <c r="P62"/>
      <c r="Q62" s="2"/>
      <c r="R62" s="2"/>
      <c r="S62" s="2"/>
      <c r="Z62" s="30"/>
    </row>
    <row r="63" spans="7:29" x14ac:dyDescent="0.3">
      <c r="P63"/>
      <c r="Q63" s="2"/>
      <c r="R63" s="2"/>
    </row>
    <row r="64" spans="7:29" x14ac:dyDescent="0.3">
      <c r="P64"/>
      <c r="Q64" s="2"/>
      <c r="R64" s="2"/>
    </row>
  </sheetData>
  <dataValidations disablePrompts="1" count="1">
    <dataValidation type="date" operator="greaterThan" allowBlank="1" showInputMessage="1" showErrorMessage="1" sqref="G4">
      <formula1>43465</formula1>
    </dataValidation>
  </dataValidations>
  <pageMargins left="0.7" right="0.7" top="0.75" bottom="0.75" header="0.3" footer="0.3"/>
  <pageSetup scale="45" fitToWidth="0" orientation="landscape" horizontalDpi="300" verticalDpi="300" r:id="rId1"/>
  <legacy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UI/_rels/customUI14.xml.rels><?xml version="1.0" encoding="UTF-8" standalone="yes"?>
<Relationships xmlns="http://schemas.openxmlformats.org/package/2006/relationships"><Relationship Id="Barcode_32" Type="http://schemas.openxmlformats.org/officeDocument/2006/relationships/image" Target="images/Barcode_32.ico"/><Relationship Id="Nota_48" Type="http://schemas.openxmlformats.org/officeDocument/2006/relationships/image" Target="images/Nota_48.ico"/><Relationship Id="dirigible" Type="http://schemas.openxmlformats.org/officeDocument/2006/relationships/image" Target="images/dirigible.ico"/><Relationship Id="Test_32" Type="http://schemas.openxmlformats.org/officeDocument/2006/relationships/image" Target="images/Test_32.ico"/><Relationship Id="code" Type="http://schemas.openxmlformats.org/officeDocument/2006/relationships/image" Target="images/code.ico"/><Relationship Id="Calendar2_32" Type="http://schemas.openxmlformats.org/officeDocument/2006/relationships/image" Target="images/Calendar2_32.ico"/><Relationship Id="User_Info_32" Type="http://schemas.openxmlformats.org/officeDocument/2006/relationships/image" Target="images/User_Info_32.ico"/><Relationship Id="Calendario_32" Type="http://schemas.openxmlformats.org/officeDocument/2006/relationships/image" Target="images/Calendario_32.ico"/><Relationship Id="Clock_32" Type="http://schemas.openxmlformats.org/officeDocument/2006/relationships/image" Target="images/Clock_32.ico"/><Relationship Id="tema_32" Type="http://schemas.openxmlformats.org/officeDocument/2006/relationships/image" Target="images/tema_32.ico"/><Relationship Id="User_Remove_32" Type="http://schemas.openxmlformats.org/officeDocument/2006/relationships/image" Target="images/User_Remove_32.ico"/><Relationship Id="Con_32" Type="http://schemas.openxmlformats.org/officeDocument/2006/relationships/image" Target="images/Con_32.ico"/><Relationship Id="Comi1" Type="http://schemas.openxmlformats.org/officeDocument/2006/relationships/image" Target="images/Comi1.ico"/><Relationship Id="ticket" Type="http://schemas.openxmlformats.org/officeDocument/2006/relationships/image" Target="images/ticket.ico"/><Relationship Id="monton" Type="http://schemas.openxmlformats.org/officeDocument/2006/relationships/image" Target="images/monton.ico"/><Relationship Id="Save_32" Type="http://schemas.openxmlformats.org/officeDocument/2006/relationships/image" Target="images/Save_32.ico"/><Relationship Id="Tabla_48" Type="http://schemas.openxmlformats.org/officeDocument/2006/relationships/image" Target="images/Tabla_48.ico"/><Relationship Id="denegar" Type="http://schemas.openxmlformats.org/officeDocument/2006/relationships/image" Target="images/denegar.ico"/><Relationship Id="pad" Type="http://schemas.openxmlformats.org/officeDocument/2006/relationships/image" Target="images/pad.ico"/><Relationship Id="List_32" Type="http://schemas.openxmlformats.org/officeDocument/2006/relationships/image" Target="images/List_32.ico"/><Relationship Id="Wi1" Type="http://schemas.openxmlformats.org/officeDocument/2006/relationships/image" Target="images/Wi1.ico"/><Relationship Id="corazon" Type="http://schemas.openxmlformats.org/officeDocument/2006/relationships/image" Target="images/corazon.ico"/><Relationship Id="Change_32" Type="http://schemas.openxmlformats.org/officeDocument/2006/relationships/image" Target="images/Change_32.ico"/><Relationship Id="Map_32" Type="http://schemas.openxmlformats.org/officeDocument/2006/relationships/image" Target="images/Map_32.ico"/><Relationship Id="Tienda_32" Type="http://schemas.openxmlformats.org/officeDocument/2006/relationships/image" Target="images/Tienda_32.ico"/><Relationship Id="Llaves_48" Type="http://schemas.openxmlformats.org/officeDocument/2006/relationships/image" Target="images/Llaves_48.ico"/><Relationship Id="Id_32" Type="http://schemas.openxmlformats.org/officeDocument/2006/relationships/image" Target="images/Id_32.ico"/><Relationship Id="tiempo" Type="http://schemas.openxmlformats.org/officeDocument/2006/relationships/image" Target="images/tiempo.ico"/><Relationship Id="persona" Type="http://schemas.openxmlformats.org/officeDocument/2006/relationships/image" Target="images/persona.ico"/><Relationship Id="base" Type="http://schemas.openxmlformats.org/officeDocument/2006/relationships/image" Target="images/base.ico"/><Relationship Id="docu" Type="http://schemas.openxmlformats.org/officeDocument/2006/relationships/image" Target="images/docu.ico"/><Relationship Id="jornada" Type="http://schemas.openxmlformats.org/officeDocument/2006/relationships/image" Target="images/jornada.ico"/><Relationship Id="guardar" Type="http://schemas.openxmlformats.org/officeDocument/2006/relationships/image" Target="images/guardar.ico"/><Relationship Id="perfil" Type="http://schemas.openxmlformats.org/officeDocument/2006/relationships/image" Target="images/perfil.ico"/><Relationship Id="libre_32" Type="http://schemas.openxmlformats.org/officeDocument/2006/relationships/image" Target="images/libre_32.ico"/><Relationship Id="completo_32" Type="http://schemas.openxmlformats.org/officeDocument/2006/relationships/image" Target="images/completo_32.ico"/><Relationship Id="banco" Type="http://schemas.openxmlformats.org/officeDocument/2006/relationships/image" Target="images/banco.ico"/><Relationship Id="reporte" Type="http://schemas.openxmlformats.org/officeDocument/2006/relationships/image" Target="images/reporte.ico"/><Relationship Id="agendar" Type="http://schemas.openxmlformats.org/officeDocument/2006/relationships/image" Target="images/agendar.ico"/><Relationship Id="viajar" Type="http://schemas.openxmlformats.org/officeDocument/2006/relationships/image" Target="images/viajar.ico"/><Relationship Id="not" Type="http://schemas.openxmlformats.org/officeDocument/2006/relationships/image" Target="images/not.ico"/><Relationship Id="Import_32" Type="http://schemas.openxmlformats.org/officeDocument/2006/relationships/image" Target="images/Import_32.ico"/><Relationship Id="House_32" Type="http://schemas.openxmlformats.org/officeDocument/2006/relationships/image" Target="images/House_32.ico"/><Relationship Id="User_New_32" Type="http://schemas.openxmlformats.org/officeDocument/2006/relationships/image" Target="images/User_New_32.ico"/><Relationship Id="Codigo_32" Type="http://schemas.openxmlformats.org/officeDocument/2006/relationships/image" Target="images/Codigo_32.ico"/><Relationship Id="abono" Type="http://schemas.openxmlformats.org/officeDocument/2006/relationships/image" Target="images/abono.ico"/><Relationship Id="arena" Type="http://schemas.openxmlformats.org/officeDocument/2006/relationships/image" Target="images/arena.ico"/><Relationship Id="aprobar" Type="http://schemas.openxmlformats.org/officeDocument/2006/relationships/image" Target="images/aprobar.ico"/><Relationship Id="presta" Type="http://schemas.openxmlformats.org/officeDocument/2006/relationships/image" Target="images/presta.ico"/><Relationship Id="User_Warning_32" Type="http://schemas.openxmlformats.org/officeDocument/2006/relationships/image" Target="images/User_Warning_32.ico"/><Relationship Id="Book_32" Type="http://schemas.openxmlformats.org/officeDocument/2006/relationships/image" Target="images/Book_32.ico"/><Relationship Id="comi2" Type="http://schemas.openxmlformats.org/officeDocument/2006/relationships/image" Target="images/comi2.ico"/><Relationship Id="ajuste" Type="http://schemas.openxmlformats.org/officeDocument/2006/relationships/image" Target="images/ajuste.ico"/><Relationship Id="Delete_32" Type="http://schemas.openxmlformats.org/officeDocument/2006/relationships/image" Target="images/Delete_32.ico"/><Relationship Id="Contacto_32" Type="http://schemas.openxmlformats.org/officeDocument/2006/relationships/image" Target="images/Contacto_32.ico"/><Relationship Id="bandera_32" Type="http://schemas.openxmlformats.org/officeDocument/2006/relationships/image" Target="images/bandera_32.ico"/><Relationship Id="file_32" Type="http://schemas.openxmlformats.org/officeDocument/2006/relationships/image" Target="images/file_32.ico"/><Relationship Id="cal_3" Type="http://schemas.openxmlformats.org/officeDocument/2006/relationships/image" Target="images/cal_3.ico"/><Relationship Id="cohete" Type="http://schemas.openxmlformats.org/officeDocument/2006/relationships/image" Target="images/cohete.ico"/><Relationship Id="mochila" Type="http://schemas.openxmlformats.org/officeDocument/2006/relationships/image" Target="images/mochila.ico"/><Relationship Id="cale" Type="http://schemas.openxmlformats.org/officeDocument/2006/relationships/image" Target="images/cale.ico"/><Relationship Id="compu" Type="http://schemas.openxmlformats.org/officeDocument/2006/relationships/image" Target="images/compu.ico"/><Relationship Id="pin" Type="http://schemas.openxmlformats.org/officeDocument/2006/relationships/image" Target="images/pin.ico"/><Relationship Id="User_Edit_32" Type="http://schemas.openxmlformats.org/officeDocument/2006/relationships/image" Target="images/User_Edit_32.ico"/><Relationship Id="Pago_32" Type="http://schemas.openxmlformats.org/officeDocument/2006/relationships/image" Target="images/Pago_32.ico"/><Relationship Id="id1" Type="http://schemas.openxmlformats.org/officeDocument/2006/relationships/image" Target="images/id1.ico"/><Relationship Id="calendario" Type="http://schemas.openxmlformats.org/officeDocument/2006/relationships/image" Target="images/calendario.ico"/><Relationship Id="inicio" Type="http://schemas.openxmlformats.org/officeDocument/2006/relationships/image" Target="images/inicio.ico"/><Relationship Id="libro" Type="http://schemas.openxmlformats.org/officeDocument/2006/relationships/image" Target="images/libro.ico"/><Relationship Id="cut" Type="http://schemas.openxmlformats.org/officeDocument/2006/relationships/image" Target="images/cut.ico"/><Relationship Id="Arrow_32" Type="http://schemas.openxmlformats.org/officeDocument/2006/relationships/image" Target="images/Arrow_32.ico"/><Relationship Id="Calendar_32" Type="http://schemas.openxmlformats.org/officeDocument/2006/relationships/image" Target="images/Calendar_32.ico"/><Relationship Id="male-user-add_25347" Type="http://schemas.openxmlformats.org/officeDocument/2006/relationships/image" Target="images/male-user-add_25347.ico"/><Relationship Id="Importar_32" Type="http://schemas.openxmlformats.org/officeDocument/2006/relationships/image" Target="images/Importar_32.ico"/><Relationship Id="Id2" Type="http://schemas.openxmlformats.org/officeDocument/2006/relationships/image" Target="images/Id2.ico"/><Relationship Id="cal_1" Type="http://schemas.openxmlformats.org/officeDocument/2006/relationships/image" Target="images/cal_1.ico"/><Relationship Id="viatico" Type="http://schemas.openxmlformats.org/officeDocument/2006/relationships/image" Target="images/viatico.ico"/><Relationship Id="bloquear" Type="http://schemas.openxmlformats.org/officeDocument/2006/relationships/image" Target="images/bloquear.ico"/><Relationship Id="modificar" Type="http://schemas.openxmlformats.org/officeDocument/2006/relationships/image" Target="images/modificar.ico"/><Relationship Id="bill" Type="http://schemas.openxmlformats.org/officeDocument/2006/relationships/image" Target="images/bill.ico"/><Relationship Id="fusio" Type="http://schemas.openxmlformats.org/officeDocument/2006/relationships/image" Target="images/fusio.ico"/><Relationship Id="Abono_32" Type="http://schemas.openxmlformats.org/officeDocument/2006/relationships/image" Target="images/Abono_32.ico"/><Relationship Id="excel1" Type="http://schemas.openxmlformats.org/officeDocument/2006/relationships/image" Target="images/excel1.ico"/><Relationship Id="bar1" Type="http://schemas.openxmlformats.org/officeDocument/2006/relationships/image" Target="images/bar1.ico"/><Relationship Id="des" Type="http://schemas.openxmlformats.org/officeDocument/2006/relationships/image" Target="images/des.ico"/><Relationship Id="winrar" Type="http://schemas.openxmlformats.org/officeDocument/2006/relationships/image" Target="images/winrar.ico"/><Relationship Id="memoria" Type="http://schemas.openxmlformats.org/officeDocument/2006/relationships/image" Target="images/memoria.ico"/></Relationships>
</file>

<file path=customUI/customUI14.xml><?xml version="1.0" encoding="utf-8"?>
<customUI xmlns="http://schemas.microsoft.com/office/2009/07/customui" onLoad="Ribbon.CargarCinta">
  <ribbon startFromScratch="false">
    <tabs>
      <tab id="Tab1" label="Recursos Humanos">
        <group id="Group1" label="Gestor">
          <button id="Button1" label="Principal" image="Tienda_32" size="large" getEnabled="Ribbon.DesactivarBoton1" onAction="Boton1"/>
        </group>
        <group id="Group2" label="Datos">
          <button id="Button2" label="Personal" image="Contacto_32" size="large" getEnabled="Ribbon.DesactivarBoton2" onAction="Boton2"/>
          <menu id="Menu1" label="Horas" size="large" itemSize="large" image="Clock_32">
            <button id="Button25" label="Registrar Hora" image="tiempo" onAction="Boton25"/>
            <button id="Button26" label="Importar Datos" image="memoria" onAction="Boton26"/>
          </menu>
        </group>
        <group id="Group3" label="Ingresos / Egresos">
          <button id="Button27" label="Comision" image="bill" size="large" onAction="Boton27"/>
          <button id="Button7" label="Ajuste" image="cal_1" size="large" getEnabled="Ribbon.DesactivarBoton7" onAction="Boton7"/>
          <button id="Button4" label="Viatico" image="mochila" size="large" getEnabled="Ribbon.DesactivarBoton4" onAction="Boton4"/>
        </group>
        <group id="Group4" label="Jornada">
          <button id="Button8" label="Jornada" image="bar1" size="large" getEnabled="Ribbon.DesactivarBoton8" onAction="Boton8"/>
          <button id="Button9" label="Calendario" image="Calendario_32" size="large" getEnabled="Ribbon.DesactivarBoton9" onAction="Boton9"/>
          <button id="Button39" label="Incapacidad" image="cale" size="large" onAction="Boton39"/>
        </group>
        <group id="Group5" label="Reportes">
          <button id="Button28" label="Planilla" image="Test_32" size="large" onAction="Boton28"/>
          <button id="Button29" label="Colillas" image="comi2" size="large" onAction="Boton29"/>
        </group>
        <group id="Group6" label="Especial">
          <button id="Button14" label="Exonerar" image="tema_32" size="large" getEnabled="Ribbon.DesactivarBoton14" onAction="Boton14"/>
          <button id="Button15" label="Anular" image="ticket" size="large" getEnabled="Ribbon.DesactivarBoton15" onAction="Boton15"/>
        </group>
        <group id="Group7" label="Usuarios">
          <button id="Button16" label="Nuevo" image="User_New_32" size="large" getEnabled="Ribbon.DesactivarBoton16" onAction="Boton16"/>
          <button id="Button17" label="Eliminar" image="User_Remove_32" size="large" getEnabled="Ribbon.DesactivarBoton17" onAction="Boton17"/>
          <button id="Button18" label="Permisos" image="User_Info_32" size="large" getEnabled="Ribbon.DesactivarBoton18" onAction="Boton18"/>
        </group>
        <group id="Group8" label=" ">
          <button id="Button19" label="Cambiar" image="Llaves_48" size="large" getEnabled="Ribbon.DesactivarBoton19" onAction="Boton19"/>
        </group>
        <group id="Group9" label=" ">
          <button id="Button20" label="Guardar " image="Save_32" size="large" getEnabled="Ribbon.DesactivarBoton20" onAction="Boton20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43</vt:i4>
      </vt:variant>
    </vt:vector>
  </HeadingPairs>
  <TitlesOfParts>
    <vt:vector size="62" baseType="lpstr">
      <vt:lpstr>PRINCIPAL</vt:lpstr>
      <vt:lpstr>ID PERSONAL</vt:lpstr>
      <vt:lpstr>HORAS</vt:lpstr>
      <vt:lpstr>ANALISIS</vt:lpstr>
      <vt:lpstr>CONSOLIDADO</vt:lpstr>
      <vt:lpstr>PLANILLA</vt:lpstr>
      <vt:lpstr>GENERAL</vt:lpstr>
      <vt:lpstr>COLILLA </vt:lpstr>
      <vt:lpstr>JORNADA</vt:lpstr>
      <vt:lpstr>INCAPACIDAD</vt:lpstr>
      <vt:lpstr>COMISION</vt:lpstr>
      <vt:lpstr>AJUSTES</vt:lpstr>
      <vt:lpstr>VIATICOS</vt:lpstr>
      <vt:lpstr>EXONERACIÓN</vt:lpstr>
      <vt:lpstr>ANULACION</vt:lpstr>
      <vt:lpstr>CALENDARIO</vt:lpstr>
      <vt:lpstr>USUARIOS</vt:lpstr>
      <vt:lpstr>LOGIN</vt:lpstr>
      <vt:lpstr>PARAMETROS</vt:lpstr>
      <vt:lpstr>ACTIVO</vt:lpstr>
      <vt:lpstr>APROBADO</vt:lpstr>
      <vt:lpstr>DECIMO1</vt:lpstr>
      <vt:lpstr>DECIMO2</vt:lpstr>
      <vt:lpstr>DECIMO3</vt:lpstr>
      <vt:lpstr>DEFINIDO</vt:lpstr>
      <vt:lpstr>DIA_CORTE_PRIMERA_QUINCENA</vt:lpstr>
      <vt:lpstr>DIA_CORTE_SEGUNDA_QUINCENA</vt:lpstr>
      <vt:lpstr>DIAS_MES_HORAS</vt:lpstr>
      <vt:lpstr>DIASMES</vt:lpstr>
      <vt:lpstr>EMPLEADO_SE</vt:lpstr>
      <vt:lpstr>EMPLEADO_SS</vt:lpstr>
      <vt:lpstr>FACTOR_SEMANA_MESES</vt:lpstr>
      <vt:lpstr>FECHA</vt:lpstr>
      <vt:lpstr>FECHA_HORAS</vt:lpstr>
      <vt:lpstr>FECHA_PAGO_QUINCENA</vt:lpstr>
      <vt:lpstr>FINAL_QUINCENA</vt:lpstr>
      <vt:lpstr>HORA_PENALIZACION</vt:lpstr>
      <vt:lpstr>HORARIO_AUMENTADO</vt:lpstr>
      <vt:lpstr>HORARIO_REDUCIDO</vt:lpstr>
      <vt:lpstr>INACTIVO</vt:lpstr>
      <vt:lpstr>INDEFINIDO</vt:lpstr>
      <vt:lpstr>INICIO_QUINCENA</vt:lpstr>
      <vt:lpstr>MESES_DEL_AÑO</vt:lpstr>
      <vt:lpstr>NO</vt:lpstr>
      <vt:lpstr>NO_APROBADO</vt:lpstr>
      <vt:lpstr>NO_PENALIZADO</vt:lpstr>
      <vt:lpstr>PATRONAL_RP</vt:lpstr>
      <vt:lpstr>PATRONAL_SE</vt:lpstr>
      <vt:lpstr>PATRONAL_SS</vt:lpstr>
      <vt:lpstr>PENALIZADO</vt:lpstr>
      <vt:lpstr>PERIODO_QUINCENA</vt:lpstr>
      <vt:lpstr>QUINCENA_PAGO</vt:lpstr>
      <vt:lpstr>REPORTE_PAGO</vt:lpstr>
      <vt:lpstr>SALARIO_MINIMO_HORA</vt:lpstr>
      <vt:lpstr>SEMANAS_DEL_AÑO</vt:lpstr>
      <vt:lpstr>SI</vt:lpstr>
      <vt:lpstr>SIN_ASIGNAR</vt:lpstr>
      <vt:lpstr>TIEMPO_ENTRADA_TARDIA</vt:lpstr>
      <vt:lpstr>TIEMPO_MINIMO_ALMUERZO</vt:lpstr>
      <vt:lpstr>TIEMPO_SALIDA_EXTRAS</vt:lpstr>
      <vt:lpstr>ANALISIS!Títulos_a_imprimir</vt:lpstr>
      <vt:lpstr>HORAS!Títulos_a_imprimir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Del Carmen Saez</dc:creator>
  <cp:lastModifiedBy>Usuario de Windows</cp:lastModifiedBy>
  <cp:lastPrinted>2020-09-16T18:00:46Z</cp:lastPrinted>
  <dcterms:created xsi:type="dcterms:W3CDTF">2019-01-07T15:07:17Z</dcterms:created>
  <dcterms:modified xsi:type="dcterms:W3CDTF">2023-11-08T02:02:02Z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c60183e9-8b9c-4b11-8f6d-01a2b0f891cb</vt:lpwstr>
  </property>
</Properties>
</file>