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1.xml" ContentType="application/vnd.openxmlformats-officedocument.drawing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drawings/drawing2.xml" ContentType="application/vnd.openxmlformats-officedocument.drawing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drawings/drawing3.xml" ContentType="application/vnd.openxmlformats-officedocument.drawing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Questa_cartella_di_lavoro" defaultThemeVersion="202300"/>
  <mc:AlternateContent xmlns:mc="http://schemas.openxmlformats.org/markup-compatibility/2006">
    <mc:Choice Requires="x15">
      <x15ac:absPath xmlns:x15ac="http://schemas.microsoft.com/office/spreadsheetml/2010/11/ac" url="C:\Users\budaf\OneDrive - Politecnico di Milano\Desktop\MMPE\MMPE\lab5\"/>
    </mc:Choice>
  </mc:AlternateContent>
  <xr:revisionPtr revIDLastSave="0" documentId="13_ncr:1_{BFB8E29F-726D-44E4-9F4B-D65F5C01EC98}" xr6:coauthVersionLast="47" xr6:coauthVersionMax="47" xr10:uidLastSave="{00000000-0000-0000-0000-000000000000}"/>
  <bookViews>
    <workbookView xWindow="-108" yWindow="-108" windowWidth="23256" windowHeight="12456" activeTab="3" xr2:uid="{420F3527-AA47-4232-826E-72FEC2CB875C}"/>
  </bookViews>
  <sheets>
    <sheet name="CH4" sheetId="5" r:id="rId1"/>
    <sheet name="CH3" sheetId="2" r:id="rId2"/>
    <sheet name="H" sheetId="6" r:id="rId3"/>
    <sheet name="Reazione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8" i="7" l="1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L48" i="7" a="1"/>
  <c r="L48" i="7" s="1"/>
  <c r="L49" i="7" a="1"/>
  <c r="L49" i="7" s="1"/>
  <c r="L50" i="7" a="1"/>
  <c r="L50" i="7"/>
  <c r="L51" i="7" a="1"/>
  <c r="L51" i="7" s="1"/>
  <c r="L52" i="7" a="1"/>
  <c r="L52" i="7" s="1"/>
  <c r="L53" i="7" a="1"/>
  <c r="L53" i="7" s="1"/>
  <c r="L54" i="7" a="1"/>
  <c r="L54" i="7"/>
  <c r="L55" i="7" a="1"/>
  <c r="L55" i="7" s="1"/>
  <c r="L56" i="7" a="1"/>
  <c r="L56" i="7" s="1"/>
  <c r="L57" i="7" a="1"/>
  <c r="L57" i="7" s="1"/>
  <c r="L58" i="7" a="1"/>
  <c r="L58" i="7"/>
  <c r="L59" i="7" a="1"/>
  <c r="L59" i="7" s="1"/>
  <c r="L60" i="7" a="1"/>
  <c r="L60" i="7" s="1"/>
  <c r="L61" i="7" a="1"/>
  <c r="L61" i="7" s="1"/>
  <c r="L62" i="7" a="1"/>
  <c r="L62" i="7"/>
  <c r="L63" i="7" a="1"/>
  <c r="L63" i="7" s="1"/>
  <c r="L64" i="7" a="1"/>
  <c r="L64" i="7" s="1"/>
  <c r="L65" i="7" a="1"/>
  <c r="L65" i="7" s="1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H48" i="7" a="1"/>
  <c r="H48" i="7" s="1"/>
  <c r="H49" i="7" a="1"/>
  <c r="H49" i="7"/>
  <c r="H50" i="7" a="1"/>
  <c r="H50" i="7" s="1"/>
  <c r="H51" i="7" a="1"/>
  <c r="H51" i="7"/>
  <c r="H52" i="7" a="1"/>
  <c r="H52" i="7" s="1"/>
  <c r="H53" i="7" a="1"/>
  <c r="H53" i="7"/>
  <c r="H54" i="7" a="1"/>
  <c r="H54" i="7" s="1"/>
  <c r="H55" i="7" a="1"/>
  <c r="H55" i="7" s="1"/>
  <c r="H56" i="7" a="1"/>
  <c r="H56" i="7" s="1"/>
  <c r="H57" i="7" a="1"/>
  <c r="H57" i="7"/>
  <c r="H58" i="7" a="1"/>
  <c r="H58" i="7" s="1"/>
  <c r="H59" i="7" a="1"/>
  <c r="H59" i="7"/>
  <c r="H60" i="7" a="1"/>
  <c r="H60" i="7" s="1"/>
  <c r="H61" i="7" a="1"/>
  <c r="H61" i="7" s="1"/>
  <c r="H62" i="7" a="1"/>
  <c r="H62" i="7" s="1"/>
  <c r="H63" i="7" a="1"/>
  <c r="H63" i="7"/>
  <c r="H64" i="7" a="1"/>
  <c r="H64" i="7" s="1"/>
  <c r="H65" i="7" a="1"/>
  <c r="H65" i="7" s="1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D48" i="7" a="1"/>
  <c r="D48" i="7"/>
  <c r="D49" i="7" a="1"/>
  <c r="D49" i="7" s="1"/>
  <c r="D50" i="7" a="1"/>
  <c r="D50" i="7" s="1"/>
  <c r="D51" i="7" a="1"/>
  <c r="D51" i="7" s="1"/>
  <c r="D52" i="7" a="1"/>
  <c r="D52" i="7" s="1"/>
  <c r="D53" i="7" a="1"/>
  <c r="D53" i="7" s="1"/>
  <c r="D54" i="7" a="1"/>
  <c r="D54" i="7" s="1"/>
  <c r="D55" i="7" a="1"/>
  <c r="D55" i="7" s="1"/>
  <c r="D56" i="7" a="1"/>
  <c r="D56" i="7" s="1"/>
  <c r="D57" i="7" a="1"/>
  <c r="D57" i="7" s="1"/>
  <c r="D58" i="7" a="1"/>
  <c r="D58" i="7" s="1"/>
  <c r="D59" i="7" a="1"/>
  <c r="D59" i="7" s="1"/>
  <c r="D60" i="7" a="1"/>
  <c r="D60" i="7" s="1"/>
  <c r="D61" i="7" a="1"/>
  <c r="D61" i="7" s="1"/>
  <c r="D62" i="7" a="1"/>
  <c r="D62" i="7" s="1"/>
  <c r="D63" i="7" a="1"/>
  <c r="D63" i="7" s="1"/>
  <c r="D64" i="7" a="1"/>
  <c r="D64" i="7" s="1"/>
  <c r="D65" i="7" a="1"/>
  <c r="D65" i="7" s="1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F21" i="7" s="1"/>
  <c r="G53" i="2"/>
  <c r="G54" i="2"/>
  <c r="G55" i="2"/>
  <c r="F24" i="7" s="1"/>
  <c r="H7" i="7" a="1"/>
  <c r="H7" i="7"/>
  <c r="H8" i="7" a="1"/>
  <c r="H8" i="7" s="1"/>
  <c r="H9" i="7" a="1"/>
  <c r="H9" i="7" s="1"/>
  <c r="H10" i="7" a="1"/>
  <c r="H10" i="7" s="1"/>
  <c r="H11" i="7" a="1"/>
  <c r="H11" i="7"/>
  <c r="H12" i="7" a="1"/>
  <c r="H12" i="7"/>
  <c r="H13" i="7" a="1"/>
  <c r="H13" i="7" s="1"/>
  <c r="H14" i="7" a="1"/>
  <c r="H14" i="7" s="1"/>
  <c r="H15" i="7" a="1"/>
  <c r="H15" i="7"/>
  <c r="H16" i="7" a="1"/>
  <c r="H16" i="7"/>
  <c r="H17" i="7" a="1"/>
  <c r="H17" i="7" s="1"/>
  <c r="H18" i="7" a="1"/>
  <c r="H18" i="7" s="1"/>
  <c r="H19" i="7" a="1"/>
  <c r="H19" i="7"/>
  <c r="H20" i="7" a="1"/>
  <c r="H20" i="7"/>
  <c r="H21" i="7" a="1"/>
  <c r="H21" i="7" s="1"/>
  <c r="H22" i="7" a="1"/>
  <c r="H22" i="7" s="1"/>
  <c r="H23" i="7" a="1"/>
  <c r="H23" i="7"/>
  <c r="H24" i="7" a="1"/>
  <c r="H24" i="7"/>
  <c r="D13" i="7" a="1"/>
  <c r="D13" i="7" s="1"/>
  <c r="D19" i="7" a="1"/>
  <c r="D19" i="7" s="1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K40" i="5"/>
  <c r="K39" i="5"/>
  <c r="J41" i="5"/>
  <c r="G37" i="5"/>
  <c r="B7" i="7" s="1"/>
  <c r="G38" i="5"/>
  <c r="G39" i="5"/>
  <c r="G40" i="5"/>
  <c r="B10" i="7" s="1"/>
  <c r="G41" i="5"/>
  <c r="G42" i="5"/>
  <c r="G43" i="5"/>
  <c r="G44" i="5"/>
  <c r="G45" i="5"/>
  <c r="B15" i="7" s="1"/>
  <c r="G46" i="5"/>
  <c r="G47" i="5"/>
  <c r="G48" i="5"/>
  <c r="B18" i="7" s="1"/>
  <c r="G49" i="5"/>
  <c r="G50" i="5"/>
  <c r="G51" i="5"/>
  <c r="B21" i="7" s="1"/>
  <c r="G52" i="5"/>
  <c r="G53" i="5"/>
  <c r="B23" i="7" s="1"/>
  <c r="G54" i="5"/>
  <c r="F37" i="5"/>
  <c r="F38" i="5"/>
  <c r="F39" i="5"/>
  <c r="F40" i="5"/>
  <c r="F41" i="5"/>
  <c r="F42" i="5"/>
  <c r="F43" i="5"/>
  <c r="F44" i="5"/>
  <c r="B14" i="7" s="1"/>
  <c r="F45" i="5"/>
  <c r="F46" i="5"/>
  <c r="F47" i="5"/>
  <c r="F48" i="5"/>
  <c r="F49" i="5"/>
  <c r="F50" i="5"/>
  <c r="F51" i="5"/>
  <c r="F52" i="5"/>
  <c r="B22" i="7" s="1"/>
  <c r="F53" i="5"/>
  <c r="F54" i="5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F9" i="7"/>
  <c r="F10" i="7"/>
  <c r="F13" i="7"/>
  <c r="F16" i="7"/>
  <c r="F17" i="7"/>
  <c r="F18" i="7"/>
  <c r="B8" i="7"/>
  <c r="B16" i="7"/>
  <c r="B24" i="7"/>
  <c r="C7" i="7"/>
  <c r="D7" i="7" s="1" a="1"/>
  <c r="D7" i="7" s="1"/>
  <c r="C8" i="7"/>
  <c r="D8" i="7" s="1" a="1"/>
  <c r="D8" i="7" s="1"/>
  <c r="C9" i="7"/>
  <c r="D9" i="7" s="1" a="1"/>
  <c r="D9" i="7" s="1"/>
  <c r="C10" i="7"/>
  <c r="D10" i="7" s="1" a="1"/>
  <c r="D10" i="7" s="1"/>
  <c r="C11" i="7"/>
  <c r="D11" i="7" s="1" a="1"/>
  <c r="D11" i="7" s="1"/>
  <c r="C12" i="7"/>
  <c r="D12" i="7" s="1" a="1"/>
  <c r="D12" i="7" s="1"/>
  <c r="C13" i="7"/>
  <c r="C14" i="7"/>
  <c r="D14" i="7" s="1" a="1"/>
  <c r="D14" i="7" s="1"/>
  <c r="C15" i="7"/>
  <c r="D15" i="7" s="1" a="1"/>
  <c r="D15" i="7" s="1"/>
  <c r="C16" i="7"/>
  <c r="D16" i="7" s="1" a="1"/>
  <c r="D16" i="7" s="1"/>
  <c r="C17" i="7"/>
  <c r="D17" i="7" s="1" a="1"/>
  <c r="D17" i="7" s="1"/>
  <c r="C18" i="7"/>
  <c r="D18" i="7" s="1" a="1"/>
  <c r="D18" i="7" s="1"/>
  <c r="C19" i="7"/>
  <c r="C20" i="7"/>
  <c r="D20" i="7" s="1" a="1"/>
  <c r="D20" i="7" s="1"/>
  <c r="C21" i="7"/>
  <c r="D21" i="7" s="1" a="1"/>
  <c r="D21" i="7" s="1"/>
  <c r="C22" i="7"/>
  <c r="D22" i="7" s="1" a="1"/>
  <c r="D22" i="7" s="1"/>
  <c r="C23" i="7"/>
  <c r="D23" i="7" s="1" a="1"/>
  <c r="D23" i="7" s="1"/>
  <c r="C24" i="7"/>
  <c r="D24" i="7" s="1" a="1"/>
  <c r="D24" i="7" s="1"/>
  <c r="F8" i="7"/>
  <c r="F11" i="7"/>
  <c r="F12" i="7"/>
  <c r="F19" i="7"/>
  <c r="F20" i="7"/>
  <c r="B9" i="7"/>
  <c r="B11" i="7"/>
  <c r="B12" i="7"/>
  <c r="B13" i="7"/>
  <c r="B17" i="7"/>
  <c r="B19" i="7"/>
  <c r="B20" i="7"/>
  <c r="J40" i="5"/>
  <c r="L40" i="5" s="1"/>
  <c r="J39" i="5"/>
  <c r="L39" i="5" s="1"/>
  <c r="L41" i="5"/>
  <c r="E37" i="5" a="1"/>
  <c r="E37" i="5" s="1"/>
  <c r="E38" i="5" a="1"/>
  <c r="E38" i="5" s="1"/>
  <c r="E39" i="5" a="1"/>
  <c r="E39" i="5" s="1"/>
  <c r="E40" i="5" a="1"/>
  <c r="E40" i="5" s="1"/>
  <c r="E41" i="5" a="1"/>
  <c r="E41" i="5" s="1"/>
  <c r="E42" i="5" a="1"/>
  <c r="E42" i="5" s="1"/>
  <c r="E43" i="5" a="1"/>
  <c r="E43" i="5" s="1"/>
  <c r="E44" i="5" a="1"/>
  <c r="E44" i="5" s="1"/>
  <c r="E45" i="5" a="1"/>
  <c r="E45" i="5" s="1"/>
  <c r="E46" i="5" a="1"/>
  <c r="E46" i="5" s="1"/>
  <c r="E47" i="5" a="1"/>
  <c r="E47" i="5" s="1"/>
  <c r="E48" i="5" a="1"/>
  <c r="E48" i="5" s="1"/>
  <c r="E49" i="5" a="1"/>
  <c r="E49" i="5" s="1"/>
  <c r="E50" i="5" a="1"/>
  <c r="E50" i="5" s="1"/>
  <c r="E51" i="5" a="1"/>
  <c r="E51" i="5" s="1"/>
  <c r="E52" i="5" a="1"/>
  <c r="E52" i="5"/>
  <c r="E53" i="5" a="1"/>
  <c r="E53" i="5" s="1"/>
  <c r="E54" i="5" a="1"/>
  <c r="E54" i="5" s="1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C39" i="5" a="1"/>
  <c r="C39" i="5" s="1"/>
  <c r="C45" i="5" a="1"/>
  <c r="C45" i="5" s="1"/>
  <c r="C46" i="5" a="1"/>
  <c r="C46" i="5" s="1"/>
  <c r="C47" i="5" a="1"/>
  <c r="C47" i="5" s="1"/>
  <c r="C53" i="5" a="1"/>
  <c r="C53" i="5" s="1"/>
  <c r="C54" i="5" a="1"/>
  <c r="C54" i="5" s="1"/>
  <c r="B37" i="5" a="1"/>
  <c r="B37" i="5" s="1"/>
  <c r="C37" i="5" s="1" a="1"/>
  <c r="C37" i="5" s="1"/>
  <c r="J38" i="5" s="1"/>
  <c r="L38" i="5" s="1"/>
  <c r="B38" i="5" a="1"/>
  <c r="B38" i="5" s="1"/>
  <c r="C38" i="5" s="1" a="1"/>
  <c r="C38" i="5" s="1"/>
  <c r="B39" i="5" a="1"/>
  <c r="B39" i="5" s="1"/>
  <c r="B40" i="5" a="1"/>
  <c r="B40" i="5" s="1"/>
  <c r="C40" i="5" s="1" a="1"/>
  <c r="C40" i="5" s="1"/>
  <c r="B41" i="5" a="1"/>
  <c r="B41" i="5" s="1"/>
  <c r="C41" i="5" s="1" a="1"/>
  <c r="C41" i="5" s="1"/>
  <c r="B42" i="5" a="1"/>
  <c r="B42" i="5" s="1"/>
  <c r="C42" i="5" s="1" a="1"/>
  <c r="C42" i="5" s="1"/>
  <c r="B43" i="5" a="1"/>
  <c r="B43" i="5" s="1"/>
  <c r="C43" i="5" s="1" a="1"/>
  <c r="C43" i="5" s="1"/>
  <c r="B44" i="5" a="1"/>
  <c r="B44" i="5" s="1"/>
  <c r="C44" i="5" s="1" a="1"/>
  <c r="C44" i="5" s="1"/>
  <c r="B45" i="5" a="1"/>
  <c r="B45" i="5" s="1"/>
  <c r="B46" i="5" a="1"/>
  <c r="B46" i="5" s="1"/>
  <c r="B47" i="5" a="1"/>
  <c r="B47" i="5" s="1"/>
  <c r="B48" i="5" a="1"/>
  <c r="B48" i="5"/>
  <c r="C48" i="5" s="1" a="1"/>
  <c r="C48" i="5" s="1"/>
  <c r="B49" i="5" a="1"/>
  <c r="B49" i="5" s="1"/>
  <c r="C49" i="5" s="1" a="1"/>
  <c r="C49" i="5" s="1"/>
  <c r="B50" i="5" a="1"/>
  <c r="B50" i="5" s="1"/>
  <c r="C50" i="5" s="1" a="1"/>
  <c r="C50" i="5" s="1"/>
  <c r="B51" i="5" a="1"/>
  <c r="B51" i="5" s="1"/>
  <c r="C51" i="5" s="1" a="1"/>
  <c r="C51" i="5" s="1"/>
  <c r="B52" i="5" a="1"/>
  <c r="B52" i="5"/>
  <c r="C52" i="5" s="1" a="1"/>
  <c r="C52" i="5" s="1"/>
  <c r="B53" i="5" a="1"/>
  <c r="B53" i="5" s="1"/>
  <c r="B54" i="5" a="1"/>
  <c r="B54" i="5" s="1"/>
  <c r="B2" i="6"/>
  <c r="B35" i="6" a="1"/>
  <c r="B35" i="6" s="1"/>
  <c r="K24" i="7" s="1"/>
  <c r="L24" i="7" s="1" a="1"/>
  <c r="L24" i="7" s="1"/>
  <c r="B34" i="6" a="1"/>
  <c r="B34" i="6" s="1"/>
  <c r="K23" i="7" s="1"/>
  <c r="L23" i="7" s="1" a="1"/>
  <c r="L23" i="7" s="1"/>
  <c r="B33" i="6" a="1"/>
  <c r="B33" i="6" s="1"/>
  <c r="K22" i="7" s="1"/>
  <c r="L22" i="7" s="1" a="1"/>
  <c r="L22" i="7" s="1"/>
  <c r="B32" i="6" a="1"/>
  <c r="B32" i="6" s="1"/>
  <c r="K21" i="7" s="1"/>
  <c r="L21" i="7" s="1" a="1"/>
  <c r="L21" i="7" s="1"/>
  <c r="B31" i="6" a="1"/>
  <c r="B31" i="6" s="1"/>
  <c r="C31" i="6" s="1" a="1"/>
  <c r="C31" i="6" s="1"/>
  <c r="B30" i="6" a="1"/>
  <c r="B30" i="6" s="1"/>
  <c r="C30" i="6" s="1" a="1"/>
  <c r="C30" i="6" s="1"/>
  <c r="B29" i="6" a="1"/>
  <c r="B29" i="6" s="1"/>
  <c r="K18" i="7" s="1"/>
  <c r="L18" i="7" s="1" a="1"/>
  <c r="L18" i="7" s="1"/>
  <c r="B28" i="6" a="1"/>
  <c r="B28" i="6" s="1"/>
  <c r="K17" i="7" s="1"/>
  <c r="L17" i="7" s="1" a="1"/>
  <c r="L17" i="7" s="1"/>
  <c r="B27" i="6" a="1"/>
  <c r="B27" i="6" s="1"/>
  <c r="K16" i="7" s="1"/>
  <c r="L16" i="7" s="1" a="1"/>
  <c r="L16" i="7" s="1"/>
  <c r="B26" i="6" a="1"/>
  <c r="B26" i="6" s="1"/>
  <c r="K15" i="7" s="1"/>
  <c r="L15" i="7" s="1" a="1"/>
  <c r="L15" i="7" s="1"/>
  <c r="B25" i="6" a="1"/>
  <c r="B25" i="6" s="1"/>
  <c r="K14" i="7" s="1"/>
  <c r="L14" i="7" s="1" a="1"/>
  <c r="L14" i="7" s="1"/>
  <c r="B24" i="6" a="1"/>
  <c r="B24" i="6" s="1"/>
  <c r="C24" i="6" s="1" a="1"/>
  <c r="C24" i="6" s="1"/>
  <c r="J23" i="6"/>
  <c r="L23" i="6" s="1"/>
  <c r="B23" i="6" a="1"/>
  <c r="B23" i="6" s="1"/>
  <c r="K12" i="7" s="1"/>
  <c r="L12" i="7" s="1" a="1"/>
  <c r="L12" i="7" s="1"/>
  <c r="B22" i="6" a="1"/>
  <c r="B22" i="6" s="1"/>
  <c r="K11" i="7" s="1"/>
  <c r="L11" i="7" s="1" a="1"/>
  <c r="L11" i="7" s="1"/>
  <c r="B21" i="6" a="1"/>
  <c r="B21" i="6" s="1"/>
  <c r="K10" i="7" s="1"/>
  <c r="L10" i="7" s="1" a="1"/>
  <c r="L10" i="7" s="1"/>
  <c r="B20" i="6" a="1"/>
  <c r="B20" i="6" s="1"/>
  <c r="K9" i="7" s="1"/>
  <c r="L9" i="7" s="1" a="1"/>
  <c r="L9" i="7" s="1"/>
  <c r="B19" i="6" a="1"/>
  <c r="B19" i="6" s="1"/>
  <c r="K8" i="7" s="1"/>
  <c r="L8" i="7" s="1" a="1"/>
  <c r="L8" i="7" s="1"/>
  <c r="B18" i="6" a="1"/>
  <c r="B18" i="6" s="1"/>
  <c r="K7" i="7" s="1"/>
  <c r="L7" i="7" s="1" a="1"/>
  <c r="L7" i="7" s="1"/>
  <c r="H2" i="6"/>
  <c r="A7" i="2"/>
  <c r="A6" i="2"/>
  <c r="A5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B2" i="2"/>
  <c r="B2" i="5"/>
  <c r="H2" i="5"/>
  <c r="A5" i="5"/>
  <c r="B5" i="5" s="1" a="1"/>
  <c r="B5" i="5" s="1"/>
  <c r="A6" i="5"/>
  <c r="B6" i="5" s="1" a="1"/>
  <c r="B6" i="5" s="1"/>
  <c r="B7" i="5" a="1"/>
  <c r="B7" i="5" s="1"/>
  <c r="B14" i="5" a="1"/>
  <c r="B14" i="5" s="1"/>
  <c r="B15" i="5" a="1"/>
  <c r="B15" i="5" s="1"/>
  <c r="F12" i="5" s="1"/>
  <c r="F17" i="5" s="1" a="1"/>
  <c r="F17" i="5" s="1"/>
  <c r="B16" i="5" a="1"/>
  <c r="B16" i="5" s="1"/>
  <c r="B17" i="5" a="1"/>
  <c r="B17" i="5" s="1"/>
  <c r="B18" i="5" a="1"/>
  <c r="B18" i="5" s="1"/>
  <c r="B19" i="5" a="1"/>
  <c r="B19" i="5" s="1"/>
  <c r="B20" i="5" a="1"/>
  <c r="B20" i="5" s="1"/>
  <c r="B21" i="5" a="1"/>
  <c r="B21" i="5" s="1"/>
  <c r="L12" i="5" s="1"/>
  <c r="L16" i="5" s="1" a="1"/>
  <c r="L16" i="5" s="1"/>
  <c r="B22" i="5" a="1"/>
  <c r="B22" i="5" s="1"/>
  <c r="F23" i="7" l="1"/>
  <c r="F15" i="7"/>
  <c r="F22" i="7"/>
  <c r="F14" i="7"/>
  <c r="F7" i="7"/>
  <c r="K13" i="7"/>
  <c r="L13" i="7" s="1" a="1"/>
  <c r="L13" i="7" s="1"/>
  <c r="K20" i="7"/>
  <c r="L20" i="7" s="1" a="1"/>
  <c r="L20" i="7" s="1"/>
  <c r="K19" i="7"/>
  <c r="L19" i="7" s="1" a="1"/>
  <c r="L19" i="7" s="1"/>
  <c r="J22" i="6"/>
  <c r="L22" i="6" s="1"/>
  <c r="C29" i="6" a="1"/>
  <c r="C29" i="6" s="1"/>
  <c r="C20" i="6" a="1"/>
  <c r="C20" i="6" s="1"/>
  <c r="C28" i="6" a="1"/>
  <c r="C28" i="6" s="1"/>
  <c r="C19" i="6" a="1"/>
  <c r="C19" i="6" s="1"/>
  <c r="C21" i="6" a="1"/>
  <c r="C21" i="6" s="1"/>
  <c r="C27" i="6" a="1"/>
  <c r="C27" i="6" s="1"/>
  <c r="C35" i="6" a="1"/>
  <c r="C35" i="6" s="1"/>
  <c r="C18" i="6" a="1"/>
  <c r="C18" i="6" s="1"/>
  <c r="C22" i="6" a="1"/>
  <c r="C22" i="6" s="1"/>
  <c r="C26" i="6" a="1"/>
  <c r="C26" i="6" s="1"/>
  <c r="C34" i="6" a="1"/>
  <c r="C34" i="6" s="1"/>
  <c r="C23" i="6" a="1"/>
  <c r="C23" i="6" s="1"/>
  <c r="C25" i="6" a="1"/>
  <c r="C25" i="6" s="1"/>
  <c r="C33" i="6" a="1"/>
  <c r="C33" i="6" s="1"/>
  <c r="C32" i="6" a="1"/>
  <c r="C32" i="6" s="1"/>
  <c r="L28" i="5" a="1"/>
  <c r="L28" i="5" s="1"/>
  <c r="C6" i="5" a="1"/>
  <c r="C6" i="5" s="1"/>
  <c r="L21" i="5" a="1"/>
  <c r="L21" i="5" s="1"/>
  <c r="C7" i="5" a="1"/>
  <c r="C7" i="5" s="1"/>
  <c r="F20" i="5" a="1"/>
  <c r="F20" i="5" s="1"/>
  <c r="L31" i="5" a="1"/>
  <c r="L31" i="5" s="1"/>
  <c r="L23" i="5" a="1"/>
  <c r="L23" i="5" s="1"/>
  <c r="C5" i="5" a="1"/>
  <c r="C5" i="5" s="1"/>
  <c r="E12" i="5"/>
  <c r="K12" i="5"/>
  <c r="K17" i="5" s="1" a="1"/>
  <c r="K17" i="5" s="1"/>
  <c r="J12" i="5"/>
  <c r="J30" i="5" s="1" a="1"/>
  <c r="J30" i="5" s="1"/>
  <c r="M12" i="5"/>
  <c r="M31" i="5" s="1" a="1"/>
  <c r="M31" i="5" s="1"/>
  <c r="F27" i="5" a="1"/>
  <c r="F27" i="5" s="1"/>
  <c r="F24" i="5" a="1"/>
  <c r="F24" i="5" s="1"/>
  <c r="I12" i="5"/>
  <c r="I23" i="5" s="1" a="1"/>
  <c r="I23" i="5" s="1"/>
  <c r="H12" i="5"/>
  <c r="H29" i="5" s="1" a="1"/>
  <c r="H29" i="5" s="1"/>
  <c r="F14" i="5" a="1"/>
  <c r="F14" i="5" s="1"/>
  <c r="F22" i="5" a="1"/>
  <c r="F22" i="5" s="1"/>
  <c r="F30" i="5" a="1"/>
  <c r="F30" i="5" s="1"/>
  <c r="F19" i="5" a="1"/>
  <c r="F19" i="5" s="1"/>
  <c r="F25" i="5" a="1"/>
  <c r="F25" i="5" s="1"/>
  <c r="F16" i="5" a="1"/>
  <c r="F16" i="5" s="1"/>
  <c r="F28" i="5" a="1"/>
  <c r="F28" i="5" s="1"/>
  <c r="F21" i="5" a="1"/>
  <c r="F21" i="5" s="1"/>
  <c r="F23" i="5" a="1"/>
  <c r="F23" i="5" s="1"/>
  <c r="F31" i="5" a="1"/>
  <c r="F31" i="5" s="1"/>
  <c r="F18" i="5" a="1"/>
  <c r="F18" i="5" s="1"/>
  <c r="F26" i="5" a="1"/>
  <c r="F26" i="5" s="1"/>
  <c r="F15" i="5" a="1"/>
  <c r="F15" i="5" s="1"/>
  <c r="F29" i="5" a="1"/>
  <c r="F29" i="5" s="1"/>
  <c r="G12" i="5"/>
  <c r="L18" i="5" a="1"/>
  <c r="L18" i="5" s="1"/>
  <c r="L26" i="5" a="1"/>
  <c r="L26" i="5" s="1"/>
  <c r="L15" i="5" a="1"/>
  <c r="L15" i="5" s="1"/>
  <c r="L29" i="5" a="1"/>
  <c r="L29" i="5" s="1"/>
  <c r="L20" i="5" a="1"/>
  <c r="L20" i="5" s="1"/>
  <c r="L24" i="5" a="1"/>
  <c r="L24" i="5" s="1"/>
  <c r="L17" i="5" a="1"/>
  <c r="L17" i="5" s="1"/>
  <c r="L27" i="5" a="1"/>
  <c r="L27" i="5" s="1"/>
  <c r="L14" i="5" a="1"/>
  <c r="L14" i="5" s="1"/>
  <c r="L22" i="5" a="1"/>
  <c r="L22" i="5" s="1"/>
  <c r="L30" i="5" a="1"/>
  <c r="L30" i="5" s="1"/>
  <c r="L19" i="5" a="1"/>
  <c r="L19" i="5" s="1"/>
  <c r="L25" i="5" a="1"/>
  <c r="L25" i="5" s="1"/>
  <c r="J20" i="6" l="1"/>
  <c r="L20" i="6" s="1"/>
  <c r="J12" i="7"/>
  <c r="N12" i="7" s="1"/>
  <c r="J8" i="7"/>
  <c r="N8" i="7" s="1"/>
  <c r="J20" i="7"/>
  <c r="N20" i="7" s="1"/>
  <c r="J16" i="7"/>
  <c r="N16" i="7" s="1"/>
  <c r="J11" i="7"/>
  <c r="N11" i="7" s="1"/>
  <c r="J24" i="7"/>
  <c r="N24" i="7" s="1"/>
  <c r="J13" i="7"/>
  <c r="N13" i="7" s="1"/>
  <c r="J10" i="7"/>
  <c r="N10" i="7" s="1"/>
  <c r="J21" i="7"/>
  <c r="N21" i="7" s="1"/>
  <c r="J17" i="7"/>
  <c r="N17" i="7" s="1"/>
  <c r="J14" i="7"/>
  <c r="N14" i="7" s="1"/>
  <c r="J9" i="7"/>
  <c r="N9" i="7" s="1"/>
  <c r="J15" i="7"/>
  <c r="N15" i="7" s="1"/>
  <c r="J22" i="7"/>
  <c r="N22" i="7" s="1"/>
  <c r="J23" i="7"/>
  <c r="N23" i="7" s="1"/>
  <c r="J19" i="7"/>
  <c r="N19" i="7" s="1"/>
  <c r="J18" i="7"/>
  <c r="N18" i="7" s="1"/>
  <c r="M17" i="5" a="1"/>
  <c r="M17" i="5" s="1"/>
  <c r="M20" i="5" a="1"/>
  <c r="M20" i="5" s="1"/>
  <c r="M23" i="5" a="1"/>
  <c r="M23" i="5" s="1"/>
  <c r="M26" i="5" a="1"/>
  <c r="M26" i="5" s="1"/>
  <c r="D5" i="5"/>
  <c r="H30" i="5" a="1"/>
  <c r="H30" i="5" s="1"/>
  <c r="I26" i="5" a="1"/>
  <c r="I26" i="5" s="1"/>
  <c r="K16" i="5" a="1"/>
  <c r="K16" i="5" s="1"/>
  <c r="H15" i="5" a="1"/>
  <c r="H15" i="5" s="1"/>
  <c r="H24" i="5" a="1"/>
  <c r="H24" i="5" s="1"/>
  <c r="J15" i="5" a="1"/>
  <c r="J15" i="5" s="1"/>
  <c r="J28" i="5" a="1"/>
  <c r="J28" i="5" s="1"/>
  <c r="J14" i="5" a="1"/>
  <c r="J14" i="5" s="1"/>
  <c r="J21" i="5" a="1"/>
  <c r="J21" i="5" s="1"/>
  <c r="J25" i="5" a="1"/>
  <c r="J25" i="5" s="1"/>
  <c r="M24" i="5" a="1"/>
  <c r="M24" i="5" s="1"/>
  <c r="J19" i="5" a="1"/>
  <c r="J19" i="5" s="1"/>
  <c r="J26" i="5" a="1"/>
  <c r="J26" i="5" s="1"/>
  <c r="J23" i="5" a="1"/>
  <c r="J23" i="5" s="1"/>
  <c r="K24" i="5" a="1"/>
  <c r="K24" i="5" s="1"/>
  <c r="H26" i="5" a="1"/>
  <c r="H26" i="5" s="1"/>
  <c r="K20" i="5" a="1"/>
  <c r="K20" i="5" s="1"/>
  <c r="H18" i="5" a="1"/>
  <c r="H18" i="5" s="1"/>
  <c r="H22" i="5" a="1"/>
  <c r="H22" i="5" s="1"/>
  <c r="H14" i="5" a="1"/>
  <c r="H14" i="5" s="1"/>
  <c r="K27" i="5" a="1"/>
  <c r="K27" i="5" s="1"/>
  <c r="K21" i="5" a="1"/>
  <c r="K21" i="5" s="1"/>
  <c r="H17" i="5" a="1"/>
  <c r="H17" i="5" s="1"/>
  <c r="K23" i="5" a="1"/>
  <c r="K23" i="5" s="1"/>
  <c r="M15" i="5" a="1"/>
  <c r="M15" i="5" s="1"/>
  <c r="H27" i="5" a="1"/>
  <c r="H27" i="5" s="1"/>
  <c r="M21" i="5" a="1"/>
  <c r="M21" i="5" s="1"/>
  <c r="H25" i="5" a="1"/>
  <c r="H25" i="5" s="1"/>
  <c r="H20" i="5" a="1"/>
  <c r="H20" i="5" s="1"/>
  <c r="K25" i="5" a="1"/>
  <c r="K25" i="5" s="1"/>
  <c r="K14" i="5" a="1"/>
  <c r="K14" i="5" s="1"/>
  <c r="M28" i="5" a="1"/>
  <c r="M28" i="5" s="1"/>
  <c r="H19" i="5" a="1"/>
  <c r="H19" i="5" s="1"/>
  <c r="K19" i="5" a="1"/>
  <c r="K19" i="5" s="1"/>
  <c r="K30" i="5" a="1"/>
  <c r="K30" i="5" s="1"/>
  <c r="I24" i="5" a="1"/>
  <c r="I24" i="5" s="1"/>
  <c r="K31" i="5" a="1"/>
  <c r="K31" i="5" s="1"/>
  <c r="K22" i="5" a="1"/>
  <c r="K22" i="5" s="1"/>
  <c r="I20" i="5" a="1"/>
  <c r="I20" i="5" s="1"/>
  <c r="I21" i="5" a="1"/>
  <c r="I21" i="5" s="1"/>
  <c r="K28" i="5" a="1"/>
  <c r="K28" i="5" s="1"/>
  <c r="I30" i="5" a="1"/>
  <c r="I30" i="5" s="1"/>
  <c r="I28" i="5" a="1"/>
  <c r="I28" i="5" s="1"/>
  <c r="I29" i="5" a="1"/>
  <c r="I29" i="5" s="1"/>
  <c r="I16" i="5" a="1"/>
  <c r="I16" i="5" s="1"/>
  <c r="I14" i="5" a="1"/>
  <c r="I14" i="5" s="1"/>
  <c r="M29" i="5" a="1"/>
  <c r="M29" i="5" s="1"/>
  <c r="M16" i="5" a="1"/>
  <c r="M16" i="5" s="1"/>
  <c r="J29" i="5" a="1"/>
  <c r="J29" i="5" s="1"/>
  <c r="J16" i="5" a="1"/>
  <c r="J16" i="5" s="1"/>
  <c r="I15" i="5" a="1"/>
  <c r="I15" i="5" s="1"/>
  <c r="I25" i="5" a="1"/>
  <c r="I25" i="5" s="1"/>
  <c r="M18" i="5" a="1"/>
  <c r="M18" i="5" s="1"/>
  <c r="J18" i="5" a="1"/>
  <c r="J18" i="5" s="1"/>
  <c r="I27" i="5" a="1"/>
  <c r="I27" i="5" s="1"/>
  <c r="I31" i="5" a="1"/>
  <c r="I31" i="5" s="1"/>
  <c r="I18" i="5" a="1"/>
  <c r="I18" i="5" s="1"/>
  <c r="J20" i="5" a="1"/>
  <c r="J20" i="5" s="1"/>
  <c r="J17" i="5" a="1"/>
  <c r="J17" i="5" s="1"/>
  <c r="J24" i="5" a="1"/>
  <c r="J24" i="5" s="1"/>
  <c r="J27" i="5" a="1"/>
  <c r="J27" i="5" s="1"/>
  <c r="M27" i="5" a="1"/>
  <c r="M27" i="5" s="1"/>
  <c r="J31" i="5" a="1"/>
  <c r="J31" i="5" s="1"/>
  <c r="J22" i="5" a="1"/>
  <c r="J22" i="5" s="1"/>
  <c r="I17" i="5" a="1"/>
  <c r="I17" i="5" s="1"/>
  <c r="H31" i="5" a="1"/>
  <c r="H31" i="5" s="1"/>
  <c r="H16" i="5" a="1"/>
  <c r="H16" i="5" s="1"/>
  <c r="H21" i="5" a="1"/>
  <c r="H21" i="5" s="1"/>
  <c r="H23" i="5" a="1"/>
  <c r="H23" i="5" s="1"/>
  <c r="H28" i="5" a="1"/>
  <c r="H28" i="5" s="1"/>
  <c r="K15" i="5" a="1"/>
  <c r="K15" i="5" s="1"/>
  <c r="K26" i="5" a="1"/>
  <c r="K26" i="5" s="1"/>
  <c r="K29" i="5" a="1"/>
  <c r="K29" i="5" s="1"/>
  <c r="K18" i="5" a="1"/>
  <c r="K18" i="5" s="1"/>
  <c r="I19" i="5" a="1"/>
  <c r="I19" i="5" s="1"/>
  <c r="I22" i="5" a="1"/>
  <c r="I22" i="5" s="1"/>
  <c r="M14" i="5" a="1"/>
  <c r="M14" i="5" s="1"/>
  <c r="M19" i="5" a="1"/>
  <c r="M19" i="5" s="1"/>
  <c r="M22" i="5" a="1"/>
  <c r="M22" i="5" s="1"/>
  <c r="M30" i="5" a="1"/>
  <c r="M30" i="5" s="1"/>
  <c r="M25" i="5" a="1"/>
  <c r="M25" i="5" s="1"/>
  <c r="E19" i="5" a="1"/>
  <c r="E19" i="5" s="1"/>
  <c r="E22" i="5" a="1"/>
  <c r="E22" i="5" s="1"/>
  <c r="E24" i="5" a="1"/>
  <c r="E24" i="5" s="1"/>
  <c r="E16" i="5" a="1"/>
  <c r="E16" i="5" s="1"/>
  <c r="E27" i="5" a="1"/>
  <c r="E27" i="5" s="1"/>
  <c r="E29" i="5" a="1"/>
  <c r="E29" i="5" s="1"/>
  <c r="E21" i="5" a="1"/>
  <c r="E21" i="5" s="1"/>
  <c r="E18" i="5" a="1"/>
  <c r="E18" i="5" s="1"/>
  <c r="E30" i="5" a="1"/>
  <c r="E30" i="5" s="1"/>
  <c r="E15" i="5" a="1"/>
  <c r="E15" i="5" s="1"/>
  <c r="E14" i="5" a="1"/>
  <c r="E14" i="5" s="1"/>
  <c r="E20" i="5" a="1"/>
  <c r="E20" i="5" s="1"/>
  <c r="E25" i="5" a="1"/>
  <c r="E25" i="5" s="1"/>
  <c r="E31" i="5" a="1"/>
  <c r="E31" i="5" s="1"/>
  <c r="E23" i="5" a="1"/>
  <c r="E23" i="5" s="1"/>
  <c r="E28" i="5" a="1"/>
  <c r="E28" i="5" s="1"/>
  <c r="E17" i="5" a="1"/>
  <c r="E17" i="5" s="1"/>
  <c r="E26" i="5" a="1"/>
  <c r="E26" i="5" s="1"/>
  <c r="G20" i="5" a="1"/>
  <c r="G20" i="5" s="1"/>
  <c r="G24" i="5" a="1"/>
  <c r="G24" i="5" s="1"/>
  <c r="G17" i="5" a="1"/>
  <c r="G17" i="5" s="1"/>
  <c r="G27" i="5" a="1"/>
  <c r="G27" i="5" s="1"/>
  <c r="G14" i="5" a="1"/>
  <c r="G14" i="5" s="1"/>
  <c r="G22" i="5" a="1"/>
  <c r="G22" i="5" s="1"/>
  <c r="G30" i="5" a="1"/>
  <c r="G30" i="5" s="1"/>
  <c r="G19" i="5" a="1"/>
  <c r="G19" i="5" s="1"/>
  <c r="G25" i="5" a="1"/>
  <c r="G25" i="5" s="1"/>
  <c r="G16" i="5" a="1"/>
  <c r="G16" i="5" s="1"/>
  <c r="G28" i="5" a="1"/>
  <c r="G28" i="5" s="1"/>
  <c r="G21" i="5" a="1"/>
  <c r="G21" i="5" s="1"/>
  <c r="G23" i="5" a="1"/>
  <c r="G23" i="5" s="1"/>
  <c r="G31" i="5" a="1"/>
  <c r="G31" i="5" s="1"/>
  <c r="G15" i="5" a="1"/>
  <c r="G15" i="5" s="1"/>
  <c r="G26" i="5" a="1"/>
  <c r="G26" i="5" s="1"/>
  <c r="G18" i="5" a="1"/>
  <c r="G18" i="5" s="1"/>
  <c r="G29" i="5" a="1"/>
  <c r="G29" i="5" s="1"/>
  <c r="E5" i="5" a="1"/>
  <c r="E5" i="5" s="1"/>
  <c r="J21" i="6" l="1"/>
  <c r="L21" i="6" s="1"/>
  <c r="J7" i="7"/>
  <c r="N7" i="7" s="1"/>
  <c r="N25" i="5"/>
  <c r="N23" i="5"/>
  <c r="N16" i="5"/>
  <c r="N31" i="5"/>
  <c r="N15" i="5"/>
  <c r="N28" i="5"/>
  <c r="N18" i="5"/>
  <c r="N26" i="5"/>
  <c r="N30" i="5"/>
  <c r="N27" i="5"/>
  <c r="N21" i="5"/>
  <c r="N14" i="5"/>
  <c r="N17" i="5"/>
  <c r="N24" i="5"/>
  <c r="N20" i="5"/>
  <c r="N19" i="5"/>
  <c r="N29" i="5"/>
  <c r="N22" i="5"/>
  <c r="B38" i="2" l="1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7" i="2" a="1"/>
  <c r="B7" i="2" s="1"/>
  <c r="B5" i="2" a="1"/>
  <c r="B5" i="2" s="1"/>
  <c r="H2" i="2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6" i="2" a="1"/>
  <c r="B6" i="2" s="1"/>
  <c r="C6" i="2" l="1" a="1"/>
  <c r="C6" i="2" s="1"/>
  <c r="C5" i="2" a="1"/>
  <c r="C5" i="2" s="1"/>
  <c r="C7" i="2" a="1"/>
  <c r="C7" i="2" s="1"/>
  <c r="D5" i="2" l="1"/>
  <c r="E38" i="2" s="1" a="1"/>
  <c r="E38" i="2" s="1"/>
  <c r="E42" i="2" l="1" a="1"/>
  <c r="E42" i="2" s="1"/>
  <c r="E40" i="2" a="1"/>
  <c r="E40" i="2" s="1"/>
  <c r="E53" i="2" a="1"/>
  <c r="E53" i="2" s="1"/>
  <c r="E5" i="2" a="1"/>
  <c r="E5" i="2" s="1"/>
  <c r="E52" i="2" a="1"/>
  <c r="E52" i="2" s="1"/>
  <c r="E54" i="2" a="1"/>
  <c r="E54" i="2" s="1"/>
  <c r="E45" i="2" a="1"/>
  <c r="E45" i="2" s="1"/>
  <c r="E47" i="2" a="1"/>
  <c r="E47" i="2" s="1"/>
  <c r="E46" i="2" a="1"/>
  <c r="E46" i="2" s="1"/>
  <c r="E51" i="2" a="1"/>
  <c r="E51" i="2" s="1"/>
  <c r="E41" i="2" a="1"/>
  <c r="E41" i="2" s="1"/>
  <c r="E39" i="2" a="1"/>
  <c r="E39" i="2" s="1"/>
  <c r="E49" i="2" a="1"/>
  <c r="E49" i="2" s="1"/>
  <c r="E43" i="2" a="1"/>
  <c r="E43" i="2" s="1"/>
  <c r="E44" i="2" a="1"/>
  <c r="E44" i="2" s="1"/>
  <c r="E50" i="2" a="1"/>
  <c r="E50" i="2" s="1"/>
  <c r="E55" i="2" a="1"/>
  <c r="E55" i="2" s="1"/>
  <c r="E48" i="2" a="1"/>
  <c r="E48" i="2" s="1"/>
  <c r="J43" i="2"/>
  <c r="L43" i="2" s="1"/>
  <c r="G12" i="2" l="1"/>
  <c r="F12" i="2" l="1"/>
  <c r="F30" i="2" s="1" a="1"/>
  <c r="F30" i="2" s="1"/>
  <c r="J42" i="2"/>
  <c r="L42" i="2" s="1"/>
  <c r="E12" i="2"/>
  <c r="E17" i="2" s="1" a="1"/>
  <c r="E17" i="2" s="1"/>
  <c r="G14" i="2" a="1"/>
  <c r="G14" i="2" s="1"/>
  <c r="G19" i="2" a="1"/>
  <c r="G19" i="2" s="1"/>
  <c r="H12" i="2"/>
  <c r="H29" i="2" s="1" a="1"/>
  <c r="H29" i="2" s="1"/>
  <c r="F19" i="2" a="1"/>
  <c r="F19" i="2" s="1"/>
  <c r="E23" i="2" a="1"/>
  <c r="E23" i="2" s="1"/>
  <c r="E26" i="2" a="1"/>
  <c r="E26" i="2" s="1"/>
  <c r="I12" i="2"/>
  <c r="G31" i="2" a="1"/>
  <c r="G31" i="2" s="1"/>
  <c r="G25" i="2" a="1"/>
  <c r="G25" i="2" s="1"/>
  <c r="G18" i="2" a="1"/>
  <c r="G18" i="2" s="1"/>
  <c r="G30" i="2" a="1"/>
  <c r="G30" i="2" s="1"/>
  <c r="G24" i="2" a="1"/>
  <c r="G24" i="2" s="1"/>
  <c r="G23" i="2" a="1"/>
  <c r="G23" i="2" s="1"/>
  <c r="G17" i="2" a="1"/>
  <c r="G17" i="2" s="1"/>
  <c r="G29" i="2" a="1"/>
  <c r="G29" i="2" s="1"/>
  <c r="G22" i="2" a="1"/>
  <c r="G22" i="2" s="1"/>
  <c r="J12" i="2"/>
  <c r="G28" i="2" a="1"/>
  <c r="G28" i="2" s="1"/>
  <c r="G16" i="2" a="1"/>
  <c r="G16" i="2" s="1"/>
  <c r="G27" i="2" a="1"/>
  <c r="G27" i="2" s="1"/>
  <c r="G21" i="2" a="1"/>
  <c r="G21" i="2" s="1"/>
  <c r="G15" i="2" a="1"/>
  <c r="G15" i="2" s="1"/>
  <c r="G26" i="2" a="1"/>
  <c r="G26" i="2" s="1"/>
  <c r="G20" i="2" a="1"/>
  <c r="G20" i="2" s="1"/>
  <c r="C50" i="2" a="1"/>
  <c r="C50" i="2" s="1"/>
  <c r="C45" i="2" a="1"/>
  <c r="C45" i="2" s="1"/>
  <c r="C47" i="2" a="1"/>
  <c r="C47" i="2" s="1"/>
  <c r="C52" i="2" a="1"/>
  <c r="C52" i="2" s="1"/>
  <c r="C43" i="2" a="1"/>
  <c r="C43" i="2" s="1"/>
  <c r="C53" i="2" a="1"/>
  <c r="C53" i="2" s="1"/>
  <c r="C40" i="2" a="1"/>
  <c r="C40" i="2" s="1"/>
  <c r="C42" i="2" a="1"/>
  <c r="C42" i="2" s="1"/>
  <c r="C39" i="2" a="1"/>
  <c r="C39" i="2" s="1"/>
  <c r="C54" i="2" a="1"/>
  <c r="C54" i="2" s="1"/>
  <c r="C38" i="2" a="1"/>
  <c r="C38" i="2" s="1"/>
  <c r="C49" i="2" a="1"/>
  <c r="C49" i="2" s="1"/>
  <c r="C55" i="2" a="1"/>
  <c r="C55" i="2" s="1"/>
  <c r="C44" i="2" a="1"/>
  <c r="C44" i="2" s="1"/>
  <c r="C46" i="2" a="1"/>
  <c r="C46" i="2" s="1"/>
  <c r="C41" i="2" a="1"/>
  <c r="C41" i="2" s="1"/>
  <c r="C51" i="2" a="1"/>
  <c r="C51" i="2" s="1"/>
  <c r="C48" i="2" a="1"/>
  <c r="C48" i="2" s="1"/>
  <c r="E14" i="2" l="1" a="1"/>
  <c r="E14" i="2" s="1"/>
  <c r="E21" i="2" a="1"/>
  <c r="E21" i="2" s="1"/>
  <c r="E15" i="2" a="1"/>
  <c r="E15" i="2" s="1"/>
  <c r="E25" i="2" a="1"/>
  <c r="E25" i="2" s="1"/>
  <c r="E24" i="2" a="1"/>
  <c r="E24" i="2" s="1"/>
  <c r="E18" i="2" a="1"/>
  <c r="E18" i="2" s="1"/>
  <c r="F20" i="2" a="1"/>
  <c r="F20" i="2" s="1"/>
  <c r="F21" i="2" a="1"/>
  <c r="F21" i="2" s="1"/>
  <c r="F22" i="2" a="1"/>
  <c r="F22" i="2" s="1"/>
  <c r="E20" i="2" a="1"/>
  <c r="E20" i="2" s="1"/>
  <c r="E27" i="2" a="1"/>
  <c r="E27" i="2" s="1"/>
  <c r="E19" i="2" a="1"/>
  <c r="E19" i="2" s="1"/>
  <c r="E16" i="2" a="1"/>
  <c r="E16" i="2" s="1"/>
  <c r="E29" i="2" a="1"/>
  <c r="E29" i="2" s="1"/>
  <c r="F25" i="2" a="1"/>
  <c r="F25" i="2" s="1"/>
  <c r="J40" i="2"/>
  <c r="L40" i="2" s="1"/>
  <c r="F29" i="2" a="1"/>
  <c r="F29" i="2" s="1"/>
  <c r="F26" i="2" a="1"/>
  <c r="F26" i="2" s="1"/>
  <c r="E22" i="2" a="1"/>
  <c r="E22" i="2" s="1"/>
  <c r="E30" i="2" a="1"/>
  <c r="E30" i="2" s="1"/>
  <c r="F14" i="2" a="1"/>
  <c r="F14" i="2" s="1"/>
  <c r="F28" i="2" a="1"/>
  <c r="F28" i="2" s="1"/>
  <c r="F27" i="2" a="1"/>
  <c r="F27" i="2" s="1"/>
  <c r="H25" i="2" a="1"/>
  <c r="H25" i="2" s="1"/>
  <c r="F17" i="2" a="1"/>
  <c r="F17" i="2" s="1"/>
  <c r="F31" i="2" a="1"/>
  <c r="F31" i="2" s="1"/>
  <c r="F18" i="2" a="1"/>
  <c r="F18" i="2" s="1"/>
  <c r="F23" i="2" a="1"/>
  <c r="F23" i="2" s="1"/>
  <c r="E31" i="2" a="1"/>
  <c r="E31" i="2" s="1"/>
  <c r="E28" i="2" a="1"/>
  <c r="E28" i="2" s="1"/>
  <c r="F24" i="2" a="1"/>
  <c r="F24" i="2" s="1"/>
  <c r="H17" i="2" a="1"/>
  <c r="H17" i="2" s="1"/>
  <c r="H26" i="2" a="1"/>
  <c r="H26" i="2" s="1"/>
  <c r="H20" i="2" a="1"/>
  <c r="H20" i="2" s="1"/>
  <c r="H14" i="2" a="1"/>
  <c r="H14" i="2" s="1"/>
  <c r="H15" i="2" a="1"/>
  <c r="H15" i="2" s="1"/>
  <c r="H28" i="2" a="1"/>
  <c r="H28" i="2" s="1"/>
  <c r="H22" i="2" a="1"/>
  <c r="H22" i="2" s="1"/>
  <c r="H30" i="2" a="1"/>
  <c r="H30" i="2" s="1"/>
  <c r="H24" i="2" a="1"/>
  <c r="H24" i="2" s="1"/>
  <c r="H19" i="2" a="1"/>
  <c r="H19" i="2" s="1"/>
  <c r="H21" i="2" a="1"/>
  <c r="H21" i="2" s="1"/>
  <c r="H18" i="2" a="1"/>
  <c r="H18" i="2" s="1"/>
  <c r="H27" i="2" a="1"/>
  <c r="H27" i="2" s="1"/>
  <c r="F16" i="2" a="1"/>
  <c r="F16" i="2" s="1"/>
  <c r="F15" i="2" a="1"/>
  <c r="F15" i="2" s="1"/>
  <c r="H16" i="2" a="1"/>
  <c r="H16" i="2" s="1"/>
  <c r="H23" i="2" a="1"/>
  <c r="H23" i="2" s="1"/>
  <c r="H31" i="2" a="1"/>
  <c r="H31" i="2" s="1"/>
  <c r="J20" i="2" a="1"/>
  <c r="J20" i="2" s="1"/>
  <c r="J28" i="2" a="1"/>
  <c r="J28" i="2" s="1"/>
  <c r="J21" i="2" a="1"/>
  <c r="J21" i="2" s="1"/>
  <c r="J29" i="2" a="1"/>
  <c r="J29" i="2" s="1"/>
  <c r="J14" i="2" a="1"/>
  <c r="J14" i="2" s="1"/>
  <c r="J22" i="2" a="1"/>
  <c r="J22" i="2" s="1"/>
  <c r="J30" i="2" a="1"/>
  <c r="J30" i="2" s="1"/>
  <c r="J16" i="2" a="1"/>
  <c r="J16" i="2" s="1"/>
  <c r="J24" i="2" a="1"/>
  <c r="J24" i="2" s="1"/>
  <c r="J15" i="2" a="1"/>
  <c r="J15" i="2" s="1"/>
  <c r="J23" i="2" a="1"/>
  <c r="J23" i="2" s="1"/>
  <c r="J31" i="2" a="1"/>
  <c r="J31" i="2" s="1"/>
  <c r="J17" i="2" a="1"/>
  <c r="J17" i="2" s="1"/>
  <c r="J25" i="2" a="1"/>
  <c r="J25" i="2" s="1"/>
  <c r="J18" i="2" a="1"/>
  <c r="J18" i="2" s="1"/>
  <c r="J26" i="2" a="1"/>
  <c r="J26" i="2" s="1"/>
  <c r="J19" i="2" a="1"/>
  <c r="J19" i="2" s="1"/>
  <c r="J27" i="2" a="1"/>
  <c r="J27" i="2" s="1"/>
  <c r="I17" i="2" a="1"/>
  <c r="I17" i="2" s="1"/>
  <c r="I22" i="2" a="1"/>
  <c r="I22" i="2" s="1"/>
  <c r="I28" i="2" a="1"/>
  <c r="I28" i="2" s="1"/>
  <c r="I23" i="2" a="1"/>
  <c r="I23" i="2" s="1"/>
  <c r="I18" i="2" a="1"/>
  <c r="I18" i="2" s="1"/>
  <c r="I24" i="2" a="1"/>
  <c r="I24" i="2" s="1"/>
  <c r="I29" i="2" a="1"/>
  <c r="I29" i="2" s="1"/>
  <c r="I19" i="2" a="1"/>
  <c r="I19" i="2" s="1"/>
  <c r="I20" i="2" a="1"/>
  <c r="I20" i="2" s="1"/>
  <c r="I25" i="2" a="1"/>
  <c r="I25" i="2" s="1"/>
  <c r="I30" i="2" a="1"/>
  <c r="I30" i="2" s="1"/>
  <c r="I15" i="2" a="1"/>
  <c r="I15" i="2" s="1"/>
  <c r="I31" i="2" a="1"/>
  <c r="I31" i="2" s="1"/>
  <c r="I16" i="2" a="1"/>
  <c r="I16" i="2" s="1"/>
  <c r="I21" i="2" a="1"/>
  <c r="I21" i="2" s="1"/>
  <c r="I26" i="2" a="1"/>
  <c r="I26" i="2" s="1"/>
  <c r="I27" i="2" a="1"/>
  <c r="I27" i="2" s="1"/>
  <c r="I14" i="2" a="1"/>
  <c r="I14" i="2" s="1"/>
  <c r="D42" i="2" l="1"/>
  <c r="D54" i="2"/>
  <c r="D39" i="2"/>
  <c r="D50" i="2"/>
  <c r="D49" i="2"/>
  <c r="D51" i="2"/>
  <c r="D43" i="2"/>
  <c r="D40" i="2"/>
  <c r="D48" i="2"/>
  <c r="D52" i="2"/>
  <c r="D44" i="2"/>
  <c r="D45" i="2"/>
  <c r="D47" i="2"/>
  <c r="D53" i="2"/>
  <c r="D46" i="2"/>
  <c r="D55" i="2"/>
  <c r="D38" i="2"/>
  <c r="J41" i="2" s="1"/>
  <c r="L41" i="2" s="1"/>
  <c r="D4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<sst xmlns="http://schemas.openxmlformats.org/spreadsheetml/2006/main" count="150" uniqueCount="61">
  <si>
    <t>Pi Greco</t>
  </si>
  <si>
    <t>Massa</t>
  </si>
  <si>
    <t>Boltzmann k</t>
  </si>
  <si>
    <t>Planck h</t>
  </si>
  <si>
    <t>Temperatura</t>
  </si>
  <si>
    <t>Qtrasl</t>
  </si>
  <si>
    <t>Qvib</t>
  </si>
  <si>
    <t>Qrot</t>
  </si>
  <si>
    <t>Qel</t>
  </si>
  <si>
    <t>Qvib2</t>
  </si>
  <si>
    <t>Qvib3</t>
  </si>
  <si>
    <t>Qvib4</t>
  </si>
  <si>
    <t>Qvib5</t>
  </si>
  <si>
    <t>Qvib6</t>
  </si>
  <si>
    <t>Qvib7</t>
  </si>
  <si>
    <t>Qvib8</t>
  </si>
  <si>
    <t>Qvib9</t>
  </si>
  <si>
    <t>Qvib1</t>
  </si>
  <si>
    <t>Qtot</t>
  </si>
  <si>
    <t>Volume</t>
  </si>
  <si>
    <t>Rydberg R</t>
  </si>
  <si>
    <t>Avogadro N</t>
  </si>
  <si>
    <t>Simmetry Number</t>
  </si>
  <si>
    <t>Wavenumbers [cm^-1]</t>
  </si>
  <si>
    <t>Frequencies [s^-1]</t>
  </si>
  <si>
    <t>Frequency1</t>
  </si>
  <si>
    <t>Frequency2</t>
  </si>
  <si>
    <t>Frequency3</t>
  </si>
  <si>
    <t>Frequency4</t>
  </si>
  <si>
    <t>Frequency5</t>
  </si>
  <si>
    <t>Frequency6</t>
  </si>
  <si>
    <t>Frequency7</t>
  </si>
  <si>
    <t>Frequency8</t>
  </si>
  <si>
    <t>Frequency9</t>
  </si>
  <si>
    <t>Quantity</t>
  </si>
  <si>
    <t>My value</t>
  </si>
  <si>
    <t>Gaussian</t>
  </si>
  <si>
    <t>Error</t>
  </si>
  <si>
    <t>Theta rot</t>
  </si>
  <si>
    <t>Rotational Constants [Ghz]</t>
  </si>
  <si>
    <t>Rotational Constant [m^-1]</t>
  </si>
  <si>
    <t>Speed of Light [cm/s]</t>
  </si>
  <si>
    <t>Moments of Inertia</t>
  </si>
  <si>
    <t>Speed of Light [m/s]</t>
  </si>
  <si>
    <t>Total Moment of Inertia</t>
  </si>
  <si>
    <t>Q Metano</t>
  </si>
  <si>
    <t>Q Metile</t>
  </si>
  <si>
    <t>Q Idrogeno</t>
  </si>
  <si>
    <t>Q tot</t>
  </si>
  <si>
    <t>V Metano</t>
  </si>
  <si>
    <t>V Idrogeno</t>
  </si>
  <si>
    <t>N Metano</t>
  </si>
  <si>
    <t>N Metile</t>
  </si>
  <si>
    <t>V Metile</t>
  </si>
  <si>
    <t>N Idrogeno</t>
  </si>
  <si>
    <t xml:space="preserve">Ni Metano </t>
  </si>
  <si>
    <t>Ni Metile</t>
  </si>
  <si>
    <t>Ni Idrogeno</t>
  </si>
  <si>
    <t>Costante di equilibrio</t>
  </si>
  <si>
    <t>Numero Avogadro</t>
  </si>
  <si>
    <t>Pressione 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</si>
</sst>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8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32"/>
      <color rgb="FF000000"/>
      <name val="Aptos Narrow"/>
      <family val="2"/>
      <scheme val="minor"/>
    </font>
    <font>
      <sz val="22"/>
      <color rgb="FF000000"/>
      <name val="Aptos Narrow"/>
      <family val="2"/>
      <scheme val="minor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8"/>
      </top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4"/>
      </bottom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20">
    <xf numFmtId="0" fontId="0" fillId="0" borderId="0" xfId="0"/>
    <xf numFmtId="11" fontId="0" fillId="0" borderId="0" xfId="0" applyNumberFormat="1"/>
    <xf numFmtId="0" fontId="0" fillId="0" borderId="2" xfId="0" applyBorder="1"/>
    <xf numFmtId="0" fontId="0" fillId="0" borderId="5" xfId="0" applyBorder="1"/>
    <xf numFmtId="3" fontId="0" fillId="0" borderId="0" xfId="0" applyNumberFormat="1"/>
    <xf numFmtId="0" fontId="2" fillId="3" borderId="0" xfId="0" applyFont="1" applyFill="1"/>
    <xf numFmtId="11" fontId="0" fillId="0" borderId="3" xfId="0" applyNumberFormat="1" applyBorder="1"/>
    <xf numFmtId="11" fontId="0" fillId="0" borderId="1" xfId="0" applyNumberFormat="1" applyBorder="1"/>
    <xf numFmtId="11" fontId="0" fillId="0" borderId="6" xfId="0" applyNumberFormat="1" applyBorder="1"/>
    <xf numFmtId="0" fontId="0" fillId="0" borderId="4" xfId="0" applyBorder="1"/>
    <xf numFmtId="0" fontId="2" fillId="2" borderId="0" xfId="0" applyFont="1" applyFill="1"/>
    <xf numFmtId="11" fontId="0" fillId="0" borderId="4" xfId="0" applyNumberFormat="1" applyBorder="1"/>
    <xf numFmtId="11" fontId="3" fillId="0" borderId="0" xfId="0" applyNumberFormat="1" applyFont="1"/>
    <xf numFmtId="0" fontId="5" fillId="0" borderId="0" xfId="0" applyFont="1"/>
    <xf numFmtId="0" fontId="6" fillId="0" borderId="0" xfId="0" applyFont="1"/>
    <xf numFmtId="10" fontId="0" fillId="0" borderId="0" xfId="0" applyNumberFormat="1"/>
    <xf numFmtId="44" fontId="0" fillId="0" borderId="0" xfId="1" applyFont="1"/>
    <xf numFmtId="9" fontId="0" fillId="0" borderId="0" xfId="2" applyFont="1"/>
    <xf numFmtId="11" fontId="7" fillId="0" borderId="0" xfId="0" applyNumberFormat="1" applyFont="1"/>
    <xf numFmtId="0" fontId="3" fillId="0" borderId="0" xfId="0" applyFont="1"/>
  </cellXfs>
  <cellStyles count="3">
    <cellStyle name="Normale" xfId="0" builtinId="0"/>
    <cellStyle name="Percentuale" xfId="2" builtinId="5"/>
    <cellStyle name="Valuta" xfId="1" builtinId="4"/>
  </cellStyles>
  <dxfs count="75">
    <dxf>
      <numFmt numFmtId="15" formatCode="0.00E+00"/>
    </dxf>
    <dxf>
      <numFmt numFmtId="0" formatCode="General"/>
    </dxf>
    <dxf>
      <numFmt numFmtId="15" formatCode="0.00E+00"/>
    </dxf>
    <dxf>
      <numFmt numFmtId="15" formatCode="0.00E+00"/>
    </dxf>
    <dxf>
      <numFmt numFmtId="15" formatCode="0.00E+00"/>
    </dxf>
    <dxf>
      <numFmt numFmtId="0" formatCode="General"/>
    </dxf>
    <dxf>
      <numFmt numFmtId="15" formatCode="0.00E+00"/>
    </dxf>
    <dxf>
      <numFmt numFmtId="15" formatCode="0.00E+00"/>
    </dxf>
    <dxf>
      <numFmt numFmtId="15" formatCode="0.00E+00"/>
    </dxf>
    <dxf>
      <numFmt numFmtId="0" formatCode="General"/>
    </dxf>
    <dxf>
      <numFmt numFmtId="15" formatCode="0.00E+00"/>
    </dxf>
    <dxf>
      <numFmt numFmtId="15" formatCode="0.00E+00"/>
    </dxf>
    <dxf>
      <numFmt numFmtId="15" formatCode="0.00E+00"/>
    </dxf>
    <dxf>
      <numFmt numFmtId="0" formatCode="General"/>
    </dxf>
    <dxf>
      <numFmt numFmtId="0" formatCode="General"/>
    </dxf>
    <dxf>
      <numFmt numFmtId="0" formatCode="General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0" formatCode="General"/>
    </dxf>
    <dxf>
      <numFmt numFmtId="15" formatCode="0.00E+00"/>
    </dxf>
    <dxf>
      <numFmt numFmtId="0" formatCode="General"/>
    </dxf>
    <dxf>
      <numFmt numFmtId="15" formatCode="0.00E+00"/>
    </dxf>
    <dxf>
      <numFmt numFmtId="15" formatCode="0.00E+0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5" formatCode="0.00E+00"/>
    </dxf>
    <dxf>
      <numFmt numFmtId="15" formatCode="0.00E+00"/>
    </dxf>
    <dxf>
      <numFmt numFmtId="0" formatCode="General"/>
    </dxf>
    <dxf>
      <numFmt numFmtId="0" formatCode="General"/>
    </dxf>
    <dxf>
      <numFmt numFmtId="0" formatCode="General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0" formatCode="General"/>
    </dxf>
    <dxf>
      <numFmt numFmtId="15" formatCode="0.00E+00"/>
    </dxf>
    <dxf>
      <numFmt numFmtId="0" formatCode="General"/>
    </dxf>
    <dxf>
      <numFmt numFmtId="15" formatCode="0.00E+00"/>
    </dxf>
    <dxf>
      <numFmt numFmtId="15" formatCode="0.00E+0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5" formatCode="0.00E+00"/>
    </dxf>
    <dxf>
      <numFmt numFmtId="15" formatCode="0.00E+00"/>
    </dxf>
    <dxf>
      <numFmt numFmtId="0" formatCode="General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0" formatCode="General"/>
    </dxf>
    <dxf>
      <numFmt numFmtId="0" formatCode="General"/>
    </dxf>
    <dxf>
      <numFmt numFmtId="0" formatCode="General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Equilibrium</a:t>
            </a:r>
            <a:r>
              <a:rPr lang="en-US" baseline="0"/>
              <a:t> constant</a:t>
            </a:r>
            <a:r>
              <a:rPr lang="en-US"/>
              <a:t> vs Temperature</a:t>
            </a:r>
          </a:p>
        </c:rich>
      </c:tx>
      <c:layout>
        <c:manualLayout>
          <c:xMode val="edge"/>
          <c:yMode val="edge"/>
          <c:x val="0.33734711286089236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Reazione!$N$6</c:f>
              <c:strCache>
                <c:ptCount val="1"/>
                <c:pt idx="0">
                  <c:v>Costante di equilibrio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Reazione!$A$7:$A$24</c:f>
              <c:numCache>
                <c:formatCode>General</c:formatCode>
                <c:ptCount val="18"/>
                <c:pt idx="0">
                  <c:v>298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xVal>
          <c:yVal>
            <c:numRef>
              <c:f>Reazione!$N$7:$N$24</c:f>
              <c:numCache>
                <c:formatCode>0.00E+00</c:formatCode>
                <c:ptCount val="18"/>
                <c:pt idx="0">
                  <c:v>4.8035579615481779E-13</c:v>
                </c:pt>
                <c:pt idx="1">
                  <c:v>1.2269335916818729E-11</c:v>
                </c:pt>
                <c:pt idx="2">
                  <c:v>7.069494846147754E-11</c:v>
                </c:pt>
                <c:pt idx="3">
                  <c:v>2.0910949501049001E-10</c:v>
                </c:pt>
                <c:pt idx="4">
                  <c:v>4.3114213969261471E-10</c:v>
                </c:pt>
                <c:pt idx="5">
                  <c:v>7.1816184842083477E-10</c:v>
                </c:pt>
                <c:pt idx="6">
                  <c:v>1.0456694633758416E-9</c:v>
                </c:pt>
                <c:pt idx="7">
                  <c:v>1.3925659482040805E-9</c:v>
                </c:pt>
                <c:pt idx="8">
                  <c:v>1.7437200690356147E-9</c:v>
                </c:pt>
                <c:pt idx="9">
                  <c:v>2.0894347863831978E-9</c:v>
                </c:pt>
                <c:pt idx="10">
                  <c:v>2.4240648408506966E-9</c:v>
                </c:pt>
                <c:pt idx="11">
                  <c:v>2.7447030351868223E-9</c:v>
                </c:pt>
                <c:pt idx="12">
                  <c:v>3.0501820056825295E-9</c:v>
                </c:pt>
                <c:pt idx="13">
                  <c:v>3.3403863998620688E-9</c:v>
                </c:pt>
                <c:pt idx="14">
                  <c:v>3.6158035859016715E-9</c:v>
                </c:pt>
                <c:pt idx="15">
                  <c:v>3.8772401594945323E-9</c:v>
                </c:pt>
                <c:pt idx="16">
                  <c:v>4.1256479505748983E-9</c:v>
                </c:pt>
                <c:pt idx="17">
                  <c:v>4.3620202392823435E-9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71-414F-BCD4-739185B34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141759"/>
        <c:axId val="471145599"/>
      </c:scatterChart>
      <c:valAx>
        <c:axId val="471141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145599"/>
        <c:crosses val="autoZero"/>
        <c:crossBetween val="midCat"/>
      </c:valAx>
      <c:valAx>
        <c:axId val="47114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141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Costante di equilibrio vs Temperature</a:t>
            </a:r>
          </a:p>
        </c:rich>
      </c:tx>
      <c:layout>
        <c:manualLayout>
          <c:xMode val="edge"/>
          <c:yMode val="edge"/>
          <c:x val="0.32623600174978129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Reazione!$N$47</c:f>
              <c:strCache>
                <c:ptCount val="1"/>
                <c:pt idx="0">
                  <c:v>Costante di equilibrio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Reazione!$A$48:$A$65</c:f>
              <c:numCache>
                <c:formatCode>General</c:formatCode>
                <c:ptCount val="18"/>
                <c:pt idx="0">
                  <c:v>298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xVal>
          <c:yVal>
            <c:numRef>
              <c:f>Reazione!$N$48:$N$65</c:f>
              <c:numCache>
                <c:formatCode>0.00E+00</c:formatCode>
                <c:ptCount val="18"/>
                <c:pt idx="0">
                  <c:v>2081790223007.3264</c:v>
                </c:pt>
                <c:pt idx="1">
                  <c:v>81504003703.183838</c:v>
                </c:pt>
                <c:pt idx="2">
                  <c:v>14145282255.13752</c:v>
                </c:pt>
                <c:pt idx="3">
                  <c:v>4782183611.2694693</c:v>
                </c:pt>
                <c:pt idx="4">
                  <c:v>2319420692.0088019</c:v>
                </c:pt>
                <c:pt idx="5">
                  <c:v>1392443781.577786</c:v>
                </c:pt>
                <c:pt idx="6">
                  <c:v>956325143.86677969</c:v>
                </c:pt>
                <c:pt idx="7">
                  <c:v>718098845.72407353</c:v>
                </c:pt>
                <c:pt idx="8">
                  <c:v>573486546.23965085</c:v>
                </c:pt>
                <c:pt idx="9">
                  <c:v>478598330.28385407</c:v>
                </c:pt>
                <c:pt idx="10">
                  <c:v>412530219.1376456</c:v>
                </c:pt>
                <c:pt idx="11">
                  <c:v>364338140.47643721</c:v>
                </c:pt>
                <c:pt idx="12">
                  <c:v>327849288.38245946</c:v>
                </c:pt>
                <c:pt idx="13">
                  <c:v>299366564.31162935</c:v>
                </c:pt>
                <c:pt idx="14">
                  <c:v>276563694.96924168</c:v>
                </c:pt>
                <c:pt idx="15">
                  <c:v>257915413.76440507</c:v>
                </c:pt>
                <c:pt idx="16">
                  <c:v>242386168.66488877</c:v>
                </c:pt>
                <c:pt idx="17">
                  <c:v>229251572.69892076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B5-4B6C-91AA-8F47D2B305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6886783"/>
        <c:axId val="2125315551"/>
      </c:scatterChart>
      <c:valAx>
        <c:axId val="1586886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315551"/>
        <c:crosses val="autoZero"/>
        <c:crossBetween val="midCat"/>
      </c:valAx>
      <c:valAx>
        <c:axId val="2125315551"/>
        <c:scaling>
          <c:orientation val="minMax"/>
          <c:min val="229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6886783"/>
        <c:crosses val="autoZero"/>
        <c:crossBetween val="midCat"/>
        <c:majorUnit val="500000000000"/>
        <c:minorUnit val="10000000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30080</xdr:colOff>
      <xdr:row>31</xdr:row>
      <xdr:rowOff>4493</xdr:rowOff>
    </xdr:from>
    <xdr:to>
      <xdr:col>2</xdr:col>
      <xdr:colOff>591554</xdr:colOff>
      <xdr:row>34</xdr:row>
      <xdr:rowOff>128266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ACF1FE1A-0A10-61FB-C3F3-A0B7AABC0B24}"/>
            </a:ext>
          </a:extLst>
        </xdr:cNvPr>
        <xdr:cNvSpPr txBox="1"/>
      </xdr:nvSpPr>
      <xdr:spPr>
        <a:xfrm>
          <a:off x="30080" y="5706355"/>
          <a:ext cx="4502853" cy="6755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000"/>
            <a:t>Comparison with Gaussian</a:t>
          </a:r>
        </a:p>
      </xdr:txBody>
    </xdr:sp>
    <xdr:clientData/>
  </xdr:twoCellAnchor>
  <xdr:twoCellAnchor>
    <xdr:from>
      <xdr:col>7</xdr:col>
      <xdr:colOff>339539</xdr:colOff>
      <xdr:row>33</xdr:row>
      <xdr:rowOff>52040</xdr:rowOff>
    </xdr:from>
    <xdr:to>
      <xdr:col>10</xdr:col>
      <xdr:colOff>979715</xdr:colOff>
      <xdr:row>35</xdr:row>
      <xdr:rowOff>85653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57F7AD0E-1A38-1AE6-0817-9683F66E7EDA}"/>
            </a:ext>
          </a:extLst>
        </xdr:cNvPr>
        <xdr:cNvSpPr txBox="1"/>
      </xdr:nvSpPr>
      <xdr:spPr>
        <a:xfrm>
          <a:off x="10908578" y="5930326"/>
          <a:ext cx="4657994" cy="3898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200"/>
            <a:t>T=298</a:t>
          </a:r>
          <a:r>
            <a:rPr lang="en-US" sz="2200" baseline="0"/>
            <a:t> K</a:t>
          </a:r>
        </a:p>
        <a:p>
          <a:endParaRPr lang="en-US" sz="2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30080</xdr:colOff>
      <xdr:row>11</xdr:row>
      <xdr:rowOff>4493</xdr:rowOff>
    </xdr:from>
    <xdr:to>
      <xdr:col>2</xdr:col>
      <xdr:colOff>591554</xdr:colOff>
      <xdr:row>14</xdr:row>
      <xdr:rowOff>128266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0797E716-1AD2-40F2-B8CC-3C5C1E957F51}"/>
            </a:ext>
          </a:extLst>
        </xdr:cNvPr>
        <xdr:cNvSpPr txBox="1"/>
      </xdr:nvSpPr>
      <xdr:spPr>
        <a:xfrm>
          <a:off x="30080" y="5673773"/>
          <a:ext cx="4501014" cy="6724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000"/>
            <a:t>Comparison with Gaussian</a:t>
          </a:r>
        </a:p>
      </xdr:txBody>
    </xdr:sp>
    <xdr:clientData/>
  </xdr:twoCellAnchor>
  <xdr:twoCellAnchor>
    <xdr:from>
      <xdr:col>7</xdr:col>
      <xdr:colOff>1626031</xdr:colOff>
      <xdr:row>14</xdr:row>
      <xdr:rowOff>22351</xdr:rowOff>
    </xdr:from>
    <xdr:to>
      <xdr:col>11</xdr:col>
      <xdr:colOff>643246</xdr:colOff>
      <xdr:row>16</xdr:row>
      <xdr:rowOff>55964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82633D49-49CC-4563-B118-7B42C80CFCC4}"/>
            </a:ext>
          </a:extLst>
        </xdr:cNvPr>
        <xdr:cNvSpPr txBox="1"/>
      </xdr:nvSpPr>
      <xdr:spPr>
        <a:xfrm>
          <a:off x="12195070" y="6078767"/>
          <a:ext cx="4657994" cy="3898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200"/>
            <a:t>T=298</a:t>
          </a:r>
          <a:r>
            <a:rPr lang="en-US" sz="2200" baseline="0"/>
            <a:t> K</a:t>
          </a:r>
        </a:p>
        <a:p>
          <a:endParaRPr lang="en-US" sz="2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488575</xdr:colOff>
      <xdr:row>24</xdr:row>
      <xdr:rowOff>112059</xdr:rowOff>
    </xdr:from>
    <xdr:to>
      <xdr:col>6</xdr:col>
      <xdr:colOff>251012</xdr:colOff>
      <xdr:row>43</xdr:row>
      <xdr:rowOff>107577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F0446F9F-AE1B-1C0C-179A-E407FB5615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510988</xdr:colOff>
      <xdr:row>0</xdr:row>
      <xdr:rowOff>107576</xdr:rowOff>
    </xdr:from>
    <xdr:to>
      <xdr:col>15</xdr:col>
      <xdr:colOff>116541</xdr:colOff>
      <xdr:row>4</xdr:row>
      <xdr:rowOff>125506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asellaDiTesto 4">
              <a:extLst>
                <a:ext uri="{FF2B5EF4-FFF2-40B4-BE49-F238E27FC236}">
                  <a16:creationId xmlns:a16="http://schemas.microsoft.com/office/drawing/2014/main" id="{F35E0340-01B0-C989-5450-6D35D9037AA3}"/>
                </a:ext>
              </a:extLst>
            </xdr:cNvPr>
            <xdr:cNvSpPr txBox="1"/>
          </xdr:nvSpPr>
          <xdr:spPr>
            <a:xfrm>
              <a:off x="3406588" y="107576"/>
              <a:ext cx="10309412" cy="73510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it-IT" sz="17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it-IT" sz="1700" b="0" i="1">
                          <a:latin typeface="Cambria Math" panose="02040503050406030204" pitchFamily="18" charset="0"/>
                        </a:rPr>
                        <m:t>𝑘</m:t>
                      </m:r>
                    </m:e>
                    <m:sub>
                      <m:r>
                        <a:rPr lang="it-IT" sz="1700" b="0" i="1">
                          <a:latin typeface="Cambria Math" panose="02040503050406030204" pitchFamily="18" charset="0"/>
                        </a:rPr>
                        <m:t>𝑒𝑞</m:t>
                      </m:r>
                    </m:sub>
                  </m:sSub>
                  <m:r>
                    <a:rPr lang="it-IT" sz="1700" b="0" i="1">
                      <a:latin typeface="Cambria Math" panose="02040503050406030204" pitchFamily="18" charset="0"/>
                    </a:rPr>
                    <m:t>=</m:t>
                  </m:r>
                  <m:sSubSup>
                    <m:sSubSupPr>
                      <m:ctrlPr>
                        <a:rPr lang="it-IT" sz="17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SupPr>
                    <m:e>
                      <m:r>
                        <m:rPr>
                          <m:sty m:val="p"/>
                        </m:rPr>
                        <a:rPr lang="el-GR" sz="17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Π</m:t>
                      </m:r>
                    </m:e>
                    <m:sub>
                      <m:r>
                        <a:rPr lang="it-IT" sz="17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𝑖</m:t>
                      </m:r>
                      <m:r>
                        <a:rPr lang="it-IT" sz="17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=1</m:t>
                      </m:r>
                    </m:sub>
                    <m:sup>
                      <m:r>
                        <a:rPr lang="it-IT" sz="17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𝑁𝑐𝑜𝑚𝑝</m:t>
                      </m:r>
                    </m:sup>
                  </m:sSubSup>
                  <m:r>
                    <a:rPr lang="it-IT" sz="17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sSubSup>
                    <m:sSubSupPr>
                      <m:ctrlPr>
                        <a:rPr lang="it-IT" sz="17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SupPr>
                    <m:e>
                      <m:d>
                        <m:dPr>
                          <m:ctrlPr>
                            <a:rPr lang="it-IT" sz="17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dPr>
                        <m:e>
                          <m:f>
                            <m:fPr>
                              <m:ctrlPr>
                                <a:rPr lang="it-IT" sz="17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</m:ctrlPr>
                            </m:fPr>
                            <m:num>
                              <m:sSub>
                                <m:sSubPr>
                                  <m:ctrlPr>
                                    <a:rPr lang="it-IT" sz="17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it-IT" sz="17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𝑄</m:t>
                                  </m:r>
                                </m:e>
                                <m:sub>
                                  <m:r>
                                    <a:rPr lang="it-IT" sz="17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𝑖</m:t>
                                  </m:r>
                                </m:sub>
                              </m:sSub>
                            </m:num>
                            <m:den>
                              <m:sSub>
                                <m:sSubPr>
                                  <m:ctrlPr>
                                    <a:rPr lang="it-IT" sz="17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it-IT" sz="17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𝑁</m:t>
                                  </m:r>
                                </m:e>
                                <m:sub>
                                  <m:r>
                                    <a:rPr lang="it-IT" sz="17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𝑖</m:t>
                                  </m:r>
                                </m:sub>
                              </m:sSub>
                            </m:den>
                          </m:f>
                        </m:e>
                      </m:d>
                    </m:e>
                    <m:sub>
                      <m:r>
                        <a:rPr lang="it-IT" sz="17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  </m:t>
                      </m:r>
                    </m:sub>
                    <m:sup>
                      <m:sSub>
                        <m:sSubPr>
                          <m:ctrlPr>
                            <a:rPr lang="it-IT" sz="17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it-IT" sz="17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𝜐</m:t>
                          </m:r>
                        </m:e>
                        <m:sub>
                          <m:r>
                            <a:rPr lang="it-IT" sz="17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𝑖</m:t>
                          </m:r>
                        </m:sub>
                      </m:sSub>
                    </m:sup>
                  </m:sSubSup>
                </m:oMath>
              </a14:m>
              <a:r>
                <a:rPr lang="en-US" sz="1700"/>
                <a:t> where </a:t>
              </a:r>
              <a14:m>
                <m:oMath xmlns:m="http://schemas.openxmlformats.org/officeDocument/2006/math">
                  <m:sSub>
                    <m:sSubPr>
                      <m:ctrlPr>
                        <a:rPr lang="it-IT" sz="17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7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𝜐</m:t>
                      </m:r>
                    </m:e>
                    <m:sub>
                      <m:r>
                        <a:rPr lang="it-IT" sz="17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𝑖</m:t>
                      </m:r>
                    </m:sub>
                  </m:sSub>
                </m:oMath>
              </a14:m>
              <a:r>
                <a:rPr lang="en-US" sz="1700"/>
                <a:t> is the stoichiometric coefficient(&lt;0 for reagents, &gt;0 for products), </a:t>
              </a:r>
              <a14:m>
                <m:oMath xmlns:m="http://schemas.openxmlformats.org/officeDocument/2006/math">
                  <m:sSub>
                    <m:sSubPr>
                      <m:ctrlPr>
                        <a:rPr lang="it-IT" sz="17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it-IT" sz="1700" b="0" i="1">
                          <a:latin typeface="Cambria Math" panose="02040503050406030204" pitchFamily="18" charset="0"/>
                        </a:rPr>
                        <m:t>𝑁</m:t>
                      </m:r>
                    </m:e>
                    <m:sub>
                      <m:r>
                        <a:rPr lang="it-IT" sz="1700" b="0" i="1">
                          <a:latin typeface="Cambria Math" panose="02040503050406030204" pitchFamily="18" charset="0"/>
                        </a:rPr>
                        <m:t>𝑖</m:t>
                      </m:r>
                    </m:sub>
                  </m:sSub>
                  <m:r>
                    <a:rPr lang="it-IT" sz="17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it-IT" sz="17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it-IT" sz="1700" b="0" i="1">
                          <a:latin typeface="Cambria Math" panose="02040503050406030204" pitchFamily="18" charset="0"/>
                        </a:rPr>
                        <m:t>𝑁</m:t>
                      </m:r>
                    </m:e>
                    <m:sub>
                      <m:r>
                        <a:rPr lang="it-IT" sz="1700" b="0" i="1">
                          <a:latin typeface="Cambria Math" panose="02040503050406030204" pitchFamily="18" charset="0"/>
                        </a:rPr>
                        <m:t>𝑎𝑣𝑜</m:t>
                      </m:r>
                    </m:sub>
                  </m:sSub>
                  <m:r>
                    <a:rPr lang="it-IT" sz="1700" b="0" i="1">
                      <a:latin typeface="Cambria Math" panose="02040503050406030204" pitchFamily="18" charset="0"/>
                    </a:rPr>
                    <m:t>∗</m:t>
                  </m:r>
                  <m:f>
                    <m:fPr>
                      <m:ctrlPr>
                        <a:rPr lang="it-IT" sz="17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sSub>
                        <m:sSubPr>
                          <m:ctrlPr>
                            <a:rPr lang="it-IT" sz="17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it-IT" sz="1700" b="0" i="1">
                              <a:latin typeface="Cambria Math" panose="02040503050406030204" pitchFamily="18" charset="0"/>
                            </a:rPr>
                            <m:t>𝑝</m:t>
                          </m:r>
                        </m:e>
                        <m:sub>
                          <m:r>
                            <a:rPr lang="it-IT" sz="1700" b="0" i="1">
                              <a:latin typeface="Cambria Math" panose="02040503050406030204" pitchFamily="18" charset="0"/>
                            </a:rPr>
                            <m:t>𝑟𝑖𝑓</m:t>
                          </m:r>
                        </m:sub>
                      </m:sSub>
                      <m:r>
                        <a:rPr lang="it-IT" sz="1700" b="0" i="1">
                          <a:latin typeface="Cambria Math" panose="02040503050406030204" pitchFamily="18" charset="0"/>
                        </a:rPr>
                        <m:t>𝑉</m:t>
                      </m:r>
                    </m:num>
                    <m:den>
                      <m:r>
                        <a:rPr lang="it-IT" sz="1700" b="0" i="1">
                          <a:latin typeface="Cambria Math" panose="02040503050406030204" pitchFamily="18" charset="0"/>
                        </a:rPr>
                        <m:t>𝑅𝑇</m:t>
                      </m:r>
                    </m:den>
                  </m:f>
                </m:oMath>
              </a14:m>
              <a:r>
                <a:rPr lang="en-US" sz="1700"/>
                <a:t>  </a:t>
              </a:r>
            </a:p>
          </xdr:txBody>
        </xdr:sp>
      </mc:Choice>
      <mc:Fallback>
        <xdr:sp macro="" textlink="">
          <xdr:nvSpPr>
            <xdr:cNvPr id="5" name="CasellaDiTesto 4">
              <a:extLst>
                <a:ext uri="{FF2B5EF4-FFF2-40B4-BE49-F238E27FC236}">
                  <a16:creationId xmlns:a16="http://schemas.microsoft.com/office/drawing/2014/main" id="{F35E0340-01B0-C989-5450-6D35D9037AA3}"/>
                </a:ext>
              </a:extLst>
            </xdr:cNvPr>
            <xdr:cNvSpPr txBox="1"/>
          </xdr:nvSpPr>
          <xdr:spPr>
            <a:xfrm>
              <a:off x="3406588" y="107576"/>
              <a:ext cx="10309412" cy="73510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it-IT" sz="1700" b="0" i="0">
                  <a:latin typeface="Cambria Math" panose="02040503050406030204" pitchFamily="18" charset="0"/>
                </a:rPr>
                <a:t>𝑘_𝑒𝑞=</a:t>
              </a:r>
              <a:r>
                <a:rPr lang="el-GR" sz="17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Π</a:t>
              </a:r>
              <a:r>
                <a:rPr lang="it-IT" sz="17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_(𝑖=1)^𝑁𝑐𝑜𝑚𝑝  (𝑄_𝑖/𝑁_𝑖 )_(  )^(𝜐_𝑖 )</a:t>
              </a:r>
              <a:r>
                <a:rPr lang="en-US" sz="1700"/>
                <a:t> where </a:t>
              </a:r>
              <a:r>
                <a:rPr lang="en-US" sz="17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𝜐</a:t>
              </a:r>
              <a:r>
                <a:rPr lang="it-IT" sz="17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_𝑖</a:t>
              </a:r>
              <a:r>
                <a:rPr lang="en-US" sz="1700"/>
                <a:t> is the stoichiometric coefficient(&lt;0 for reagents, &gt;0 for products), </a:t>
              </a:r>
              <a:r>
                <a:rPr lang="it-IT" sz="1700" b="0" i="0">
                  <a:latin typeface="Cambria Math" panose="02040503050406030204" pitchFamily="18" charset="0"/>
                </a:rPr>
                <a:t>𝑁_𝑖=𝑁_𝑎𝑣𝑜∗(𝑝_𝑟𝑖𝑓 𝑉)/𝑅𝑇</a:t>
              </a:r>
              <a:r>
                <a:rPr lang="en-US" sz="1700"/>
                <a:t>  </a:t>
              </a:r>
            </a:p>
          </xdr:txBody>
        </xdr:sp>
      </mc:Fallback>
    </mc:AlternateContent>
    <xdr:clientData/>
  </xdr:twoCellAnchor>
  <xdr:twoCellAnchor>
    <xdr:from>
      <xdr:col>6</xdr:col>
      <xdr:colOff>735106</xdr:colOff>
      <xdr:row>26</xdr:row>
      <xdr:rowOff>53788</xdr:rowOff>
    </xdr:from>
    <xdr:to>
      <xdr:col>10</xdr:col>
      <xdr:colOff>519953</xdr:colOff>
      <xdr:row>31</xdr:row>
      <xdr:rowOff>0</xdr:rowOff>
    </xdr:to>
    <xdr:sp macro="" textlink="">
      <xdr:nvSpPr>
        <xdr:cNvPr id="6" name="CasellaDiTesto 5">
          <a:extLst>
            <a:ext uri="{FF2B5EF4-FFF2-40B4-BE49-F238E27FC236}">
              <a16:creationId xmlns:a16="http://schemas.microsoft.com/office/drawing/2014/main" id="{8717CDAF-2D02-7988-5217-C4669766743F}"/>
            </a:ext>
          </a:extLst>
        </xdr:cNvPr>
        <xdr:cNvSpPr txBox="1"/>
      </xdr:nvSpPr>
      <xdr:spPr>
        <a:xfrm>
          <a:off x="6544235" y="4715435"/>
          <a:ext cx="3478306" cy="8426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/>
            <a:t>Here i considered CH4 as product,</a:t>
          </a:r>
          <a:r>
            <a:rPr lang="en-US" sz="2000" baseline="0"/>
            <a:t> CH3 and H as reagents</a:t>
          </a:r>
        </a:p>
        <a:p>
          <a:endParaRPr lang="en-US" sz="2000"/>
        </a:p>
      </xdr:txBody>
    </xdr:sp>
    <xdr:clientData/>
  </xdr:twoCellAnchor>
  <xdr:twoCellAnchor>
    <xdr:from>
      <xdr:col>0</xdr:col>
      <xdr:colOff>309281</xdr:colOff>
      <xdr:row>65</xdr:row>
      <xdr:rowOff>156882</xdr:rowOff>
    </xdr:from>
    <xdr:to>
      <xdr:col>6</xdr:col>
      <xdr:colOff>600635</xdr:colOff>
      <xdr:row>83</xdr:row>
      <xdr:rowOff>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95BA5B93-D6F2-6E36-9028-F80966E461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251012</xdr:colOff>
      <xdr:row>67</xdr:row>
      <xdr:rowOff>17929</xdr:rowOff>
    </xdr:from>
    <xdr:to>
      <xdr:col>9</xdr:col>
      <xdr:colOff>779930</xdr:colOff>
      <xdr:row>71</xdr:row>
      <xdr:rowOff>134471</xdr:rowOff>
    </xdr:to>
    <xdr:sp macro="" textlink="">
      <xdr:nvSpPr>
        <xdr:cNvPr id="8" name="CasellaDiTesto 7">
          <a:extLst>
            <a:ext uri="{FF2B5EF4-FFF2-40B4-BE49-F238E27FC236}">
              <a16:creationId xmlns:a16="http://schemas.microsoft.com/office/drawing/2014/main" id="{4D605ED5-265B-871E-A068-81C5FC16B055}"/>
            </a:ext>
          </a:extLst>
        </xdr:cNvPr>
        <xdr:cNvSpPr txBox="1"/>
      </xdr:nvSpPr>
      <xdr:spPr>
        <a:xfrm>
          <a:off x="6920753" y="12030635"/>
          <a:ext cx="2321859" cy="8337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/>
            <a:t>CH4 as reagent, H and CH3 as products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CD9886B-2BA2-43B7-B749-D55870721935}" name="Tabella335" displayName="Tabella335" ref="A1:H2" totalsRowShown="0">
  <autoFilter ref="A1:H2" xr:uid="{02869E67-574E-4326-A3F8-F299078BC917}"/>
  <tableColumns count="8">
    <tableColumn id="1" xr3:uid="{359A78C7-DF6C-4B92-A70B-25FCCBC8F300}" name="Pi Greco"/>
    <tableColumn id="2" xr3:uid="{39DB9692-012C-43E5-9503-37DA3156CB18}" name="Massa" dataDxfId="74">
      <calculatedColumnFormula>16.04*1.6605655E-27</calculatedColumnFormula>
    </tableColumn>
    <tableColumn id="3" xr3:uid="{83D4BD8E-9440-45C3-A1E7-65DB7026F916}" name="Boltzmann k"/>
    <tableColumn id="4" xr3:uid="{D752718E-F448-406D-9F4D-0D513EBCAC36}" name="Planck h"/>
    <tableColumn id="5" xr3:uid="{89B1C40C-32E2-4CC5-B432-4DF00E73BAF7}" name="Rydberg R"/>
    <tableColumn id="6" xr3:uid="{BD052472-F422-4564-AD71-C2BA257DA3D3}" name="Avogadro N"/>
    <tableColumn id="7" xr3:uid="{86C9CE9C-2F55-4F16-A430-51C2E9246957}" name="Speed of Light [cm/s]"/>
    <tableColumn id="8" xr3:uid="{A6183CBF-8761-4381-8E7C-E98150F0D252}" name="Speed of Light [m/s]">
      <calculatedColumnFormula>Tabella335[[#This Row],[Speed of Light '[cm/s']]]*POWER(10,-2)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0D94488-3AAD-43D5-82F5-A2971EEB9323}" name="Tabella6197" displayName="Tabella6197" ref="A10:A11" totalsRowShown="0">
  <autoFilter ref="A10:A11" xr:uid="{EBAD8B2B-7816-44DE-867A-C80A23B2F7AF}"/>
  <tableColumns count="1">
    <tableColumn id="1" xr3:uid="{E807EDA7-2027-47FF-8A22-09D666B2F037}" name="Simmetry Number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0B2B32A-BEAE-4B76-8B85-EC4E3DB4BCE6}" name="Tabella8209" displayName="Tabella8209" ref="D13:N31" totalsRowShown="0">
  <autoFilter ref="D13:N31" xr:uid="{D37DB2BB-42C8-44C8-829B-D34114293CBD}"/>
  <tableColumns count="11">
    <tableColumn id="1" xr3:uid="{BEB350EC-7A5F-403F-8F36-CD26D2D802B3}" name="Temperatura"/>
    <tableColumn id="2" xr3:uid="{8F4A198F-B4B6-4640-ACDC-FD99337C193D}" name="Qvib1" dataDxfId="73">
      <calculatedColumnFormula array="1">(EXP(-(Tabella335[Planck h]*Tabella4923[Frequency1])/(2*Tabella335[Boltzmann k]*Tabella8209[[#This Row],[Temperatura]])))/(1-EXP(-(Tabella335[Planck h]*Tabella4923[Frequency1])/(Tabella335[Boltzmann k]*Tabella8209[[#This Row],[Temperatura]])))</calculatedColumnFormula>
    </tableColumn>
    <tableColumn id="3" xr3:uid="{4E66DF92-B03E-4E22-ABE1-5D2FE5537011}" name="Qvib2" dataDxfId="72">
      <calculatedColumnFormula array="1">(EXP(-(Tabella335[Planck h]*Tabella4923[Frequency2])/(2*Tabella335[Boltzmann k]*Tabella8209[[#This Row],[Temperatura]])))/(1-EXP(-(Tabella335[Planck h]*Tabella4923[Frequency2])/(Tabella335[Boltzmann k]*Tabella8209[[#This Row],[Temperatura]])))</calculatedColumnFormula>
    </tableColumn>
    <tableColumn id="4" xr3:uid="{56661D52-F184-45ED-9822-DC219F11C18C}" name="Qvib3" dataDxfId="71">
      <calculatedColumnFormula array="1">(EXP(-(Tabella335[Planck h]*Tabella4923[Frequency3])/(2*Tabella335[Boltzmann k]*Tabella8209[[#This Row],[Temperatura]])))/(1-EXP(-(Tabella335[Planck h]*Tabella4923[Frequency3])/(Tabella335[Boltzmann k]*Tabella8209[[#This Row],[Temperatura]])))</calculatedColumnFormula>
    </tableColumn>
    <tableColumn id="5" xr3:uid="{756A184F-682E-4797-A615-E6392851DF93}" name="Qvib4" dataDxfId="70">
      <calculatedColumnFormula array="1">(EXP(-(Tabella335[Planck h]*Tabella4923[Frequency4])/(2*Tabella335[Boltzmann k]*Tabella8209[[#This Row],[Temperatura]])))/(1-EXP(-(Tabella335[Planck h]*Tabella4923[Frequency4])/(Tabella335[Boltzmann k]*Tabella8209[[#This Row],[Temperatura]])))</calculatedColumnFormula>
    </tableColumn>
    <tableColumn id="6" xr3:uid="{633158FE-1F06-4181-94C9-76A38C989F31}" name="Qvib5" dataDxfId="69">
      <calculatedColumnFormula array="1">(EXP(-(Tabella335[Planck h]*Tabella4923[Frequency5])/(2*Tabella335[Boltzmann k]*Tabella8209[[#This Row],[Temperatura]])))/(1-EXP(-(Tabella335[Planck h]*Tabella4923[Frequency5])/(Tabella335[Boltzmann k]*Tabella8209[[#This Row],[Temperatura]])))</calculatedColumnFormula>
    </tableColumn>
    <tableColumn id="7" xr3:uid="{1C12E993-18A7-4579-9D3D-871960F10172}" name="Qvib6" dataDxfId="68">
      <calculatedColumnFormula array="1">(EXP(-(Tabella335[Planck h]*Tabella4923[Frequency6])/(2*Tabella335[Boltzmann k]*Tabella8209[[#This Row],[Temperatura]])))/(1-EXP(-(Tabella335[Planck h]*Tabella4923[Frequency6])/(Tabella335[Boltzmann k]*Tabella8209[[#This Row],[Temperatura]])))</calculatedColumnFormula>
    </tableColumn>
    <tableColumn id="8" xr3:uid="{68145536-295A-4745-8C80-F3EE1EB250FD}" name="Qvib7" dataDxfId="67">
      <calculatedColumnFormula array="1">(EXP(-(Tabella335[Planck h]*Tabella4923[Frequency7])/(2*Tabella335[Boltzmann k]*Tabella8209[[#This Row],[Temperatura]])))/(1-EXP(-(Tabella335[Planck h]*Tabella4923[Frequency7])/(Tabella335[Boltzmann k]*Tabella8209[[#This Row],[Temperatura]])))</calculatedColumnFormula>
    </tableColumn>
    <tableColumn id="9" xr3:uid="{62ED8F47-8CE3-4964-AB45-459BA04A36C3}" name="Qvib8" dataDxfId="66">
      <calculatedColumnFormula array="1">(EXP(-(Tabella335[Planck h]*Tabella4923[Frequency8])/(2*Tabella335[Boltzmann k]*Tabella8209[[#This Row],[Temperatura]])))/(1-EXP(-(Tabella335[Planck h]*Tabella4923[Frequency8])/(Tabella335[Boltzmann k]*Tabella8209[[#This Row],[Temperatura]])))</calculatedColumnFormula>
    </tableColumn>
    <tableColumn id="10" xr3:uid="{0B0979EA-C3BF-4AD5-9421-0BC7E75CC9C2}" name="Qvib9" dataDxfId="65">
      <calculatedColumnFormula array="1">(EXP(-(Tabella335[Planck h]*Tabella4923[Frequency9])/(2*Tabella335[Boltzmann k]*Tabella8209[[#This Row],[Temperatura]])))/(1-EXP(-(Tabella335[Planck h]*Tabella4923[Frequency9])/(Tabella335[Boltzmann k]*Tabella8209[[#This Row],[Temperatura]])))</calculatedColumnFormula>
    </tableColumn>
    <tableColumn id="13" xr3:uid="{8AF26BDA-8CF8-4CA4-A29B-26370BAE1F19}" name="Qtot" dataDxfId="64">
      <calculatedColumnFormula>PRODUCT(Tabella8209[[#This Row],[Qvib1]:[Qvib9]])</calculatedColumnFormula>
    </tableColumn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5DB9881A-00E7-409A-8F4A-B251C9B97128}" name="Tabella4722" displayName="Tabella4722" ref="A13:B22" totalsRowShown="0">
  <autoFilter ref="A13:B22" xr:uid="{996FA648-1F19-4D59-83D9-D4B2B2E632E9}"/>
  <tableColumns count="2">
    <tableColumn id="1" xr3:uid="{2BEC7974-03D8-4CE4-96BC-ACDF0DBAA0E0}" name="Wavenumbers [cm^-1]"/>
    <tableColumn id="2" xr3:uid="{53DB8462-B945-455D-AF7E-9EC1761C9BEB}" name="Frequencies [s^-1]" dataDxfId="63">
      <calculatedColumnFormula array="1">Tabella4722[[#This Row],[Wavenumbers '[cm^-1']]]*Tabella335[Speed of Light '[cm/s']]</calculatedColumnFormula>
    </tableColumn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4F8530D1-FC36-4AFE-AD90-21CFE329D058}" name="Tabella4923" displayName="Tabella4923" ref="E11:M12" totalsRowShown="0">
  <autoFilter ref="E11:M12" xr:uid="{E2735D04-D63D-4F0F-9401-08A62264EBAF}"/>
  <tableColumns count="9">
    <tableColumn id="1" xr3:uid="{76F5C76C-A76B-47EF-B5F7-B343F88099BB}" name="Frequency1">
      <calculatedColumnFormula>B14</calculatedColumnFormula>
    </tableColumn>
    <tableColumn id="2" xr3:uid="{598D0B3E-0436-48E0-950E-F184403AC280}" name="Frequency2">
      <calculatedColumnFormula>B15</calculatedColumnFormula>
    </tableColumn>
    <tableColumn id="3" xr3:uid="{2344A8BC-7345-4802-8E58-47344F67B740}" name="Frequency3">
      <calculatedColumnFormula>B16</calculatedColumnFormula>
    </tableColumn>
    <tableColumn id="4" xr3:uid="{E85C4EAF-BE9E-4BD8-B804-34E812687E02}" name="Frequency4">
      <calculatedColumnFormula>B17</calculatedColumnFormula>
    </tableColumn>
    <tableColumn id="5" xr3:uid="{BB31B97F-ACC4-4EE3-996B-7A6CE64B4B22}" name="Frequency5">
      <calculatedColumnFormula>B18</calculatedColumnFormula>
    </tableColumn>
    <tableColumn id="6" xr3:uid="{2F9F2255-C477-474A-8834-961F3DE50057}" name="Frequency6">
      <calculatedColumnFormula>B19</calculatedColumnFormula>
    </tableColumn>
    <tableColumn id="7" xr3:uid="{B505AE98-564E-4869-B28D-C423FA42A07C}" name="Frequency7">
      <calculatedColumnFormula>B20</calculatedColumnFormula>
    </tableColumn>
    <tableColumn id="8" xr3:uid="{E5F46BA4-C43B-4A19-B4A9-AFEE00AA414A}" name="Frequency8">
      <calculatedColumnFormula>B21</calculatedColumnFormula>
    </tableColumn>
    <tableColumn id="9" xr3:uid="{AE00BD4D-E40F-47F4-8534-7DC4EAA501F7}" name="Frequency9">
      <calculatedColumnFormula>B22</calculatedColumnFormula>
    </tableColumn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F355DCFE-7641-4D31-883F-4A40B88FACF8}" name="Tabella5024" displayName="Tabella5024" ref="A4:C7" totalsRowShown="0">
  <autoFilter ref="A4:C7" xr:uid="{ED80CB8D-EC6B-4526-9897-F7F1F271AD77}"/>
  <tableColumns count="3">
    <tableColumn id="2" xr3:uid="{F48C41B2-2614-4BAC-9320-37C7956C85BE}" name="Rotational Constants [Ghz]" dataDxfId="62">
      <calculatedColumnFormula>#REF!*(0.000000000000000001)</calculatedColumnFormula>
    </tableColumn>
    <tableColumn id="1" xr3:uid="{6B5AEF40-EB3A-4CA5-96DA-5BDB6FA287B5}" name="Rotational Constant [m^-1]" dataDxfId="61">
      <calculatedColumnFormula array="1">((Tabella5024[[#This Row],[Rotational Constants '[Ghz']]]*1000000000)/Tabella335[Speed of Light '[cm/s']])*100</calculatedColumnFormula>
    </tableColumn>
    <tableColumn id="3" xr3:uid="{04C3946A-1CA3-41AE-8C42-AD76BEB0C96F}" name="Moments of Inertia" dataDxfId="60">
      <calculatedColumnFormula array="1">Tabella335[Planck h]/(8*POWER(Tabella335[Pi Greco],2)*Tabella5024[[#This Row],[Rotational Constant '[m^-1']]]*Tabella335[Speed of Light '[m/s']])</calculatedColumnFormula>
    </tableColumn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C71863F6-996C-43F3-A38E-A0CED99EE09B}" name="Tabella131" displayName="Tabella131" ref="D4:D5" totalsRowShown="0">
  <autoFilter ref="D4:D5" xr:uid="{3C990FC7-FE5D-452F-ADBD-18102BAA2FD2}"/>
  <tableColumns count="1">
    <tableColumn id="1" xr3:uid="{7B70E98B-D1CE-4963-8CA1-FBEF037304E8}" name="Total Moment of Inertia">
      <calculatedColumnFormula>SQRT(PRODUCT(Tabella5024[Moments of Inertia]))</calculatedColumnFormula>
    </tableColumn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5C68958A-2CE2-4378-82CB-BC30B49BB18D}" name="Tabella332" displayName="Tabella332" ref="E4:E5" totalsRowShown="0">
  <autoFilter ref="E4:E5" xr:uid="{19FCCA57-C0DF-4544-90B5-3B6D943A2ED0}"/>
  <tableColumns count="1">
    <tableColumn id="1" xr3:uid="{C1A0C840-0C40-4AFD-A18A-B18EDFD7C75C}" name="Theta rot">
      <calculatedColumnFormula array="1">POWER(Tabella335[Planck h],2)/(8*POWER(Tabella335[Pi Greco],2)*Tabella131[[#This Row],[Total Moment of Inertia]]*Tabella335[Boltzmann k])</calculatedColumnFormula>
    </tableColumn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1F8E93C9-887A-4F30-82A6-C4CCF5B75AA7}" name="Tabella5183445" displayName="Tabella5183445" ref="A36:G54" totalsRowShown="0">
  <autoFilter ref="A36:G54" xr:uid="{1F8E93C9-887A-4F30-82A6-C4CCF5B75AA7}"/>
  <tableColumns count="7">
    <tableColumn id="1" xr3:uid="{AEF8CF48-2373-482A-8BB2-D6253913E6B1}" name="Temperatura"/>
    <tableColumn id="12" xr3:uid="{2D6EB077-203E-4753-B4D2-AAF5539670B9}" name="Volume" dataDxfId="59">
      <calculatedColumnFormula array="1">(Tabella335[Boltzmann k]*Tabella5183445[[#This Row],[Temperatura]])/101325</calculatedColumnFormula>
    </tableColumn>
    <tableColumn id="2" xr3:uid="{D14B2469-B81C-4990-851E-E10DD58402C8}" name="Qtrasl" dataDxfId="58">
      <calculatedColumnFormula array="1">POWER((2*Tabella335[Pi Greco]*Tabella335[Massa]*Tabella335[Boltzmann k]*Tabella5183445[[#This Row],[Temperatura]])/(POWER(Tabella335[Planck h],2)),1.5)*Tabella5183445[[#This Row],[Volume]]</calculatedColumnFormula>
    </tableColumn>
    <tableColumn id="3" xr3:uid="{27722F6C-AD14-444D-BFDF-92F4F0F47373}" name="Qvib" dataDxfId="57">
      <calculatedColumnFormula>N14</calculatedColumnFormula>
    </tableColumn>
    <tableColumn id="4" xr3:uid="{DACA5FBB-551E-49E3-8DC5-64518DF79A82}" name="Qrot" dataDxfId="56">
      <calculatedColumnFormula array="1">(8*POWER(Tabella335[Pi Greco],2)*POWER(2*Tabella335[Pi Greco]*Tabella335[Boltzmann k]*Tabella5183445[[#This Row],[Temperatura]],1.5)*Tabella131[Total Moment of Inertia])/(Tabella6197[Simmetry Number]*POWER(Tabella335[Planck h],3))</calculatedColumnFormula>
    </tableColumn>
    <tableColumn id="5" xr3:uid="{C182DA65-FF6B-4F19-B42C-4D9111F4E2A4}" name="Qel" dataDxfId="55">
      <calculatedColumnFormula>1</calculatedColumnFormula>
    </tableColumn>
    <tableColumn id="6" xr3:uid="{1CF70571-C336-4C13-A223-102B375B26E2}" name="Qtot" dataDxfId="54">
      <calculatedColumnFormula>PRODUCT(Tabella5183445[[#This Row],[Qtrasl]:[Qel]])</calculatedColumnFormula>
    </tableColumn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3DF9A53-EAAC-4572-9B22-57E0EF2AAD07}" name="Tabella74046" displayName="Tabella74046" ref="I37:I41" totalsRowShown="0">
  <autoFilter ref="I37:I41" xr:uid="{03DF9A53-EAAC-4572-9B22-57E0EF2AAD07}"/>
  <tableColumns count="1">
    <tableColumn id="1" xr3:uid="{367812AA-2A8A-4FAE-A455-C05B2662228F}" name="Quantity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28C7E15E-C69F-41DA-82A9-A286A47FB911}" name="Tabella204147" displayName="Tabella204147" ref="J37:L41" totalsRowShown="0">
  <autoFilter ref="J37:L41" xr:uid="{28C7E15E-C69F-41DA-82A9-A286A47FB911}"/>
  <tableColumns count="3">
    <tableColumn id="1" xr3:uid="{254F4573-0CBE-484A-BD94-71751A1EBCE9}" name="My value"/>
    <tableColumn id="2" xr3:uid="{28E54185-05D2-4152-86C3-DD45293D66CB}" name="Gaussian"/>
    <tableColumn id="3" xr3:uid="{8F899665-046B-4333-BC05-4826B2930BB6}" name="Error" dataDxfId="53">
      <calculatedColumnFormula>ABS(Tabella204147[[#This Row],[My value]]-Tabella204147[[#This Row],[Gaussian]])/Tabella204147[[#This Row],[Gaussian]]</calculatedColumnFormula>
    </tableColumn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7D427C-F0B5-4E1D-B50F-0A06272BD560}" name="Tabella33" displayName="Tabella33" ref="A1:H2" totalsRowShown="0">
  <autoFilter ref="A1:H2" xr:uid="{02869E67-574E-4326-A3F8-F299078BC917}"/>
  <tableColumns count="8">
    <tableColumn id="1" xr3:uid="{359A78C7-DF6C-4B92-A70B-25FCCBC8F300}" name="Pi Greco"/>
    <tableColumn id="2" xr3:uid="{39DB9692-012C-43E5-9503-37DA3156CB18}" name="Massa" dataDxfId="52">
      <calculatedColumnFormula>15.0345*1.6605655E-27</calculatedColumnFormula>
    </tableColumn>
    <tableColumn id="3" xr3:uid="{83D4BD8E-9440-45C3-A1E7-65DB7026F916}" name="Boltzmann k"/>
    <tableColumn id="4" xr3:uid="{D752718E-F448-406D-9F4D-0D513EBCAC36}" name="Planck h"/>
    <tableColumn id="5" xr3:uid="{89B1C40C-32E2-4CC5-B432-4DF00E73BAF7}" name="Rydberg R"/>
    <tableColumn id="6" xr3:uid="{BD052472-F422-4564-AD71-C2BA257DA3D3}" name="Avogadro N"/>
    <tableColumn id="7" xr3:uid="{86C9CE9C-2F55-4F16-A430-51C2E9246957}" name="Speed of Light [cm/s]"/>
    <tableColumn id="8" xr3:uid="{A6183CBF-8761-4381-8E7C-E98150F0D252}" name="Speed of Light [m/s]">
      <calculatedColumnFormula>Tabella33[[#This Row],[Speed of Light '[cm/s']]]*POWER(10,-2)</calculatedColumnFormula>
    </tableColumn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A4C7F7C-239D-4107-907D-A841C7E22C07}" name="Tabella518" displayName="Tabella518" ref="A37:G55" totalsRowShown="0">
  <autoFilter ref="A37:G55" xr:uid="{81335CEC-6353-4671-833B-07B0D1500060}"/>
  <tableColumns count="7">
    <tableColumn id="1" xr3:uid="{5C8D1301-0A56-47DA-A188-AAEEA4CA859D}" name="Temperatura"/>
    <tableColumn id="12" xr3:uid="{5AA952BB-D3E3-46B3-9306-17F0A6A4D357}" name="Volume" dataDxfId="51">
      <calculatedColumnFormula array="1">(Tabella33[Boltzmann k]*Tabella518[[#This Row],[Temperatura]])/101325</calculatedColumnFormula>
    </tableColumn>
    <tableColumn id="2" xr3:uid="{40D76F8C-7A19-44F3-8AC2-3C7DB55CE916}" name="Qtrasl" dataDxfId="50">
      <calculatedColumnFormula array="1">POWER((2*Tabella33[Pi Greco]*Tabella33[Massa]*Tabella33[Boltzmann k]*Tabella518[[#This Row],[Temperatura]])/(POWER(Tabella33[Planck h],2)),1.5)*Tabella518[[#This Row],[Volume]]</calculatedColumnFormula>
    </tableColumn>
    <tableColumn id="3" xr3:uid="{BA76B72C-D000-49DD-883F-B5DA793E041F}" name="Qvib" dataDxfId="49">
      <calculatedColumnFormula>PRODUCT(E14:J14)</calculatedColumnFormula>
    </tableColumn>
    <tableColumn id="4" xr3:uid="{CCBA3B6C-E2A3-4D35-87F6-DB25480D0FC6}" name="Qrot" dataDxfId="48">
      <calculatedColumnFormula array="1">(8*POWER(Tabella33[Pi Greco],2)*POWER(2*Tabella33[Pi Greco]*Tabella33[Boltzmann k]*Tabella518[[#This Row],[Temperatura]],1.5)*Tabella1[Total Moment of Inertia])/(Tabella619[Simmetry Number]*POWER(Tabella33[Planck h],3))</calculatedColumnFormula>
    </tableColumn>
    <tableColumn id="5" xr3:uid="{06C6C576-EF65-4BCC-BAE9-8F737A2A21AD}" name="Qel" dataDxfId="47">
      <calculatedColumnFormula>2</calculatedColumnFormula>
    </tableColumn>
    <tableColumn id="6" xr3:uid="{5A148BAC-0084-4134-8C12-63B70E600036}" name="Q tot" dataDxfId="17">
      <calculatedColumnFormula>PRODUCT(Tabella518[[#This Row],[Qtrasl]:[Qel]])</calculatedColumnFormula>
    </tableColumn>
  </tableColumns>
  <tableStyleInfo name="TableStyleLight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2FE21F3-F020-48AB-9120-AC2FA8ABA9F8}" name="Tabella619" displayName="Tabella619" ref="A10:A11" totalsRowShown="0">
  <autoFilter ref="A10:A11" xr:uid="{EBAD8B2B-7816-44DE-867A-C80A23B2F7AF}"/>
  <tableColumns count="1">
    <tableColumn id="1" xr3:uid="{E807EDA7-2027-47FF-8A22-09D666B2F037}" name="Simmetry Number"/>
  </tableColumns>
  <tableStyleInfo name="TableStyleLight13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DF5DA20-6979-4F36-AB4C-F624D9A16C3A}" name="Tabella820" displayName="Tabella820" ref="D13:K31" totalsRowShown="0">
  <autoFilter ref="D13:K31" xr:uid="{D37DB2BB-42C8-44C8-829B-D34114293CBD}"/>
  <tableColumns count="8">
    <tableColumn id="1" xr3:uid="{BEB350EC-7A5F-403F-8F36-CD26D2D802B3}" name="Temperatura"/>
    <tableColumn id="2" xr3:uid="{8F4A198F-B4B6-4640-ACDC-FD99337C193D}" name="Qvib1" dataDxfId="46">
      <calculatedColumnFormula array="1">(EXP(-(Tabella33[Planck h]*Tabella49[Frequency1])/(2*Tabella33[Boltzmann k]*Tabella820[[#This Row],[Temperatura]])))/(1-EXP(-(Tabella33[Planck h]*Tabella49[Frequency1])/(Tabella33[Boltzmann k]*Tabella820[[#This Row],[Temperatura]])))</calculatedColumnFormula>
    </tableColumn>
    <tableColumn id="3" xr3:uid="{4E66DF92-B03E-4E22-ABE1-5D2FE5537011}" name="Qvib2" dataDxfId="45">
      <calculatedColumnFormula array="1">(EXP(-(Tabella33[Planck h]*Tabella49[Frequency2])/(2*Tabella33[Boltzmann k]*Tabella820[[#This Row],[Temperatura]])))/(1-EXP(-(Tabella33[Planck h]*Tabella49[Frequency2])/(Tabella33[Boltzmann k]*Tabella820[[#This Row],[Temperatura]])))</calculatedColumnFormula>
    </tableColumn>
    <tableColumn id="4" xr3:uid="{56661D52-F184-45ED-9822-DC219F11C18C}" name="Qvib3" dataDxfId="44">
      <calculatedColumnFormula array="1">(EXP(-(Tabella33[Planck h]*Tabella49[Frequency3])/(2*Tabella33[Boltzmann k]*Tabella820[[#This Row],[Temperatura]])))/(1-EXP(-(Tabella33[Planck h]*Tabella49[Frequency3])/(Tabella33[Boltzmann k]*Tabella820[[#This Row],[Temperatura]])))</calculatedColumnFormula>
    </tableColumn>
    <tableColumn id="5" xr3:uid="{756A184F-682E-4797-A615-E6392851DF93}" name="Qvib4" dataDxfId="43">
      <calculatedColumnFormula array="1">(EXP(-(Tabella33[Planck h]*Tabella49[Frequency4])/(2*Tabella33[Boltzmann k]*Tabella820[[#This Row],[Temperatura]])))/(1-EXP(-(Tabella33[Planck h]*Tabella49[Frequency4])/(Tabella33[Boltzmann k]*Tabella820[[#This Row],[Temperatura]])))</calculatedColumnFormula>
    </tableColumn>
    <tableColumn id="6" xr3:uid="{633158FE-1F06-4181-94C9-76A38C989F31}" name="Qvib5" dataDxfId="42">
      <calculatedColumnFormula array="1">(EXP(-(Tabella33[Planck h]*Tabella49[Frequency5])/(2*Tabella33[Boltzmann k]*Tabella820[[#This Row],[Temperatura]])))/(1-EXP(-(Tabella33[Planck h]*Tabella49[Frequency5])/(Tabella33[Boltzmann k]*Tabella820[[#This Row],[Temperatura]])))</calculatedColumnFormula>
    </tableColumn>
    <tableColumn id="7" xr3:uid="{1C12E993-18A7-4579-9D3D-871960F10172}" name="Qvib6" dataDxfId="41">
      <calculatedColumnFormula array="1">(EXP(-(Tabella33[Planck h]*Tabella49[Frequency6])/(2*Tabella33[Boltzmann k]*Tabella820[[#This Row],[Temperatura]])))/(1-EXP(-(Tabella33[Planck h]*Tabella49[Frequency6])/(Tabella33[Boltzmann k]*Tabella820[[#This Row],[Temperatura]])))</calculatedColumnFormula>
    </tableColumn>
    <tableColumn id="13" xr3:uid="{8AF26BDA-8CF8-4CA4-A29B-26370BAE1F19}" name="Qtot" dataDxfId="40">
      <calculatedColumnFormula>PRODUCT(Tabella820[[#This Row],[Qvib1]:[Qvib6]])</calculatedColumnFormula>
    </tableColumn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996FA648-1F19-4D59-83D9-D4B2B2E632E9}" name="Tabella47" displayName="Tabella47" ref="A13:B19" totalsRowShown="0">
  <autoFilter ref="A13:B19" xr:uid="{996FA648-1F19-4D59-83D9-D4B2B2E632E9}"/>
  <tableColumns count="2">
    <tableColumn id="1" xr3:uid="{2BEC7974-03D8-4CE4-96BC-ACDF0DBAA0E0}" name="Wavenumbers [cm^-1]"/>
    <tableColumn id="2" xr3:uid="{53DB8462-B945-455D-AF7E-9EC1761C9BEB}" name="Frequencies [s^-1]" dataDxfId="39">
      <calculatedColumnFormula array="1">Tabella47[[#This Row],[Wavenumbers '[cm^-1']]]*Tabella33[Speed of Light '[cm/s']]</calculatedColumnFormula>
    </tableColumn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E2735D04-D63D-4F0F-9401-08A62264EBAF}" name="Tabella49" displayName="Tabella49" ref="E11:J12" totalsRowShown="0">
  <autoFilter ref="E11:J12" xr:uid="{E2735D04-D63D-4F0F-9401-08A62264EBAF}"/>
  <tableColumns count="6">
    <tableColumn id="1" xr3:uid="{76F5C76C-A76B-47EF-B5F7-B343F88099BB}" name="Frequency1">
      <calculatedColumnFormula>B14</calculatedColumnFormula>
    </tableColumn>
    <tableColumn id="2" xr3:uid="{598D0B3E-0436-48E0-950E-F184403AC280}" name="Frequency2">
      <calculatedColumnFormula>B15</calculatedColumnFormula>
    </tableColumn>
    <tableColumn id="3" xr3:uid="{2344A8BC-7345-4802-8E58-47344F67B740}" name="Frequency3">
      <calculatedColumnFormula>B16</calculatedColumnFormula>
    </tableColumn>
    <tableColumn id="4" xr3:uid="{E85C4EAF-BE9E-4BD8-B804-34E812687E02}" name="Frequency4">
      <calculatedColumnFormula>B17</calculatedColumnFormula>
    </tableColumn>
    <tableColumn id="5" xr3:uid="{BB31B97F-ACC4-4EE3-996B-7A6CE64B4B22}" name="Frequency5">
      <calculatedColumnFormula>B18</calculatedColumnFormula>
    </tableColumn>
    <tableColumn id="6" xr3:uid="{2F9F2255-C477-474A-8834-961F3DE50057}" name="Frequency6">
      <calculatedColumnFormula>B19</calculatedColumnFormula>
    </tableColumn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ED80CB8D-EC6B-4526-9897-F7F1F271AD77}" name="Tabella50" displayName="Tabella50" ref="A4:C7" totalsRowShown="0">
  <autoFilter ref="A4:C7" xr:uid="{ED80CB8D-EC6B-4526-9897-F7F1F271AD77}"/>
  <tableColumns count="3">
    <tableColumn id="2" xr3:uid="{F48C41B2-2614-4BAC-9320-37C7956C85BE}" name="Rotational Constants [Ghz]" dataDxfId="38">
      <calculatedColumnFormula>#REF!*(0.000000000000000001)</calculatedColumnFormula>
    </tableColumn>
    <tableColumn id="1" xr3:uid="{6B5AEF40-EB3A-4CA5-96DA-5BDB6FA287B5}" name="Rotational Constant [m^-1]" dataDxfId="37">
      <calculatedColumnFormula array="1">((Tabella50[[#This Row],[Rotational Constants '[Ghz']]]*1000000000)/Tabella33[Speed of Light '[cm/s']])*100</calculatedColumnFormula>
    </tableColumn>
    <tableColumn id="3" xr3:uid="{04C3946A-1CA3-41AE-8C42-AD76BEB0C96F}" name="Moments of Inertia" dataDxfId="36">
      <calculatedColumnFormula array="1">Tabella33[Planck h]/(8*POWER(Tabella33[Pi Greco],2)*Tabella50[[#This Row],[Rotational Constant '[m^-1']]]*Tabella33[Speed of Light '[m/s']])</calculatedColumnFormula>
    </tableColumn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C896B14-2565-4F53-9934-EB62D07E7FDD}" name="Tabella7" displayName="Tabella7" ref="I39:I43" totalsRowShown="0">
  <autoFilter ref="I39:I43" xr:uid="{DC896B14-2565-4F53-9934-EB62D07E7FDD}"/>
  <tableColumns count="1">
    <tableColumn id="1" xr3:uid="{564629DD-3D83-42DA-A019-4AB9921CA317}" name="Quantity"/>
  </tableColumns>
  <tableStyleInfo name="TableStyleLight8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A3CE8655-6713-4EB5-9CE7-2B16E2052A9D}" name="Tabella20" displayName="Tabella20" ref="J39:L43" totalsRowShown="0">
  <autoFilter ref="J39:L43" xr:uid="{A3CE8655-6713-4EB5-9CE7-2B16E2052A9D}"/>
  <tableColumns count="3">
    <tableColumn id="1" xr3:uid="{A9B73978-1839-4E9A-B1C8-F852B07DBCA3}" name="My value"/>
    <tableColumn id="2" xr3:uid="{6A6EB3BD-DB41-4837-95A5-1B8E8BD2901A}" name="Gaussian"/>
    <tableColumn id="3" xr3:uid="{78380CD5-C1E4-4860-A29F-43E74AB4FF53}" name="Error" dataDxfId="35">
      <calculatedColumnFormula>ABS(Tabella20[[#This Row],[My value]]-Tabella20[[#This Row],[Gaussian]])/Tabella20[[#This Row],[Gaussian]]</calculatedColumnFormula>
    </tableColumn>
  </tableColumns>
  <tableStyleInfo name="TableStyleLight8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990FC7-FE5D-452F-ADBD-18102BAA2FD2}" name="Tabella1" displayName="Tabella1" ref="D4:D5" totalsRowShown="0">
  <autoFilter ref="D4:D5" xr:uid="{3C990FC7-FE5D-452F-ADBD-18102BAA2FD2}"/>
  <tableColumns count="1">
    <tableColumn id="1" xr3:uid="{7B70E98B-D1CE-4963-8CA1-FBEF037304E8}" name="Total Moment of Inertia">
      <calculatedColumnFormula>SQRT(PRODUCT(Tabella50[Moments of Inertia]))</calculatedColumnFormula>
    </tableColumn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FCCA57-C0DF-4544-90B5-3B6D943A2ED0}" name="Tabella3" displayName="Tabella3" ref="E4:E5" totalsRowShown="0">
  <autoFilter ref="E4:E5" xr:uid="{19FCCA57-C0DF-4544-90B5-3B6D943A2ED0}"/>
  <tableColumns count="1">
    <tableColumn id="1" xr3:uid="{C1A0C840-0C40-4AFD-A18A-B18EDFD7C75C}" name="Theta rot">
      <calculatedColumnFormula array="1">POWER(Tabella33[Planck h],2)/(8*POWER(Tabella33[Pi Greco],2)*Tabella1[[#This Row],[Total Moment of Inertia]]*Tabella33[Boltzmann k])</calculatedColumnFormula>
    </tableColumn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EA5A9AA4-1C62-40C8-AF32-46D65868ED45}" name="Tabella3333" displayName="Tabella3333" ref="A1:H2" totalsRowShown="0">
  <autoFilter ref="A1:H2" xr:uid="{02869E67-574E-4326-A3F8-F299078BC917}"/>
  <tableColumns count="8">
    <tableColumn id="1" xr3:uid="{F6FCE3E8-3131-43B7-A9A5-F86C803D55C6}" name="Pi Greco"/>
    <tableColumn id="2" xr3:uid="{4645A0EA-8D91-4F20-87A0-DE0C653F5570}" name="Massa" dataDxfId="34">
      <calculatedColumnFormula>1.00784*1.6605655E-27</calculatedColumnFormula>
    </tableColumn>
    <tableColumn id="3" xr3:uid="{3AB496F8-B3F6-46F6-B3FF-AFAC2EA830C9}" name="Boltzmann k"/>
    <tableColumn id="4" xr3:uid="{98E0250E-3620-4264-A892-314B8314A680}" name="Planck h"/>
    <tableColumn id="5" xr3:uid="{13C769B9-3125-4B92-8363-DDA22929CE0F}" name="Rydberg R"/>
    <tableColumn id="6" xr3:uid="{4085C14A-A84E-452B-92C2-8B0A21145041}" name="Avogadro N"/>
    <tableColumn id="7" xr3:uid="{D9C2E2CB-5B59-42B8-8264-BD82B290A402}" name="Speed of Light [cm/s]"/>
    <tableColumn id="8" xr3:uid="{9B6B3D56-47E5-490D-BCF7-A139485DE1FD}" name="Speed of Light [m/s]">
      <calculatedColumnFormula>Tabella3333[[#This Row],[Speed of Light '[cm/s']]]*POWER(10,-2)</calculatedColumnFormula>
    </tableColumn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6B211784-B220-45CA-AF0F-2FE8DC921DC5}" name="Tabella51834" displayName="Tabella51834" ref="A17:G35" totalsRowShown="0">
  <autoFilter ref="A17:G35" xr:uid="{81335CEC-6353-4671-833B-07B0D1500060}"/>
  <tableColumns count="7">
    <tableColumn id="1" xr3:uid="{FF9C0B8E-AC0C-43BB-A4DF-294C308A5E06}" name="Temperatura"/>
    <tableColumn id="12" xr3:uid="{0316464F-7FEF-48F3-AC8D-A9421E8E425B}" name="Volume" dataDxfId="33">
      <calculatedColumnFormula array="1">(Tabella3333[Boltzmann k]*Tabella51834[[#This Row],[Temperatura]])/101325</calculatedColumnFormula>
    </tableColumn>
    <tableColumn id="2" xr3:uid="{6215A17D-07A5-4522-B826-2432CAB95227}" name="Qtrasl" dataDxfId="32">
      <calculatedColumnFormula array="1">POWER((2*Tabella3333[Pi Greco]*Tabella3333[Massa]*Tabella3333[Boltzmann k]*Tabella51834[[#This Row],[Temperatura]])/(POWER(Tabella3333[Planck h],2)),1.5)*Tabella51834[[#This Row],[Volume]]</calculatedColumnFormula>
    </tableColumn>
    <tableColumn id="3" xr3:uid="{A7982C65-9A64-429F-B435-5B717B562A3D}" name="Qvib" dataDxfId="31">
      <calculatedColumnFormula>1</calculatedColumnFormula>
    </tableColumn>
    <tableColumn id="4" xr3:uid="{B7AB29BB-BCD5-4D0B-B7DE-8A89BD817038}" name="Qrot" dataDxfId="30">
      <calculatedColumnFormula>1</calculatedColumnFormula>
    </tableColumn>
    <tableColumn id="5" xr3:uid="{70D7025E-05A9-41D8-B949-2FBD0A633AE3}" name="Qel" dataDxfId="29">
      <calculatedColumnFormula>2</calculatedColumnFormula>
    </tableColumn>
    <tableColumn id="6" xr3:uid="{C7E40FE0-490C-4402-88A4-CC5554F90320}" name="Q tot" dataDxfId="16">
      <calculatedColumnFormula>PRODUCT(Tabella51834[[#This Row],[Qtrasl]:[Qel]])</calculatedColumnFormula>
    </tableColumn>
  </tableColumns>
  <tableStyleInfo name="TableStyleLight8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7181FCCE-7C70-494C-88D6-2ED3F37B84C0}" name="Tabella740" displayName="Tabella740" ref="I19:I23" totalsRowShown="0">
  <autoFilter ref="I19:I23" xr:uid="{DC896B14-2565-4F53-9934-EB62D07E7FDD}"/>
  <tableColumns count="1">
    <tableColumn id="1" xr3:uid="{AE99C3C1-6558-4D96-ABF4-019ED56AD9C7}" name="Quantity"/>
  </tableColumns>
  <tableStyleInfo name="TableStyleLight8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EB318E78-7823-4449-BC7B-9871CD82BEE8}" name="Tabella2041" displayName="Tabella2041" ref="J19:L23" totalsRowShown="0">
  <autoFilter ref="J19:L23" xr:uid="{A3CE8655-6713-4EB5-9CE7-2B16E2052A9D}"/>
  <tableColumns count="3">
    <tableColumn id="1" xr3:uid="{30B163AE-BA6D-4824-B22A-46A6A1046985}" name="My value"/>
    <tableColumn id="2" xr3:uid="{6B909ABF-BB82-4EF3-8DFB-1885340DB1CD}" name="Gaussian"/>
    <tableColumn id="3" xr3:uid="{679C7663-54D1-4F5F-8119-1952DE9C062D}" name="Error" dataDxfId="28">
      <calculatedColumnFormula>ABS(Tabella2041[[#This Row],[My value]]-Tabella2041[[#This Row],[Gaussian]])/Tabella2041[[#This Row],[Gaussian]]</calculatedColumnFormula>
    </tableColumn>
  </tableColumns>
  <tableStyleInfo name="TableStyleLight8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1B7E2366-5656-4073-9D92-52B8656454B5}" name="Tabella43" displayName="Tabella43" ref="A6:N24" totalsRowShown="0">
  <autoFilter ref="A6:N24" xr:uid="{1B7E2366-5656-4073-9D92-52B8656454B5}"/>
  <tableColumns count="14">
    <tableColumn id="1" xr3:uid="{979F845A-DA2D-4295-8616-E4640FB5FDEA}" name="Temperatura"/>
    <tableColumn id="2" xr3:uid="{A87FB5F7-D8F3-4B48-B415-FB3A97BA1D97}" name="Q Metano" dataDxfId="27">
      <calculatedColumnFormula>'CH4'!G37</calculatedColumnFormula>
    </tableColumn>
    <tableColumn id="7" xr3:uid="{CE83043B-1B1C-4EA4-9F22-669D9798AAC1}" name="V Metano" dataDxfId="26">
      <calculatedColumnFormula>'CH4'!B37</calculatedColumnFormula>
    </tableColumn>
    <tableColumn id="10" xr3:uid="{799661CB-55C9-4BA5-8260-0E24C16E478A}" name="N Metano" dataDxfId="25">
      <calculatedColumnFormula array="1">Tabella5[Numero Avogadro]*((Tabella5[Pressione Rif]*Tabella43[[#This Row],[V Metano]])/(Tabella43[[#This Row],[Temperatura]]*Tabella5[Rydberg R]))</calculatedColumnFormula>
    </tableColumn>
    <tableColumn id="20" xr3:uid="{6AABE3E5-21D9-4E34-9EDF-FF2D9FB96E9B}" name="Ni Metano " dataDxfId="15">
      <calculatedColumnFormula>1</calculatedColumnFormula>
    </tableColumn>
    <tableColumn id="3" xr3:uid="{34848CA5-E4FC-4704-BE33-1104977091CC}" name="Q Metile" dataDxfId="24">
      <calculatedColumnFormula>'CH3'!G38</calculatedColumnFormula>
    </tableColumn>
    <tableColumn id="8" xr3:uid="{332DB0E7-85D0-4B3F-9201-D0909EC6929F}" name="V Metile" dataDxfId="23">
      <calculatedColumnFormula>'CH3'!B38</calculatedColumnFormula>
    </tableColumn>
    <tableColumn id="11" xr3:uid="{35C1C55C-51E3-475F-B1FF-96A3899BA1D7}" name="N Metile" dataDxfId="22">
      <calculatedColumnFormula array="1">Tabella5[Numero Avogadro]*((Tabella5[Pressione Rif]*Tabella43[[#This Row],[V Metile]])/(Tabella5[Rydberg R]*Tabella43[[#This Row],[Temperatura]]))</calculatedColumnFormula>
    </tableColumn>
    <tableColumn id="21" xr3:uid="{9509AEC9-5964-459C-8656-6969F1D9F2AE}" name="Ni Metile" dataDxfId="14">
      <calculatedColumnFormula>-1</calculatedColumnFormula>
    </tableColumn>
    <tableColumn id="4" xr3:uid="{70F4E769-8A01-4EE8-B2E4-B76AFFBA5DF9}" name="Q Idrogeno" dataDxfId="21">
      <calculatedColumnFormula>H!G18</calculatedColumnFormula>
    </tableColumn>
    <tableColumn id="9" xr3:uid="{AEDF5844-C2F7-42C9-AB33-67B883F6414B}" name="V Idrogeno" dataDxfId="20">
      <calculatedColumnFormula>H!B18</calculatedColumnFormula>
    </tableColumn>
    <tableColumn id="12" xr3:uid="{A0E603B6-0184-4D96-9A12-C7090952928B}" name="N Idrogeno" dataDxfId="19">
      <calculatedColumnFormula array="1">Tabella5[Numero Avogadro]*((Tabella5[Pressione Rif]*Tabella43[[#This Row],[V Idrogeno]])/(Tabella5[Rydberg R]*Tabella43[[#This Row],[Temperatura]]))</calculatedColumnFormula>
    </tableColumn>
    <tableColumn id="13" xr3:uid="{DB5DD697-2A10-4D20-9DFF-8B2030F80D44}" name="Ni Idrogeno" dataDxfId="13">
      <calculatedColumnFormula>-1</calculatedColumnFormula>
    </tableColumn>
    <tableColumn id="22" xr3:uid="{C09F4A09-530F-4A44-8D39-BD26C8B4A079}" name="Costante di equilibrio" dataDxfId="18">
      <calculatedColumnFormula>POWER(Tabella43[[#This Row],[Q Metano]]/Tabella43[[#This Row],[N Metano]],Tabella43[[#This Row],[Ni Metano ]])*POWER(Tabella43[[#This Row],[Q Metile]]/Tabella43[[#This Row],[N Metile]],Tabella43[[#This Row],[Ni Metile]])*POWER(Tabella43[[#This Row],[Q Idrogeno]]/Tabella43[[#This Row],[N Idrogeno]],Tabella43[[#This Row],[Ni Idrogeno]])</calculatedColumnFormula>
    </tableColumn>
  </tableColumns>
  <tableStyleInfo name="TableStyleLight9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829AAB1-B10D-4B97-8724-95808927A960}" name="Tabella5" displayName="Tabella5" ref="A1:C2" totalsRowShown="0">
  <autoFilter ref="A1:C2" xr:uid="{7829AAB1-B10D-4B97-8724-95808927A960}"/>
  <tableColumns count="3">
    <tableColumn id="1" xr3:uid="{1743FCD2-8AB1-4DDD-BAA3-CEB62627120A}" name="Numero Avogadro"/>
    <tableColumn id="2" xr3:uid="{53B26E23-438D-4885-BD23-09EF72D751BF}" name="Pressione Rif"/>
    <tableColumn id="3" xr3:uid="{15A4CD49-B5BB-4204-BAFF-C9CC4B0649EC}" name="Rydberg R"/>
  </tableColumns>
  <tableStyleInfo name="TableStyleLight9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2B633CD-0F3A-496D-B4B1-667F75C1CA77}" name="Tabella4310" displayName="Tabella4310" ref="A47:N65" totalsRowShown="0">
  <autoFilter ref="A47:N65" xr:uid="{82B633CD-0F3A-496D-B4B1-667F75C1CA77}"/>
  <tableColumns count="14">
    <tableColumn id="1" xr3:uid="{5F8546A1-F7DD-4A6D-B134-B0C47B9234A2}" name="Temperatura"/>
    <tableColumn id="2" xr3:uid="{FADF32B0-70ED-4A4E-97BC-7E017876C7DE}" name="Q Metano" dataDxfId="12">
      <calculatedColumnFormula>'CH4'!G37</calculatedColumnFormula>
    </tableColumn>
    <tableColumn id="7" xr3:uid="{58551BBF-04D5-4EE3-BBCE-B6B31DA1E343}" name="V Metano" dataDxfId="11">
      <calculatedColumnFormula>'CH4'!B37</calculatedColumnFormula>
    </tableColumn>
    <tableColumn id="10" xr3:uid="{5135E11A-775A-48B1-86C9-36754F60FD93}" name="N Metano" dataDxfId="10">
      <calculatedColumnFormula array="1">Tabella5[Numero Avogadro]*((Tabella5[Pressione Rif]*Tabella4310[[#This Row],[V Metano]])/(Tabella4310[[#This Row],[Temperatura]]*Tabella5[Rydberg R]))</calculatedColumnFormula>
    </tableColumn>
    <tableColumn id="20" xr3:uid="{F9C64DC0-1E55-4E8F-95BB-70E1E3A9C4C1}" name="Ni Metano " dataDxfId="9">
      <calculatedColumnFormula>-1</calculatedColumnFormula>
    </tableColumn>
    <tableColumn id="3" xr3:uid="{CEE24BC7-8D51-4D3B-82D7-8EF110D3B7FD}" name="Q Metile" dataDxfId="8">
      <calculatedColumnFormula>'CH3'!G38</calculatedColumnFormula>
    </tableColumn>
    <tableColumn id="8" xr3:uid="{B3849C4D-5609-4996-8B2D-34A33A2C00F9}" name="V Metile" dataDxfId="7">
      <calculatedColumnFormula>'CH3'!B38</calculatedColumnFormula>
    </tableColumn>
    <tableColumn id="11" xr3:uid="{9A807BF9-D0E2-47E8-9F90-2716A70F3661}" name="N Metile" dataDxfId="6">
      <calculatedColumnFormula array="1">Tabella5[Numero Avogadro]*((Tabella5[Pressione Rif]*Tabella4310[[#This Row],[V Metile]])/(Tabella5[Rydberg R]*Tabella4310[[#This Row],[Temperatura]]))</calculatedColumnFormula>
    </tableColumn>
    <tableColumn id="21" xr3:uid="{43C099D6-0601-4151-AE57-704924C63B12}" name="Ni Metile" dataDxfId="5">
      <calculatedColumnFormula>1</calculatedColumnFormula>
    </tableColumn>
    <tableColumn id="4" xr3:uid="{2BA35C78-2928-4443-9E2F-640F1482EBEE}" name="Q Idrogeno" dataDxfId="4">
      <calculatedColumnFormula>H!G18</calculatedColumnFormula>
    </tableColumn>
    <tableColumn id="9" xr3:uid="{B3ACA442-F106-4C49-BC89-C7DA8D84C045}" name="V Idrogeno" dataDxfId="3">
      <calculatedColumnFormula>H!B18</calculatedColumnFormula>
    </tableColumn>
    <tableColumn id="12" xr3:uid="{DAF9AB39-30AF-4EB2-BDDD-56B55FD3F0AC}" name="N Idrogeno" dataDxfId="2">
      <calculatedColumnFormula array="1">Tabella5[Numero Avogadro]*((Tabella5[Pressione Rif]*Tabella4310[[#This Row],[V Idrogeno]])/(Tabella5[Rydberg R]*Tabella4310[[#This Row],[Temperatura]]))</calculatedColumnFormula>
    </tableColumn>
    <tableColumn id="13" xr3:uid="{DDA919AC-95F7-42A6-8ACF-46E3C9276AE9}" name="Ni Idrogeno" dataDxfId="1">
      <calculatedColumnFormula>1</calculatedColumnFormula>
    </tableColumn>
    <tableColumn id="22" xr3:uid="{50F9C114-24FA-40C4-95F4-5A31D1F9961F}" name="Costante di equilibrio" dataDxfId="0">
      <calculatedColumnFormula>POWER(Tabella4310[[#This Row],[Q Metano]]/Tabella4310[[#This Row],[N Metano]],Tabella4310[[#This Row],[Ni Metano ]])*POWER(Tabella4310[[#This Row],[Q Metile]]/Tabella4310[[#This Row],[N Metile]],Tabella4310[[#This Row],[Ni Metile]])*POWER(Tabella4310[[#This Row],[Q Idrogeno]]/Tabella4310[[#This Row],[N Idrogeno]],Tabella4310[[#This Row],[Ni Idrogeno]])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8.xml"/><Relationship Id="rId3" Type="http://schemas.openxmlformats.org/officeDocument/2006/relationships/table" Target="../tables/table13.xml"/><Relationship Id="rId7" Type="http://schemas.openxmlformats.org/officeDocument/2006/relationships/table" Target="../tables/table17.xml"/><Relationship Id="rId12" Type="http://schemas.openxmlformats.org/officeDocument/2006/relationships/table" Target="../tables/table22.xml"/><Relationship Id="rId2" Type="http://schemas.openxmlformats.org/officeDocument/2006/relationships/table" Target="../tables/table12.xml"/><Relationship Id="rId1" Type="http://schemas.openxmlformats.org/officeDocument/2006/relationships/drawing" Target="../drawings/drawing1.xml"/><Relationship Id="rId6" Type="http://schemas.openxmlformats.org/officeDocument/2006/relationships/table" Target="../tables/table16.xml"/><Relationship Id="rId11" Type="http://schemas.openxmlformats.org/officeDocument/2006/relationships/table" Target="../tables/table21.xml"/><Relationship Id="rId5" Type="http://schemas.openxmlformats.org/officeDocument/2006/relationships/table" Target="../tables/table15.xml"/><Relationship Id="rId10" Type="http://schemas.openxmlformats.org/officeDocument/2006/relationships/table" Target="../tables/table20.xml"/><Relationship Id="rId4" Type="http://schemas.openxmlformats.org/officeDocument/2006/relationships/table" Target="../tables/table14.xml"/><Relationship Id="rId9" Type="http://schemas.openxmlformats.org/officeDocument/2006/relationships/table" Target="../tables/table19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drawing" Target="../drawings/drawing2.xml"/><Relationship Id="rId5" Type="http://schemas.openxmlformats.org/officeDocument/2006/relationships/table" Target="../tables/table26.xml"/><Relationship Id="rId4" Type="http://schemas.openxmlformats.org/officeDocument/2006/relationships/table" Target="../tables/table2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8.xml"/><Relationship Id="rId2" Type="http://schemas.openxmlformats.org/officeDocument/2006/relationships/table" Target="../tables/table27.xml"/><Relationship Id="rId1" Type="http://schemas.openxmlformats.org/officeDocument/2006/relationships/drawing" Target="../drawings/drawing3.xml"/><Relationship Id="rId4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A863E-CE30-452D-81F5-50B4C47C6FB1}">
  <dimension ref="A1:N128"/>
  <sheetViews>
    <sheetView topLeftCell="A31" zoomScale="83" zoomScaleNormal="70" workbookViewId="0">
      <selection activeCell="G37" sqref="G37"/>
    </sheetView>
  </sheetViews>
  <sheetFormatPr defaultRowHeight="14.4" x14ac:dyDescent="0.3"/>
  <cols>
    <col min="1" max="1" width="30" customWidth="1"/>
    <col min="2" max="2" width="27.44140625" customWidth="1"/>
    <col min="3" max="3" width="18.44140625" customWidth="1"/>
    <col min="4" max="4" width="16.109375" customWidth="1"/>
    <col min="5" max="5" width="23.5546875" customWidth="1"/>
    <col min="6" max="6" width="14.6640625" customWidth="1"/>
    <col min="7" max="7" width="16.77734375" customWidth="1"/>
    <col min="8" max="8" width="13.5546875" customWidth="1"/>
    <col min="9" max="9" width="20.44140625" customWidth="1"/>
    <col min="10" max="10" width="13.6640625" customWidth="1"/>
    <col min="11" max="11" width="23.6640625" customWidth="1"/>
    <col min="12" max="13" width="13.6640625" customWidth="1"/>
    <col min="14" max="14" width="11.109375" customWidth="1"/>
    <col min="15" max="15" width="13.6640625" customWidth="1"/>
    <col min="16" max="17" width="13.44140625" customWidth="1"/>
    <col min="18" max="18" width="12" customWidth="1"/>
    <col min="19" max="19" width="13" bestFit="1" customWidth="1"/>
    <col min="20" max="20" width="11.66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41</v>
      </c>
      <c r="H1" t="s">
        <v>43</v>
      </c>
    </row>
    <row r="2" spans="1:14" x14ac:dyDescent="0.3">
      <c r="A2">
        <v>3.1415899999999999</v>
      </c>
      <c r="B2" s="1">
        <f>16.04*1.6605655E-27</f>
        <v>2.6635470619999996E-26</v>
      </c>
      <c r="C2" s="1">
        <v>1.3806490000000001E-23</v>
      </c>
      <c r="D2" s="1">
        <v>6.6260701499999998E-34</v>
      </c>
      <c r="E2" s="1">
        <v>8.3144620000000007</v>
      </c>
      <c r="F2" s="1">
        <v>6.0221410000000001E+23</v>
      </c>
      <c r="G2">
        <v>29979300000</v>
      </c>
      <c r="H2">
        <f>Tabella335[[#This Row],[Speed of Light '[cm/s']]]*POWER(10,-2)</f>
        <v>299793000</v>
      </c>
    </row>
    <row r="4" spans="1:14" x14ac:dyDescent="0.3">
      <c r="A4" t="s">
        <v>39</v>
      </c>
      <c r="B4" t="s">
        <v>40</v>
      </c>
      <c r="C4" t="s">
        <v>42</v>
      </c>
      <c r="D4" t="s">
        <v>44</v>
      </c>
      <c r="E4" t="s">
        <v>38</v>
      </c>
    </row>
    <row r="5" spans="1:14" x14ac:dyDescent="0.3">
      <c r="A5" s="4">
        <f>157.48798</f>
        <v>157.48797999999999</v>
      </c>
      <c r="B5" cm="1">
        <f t="array" ref="B5">((Tabella5024[[#This Row],[Rotational Constants '[Ghz']]]*1000000000)/Tabella335[Speed of Light '[cm/s']])*100</f>
        <v>525.32240579333074</v>
      </c>
      <c r="C5" s="1" cm="1">
        <f t="array" ref="C5">Tabella335[Planck h]/(8*POWER(Tabella335[Pi Greco],2)*Tabella5024[[#This Row],[Rotational Constant '[m^-1']]]*Tabella335[Speed of Light '[m/s']])</f>
        <v>5.3286797240479138E-47</v>
      </c>
      <c r="D5">
        <f>SQRT(PRODUCT(Tabella5024[Moments of Inertia]))</f>
        <v>3.8908058362146523E-70</v>
      </c>
      <c r="E5" s="1" cm="1">
        <f t="array" ref="E5">POWER(Tabella335[Planck h],2)/(8*POWER(Tabella335[Pi Greco],2)*Tabella131[[#This Row],[Total Moment of Inertia]]*Tabella335[Boltzmann k])</f>
        <v>1.0351426882527235E+24</v>
      </c>
      <c r="F5" s="1"/>
    </row>
    <row r="6" spans="1:14" x14ac:dyDescent="0.3">
      <c r="A6">
        <f>157.47224</f>
        <v>157.47224</v>
      </c>
      <c r="B6" cm="1">
        <f t="array" ref="B6">((Tabella5024[[#This Row],[Rotational Constants '[Ghz']]]*1000000000)/Tabella335[Speed of Light '[cm/s']])*100</f>
        <v>525.26990289966739</v>
      </c>
      <c r="C6" s="1" cm="1">
        <f t="array" ref="C6">Tabella335[Planck h]/(8*POWER(Tabella335[Pi Greco],2)*Tabella5024[[#This Row],[Rotational Constant '[m^-1']]]*Tabella335[Speed of Light '[m/s']])</f>
        <v>5.3292123475684581E-47</v>
      </c>
    </row>
    <row r="7" spans="1:14" x14ac:dyDescent="0.3">
      <c r="A7">
        <v>157.42385999999999</v>
      </c>
      <c r="B7" cm="1">
        <f t="array" ref="B7">((Tabella5024[[#This Row],[Rotational Constants '[Ghz']]]*1000000000)/Tabella335[Speed of Light '[cm/s']])*100</f>
        <v>525.10852488216869</v>
      </c>
      <c r="C7" s="1" cm="1">
        <f t="array" ref="C7">Tabella335[Planck h]/(8*POWER(Tabella335[Pi Greco],2)*Tabella5024[[#This Row],[Rotational Constant '[m^-1']]]*Tabella335[Speed of Light '[m/s']])</f>
        <v>5.3308501380112485E-47</v>
      </c>
    </row>
    <row r="9" spans="1:14" x14ac:dyDescent="0.3">
      <c r="E9" s="1"/>
    </row>
    <row r="10" spans="1:14" x14ac:dyDescent="0.3">
      <c r="A10" t="s">
        <v>22</v>
      </c>
    </row>
    <row r="11" spans="1:14" x14ac:dyDescent="0.3">
      <c r="A11">
        <v>3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</row>
    <row r="12" spans="1:14" x14ac:dyDescent="0.3">
      <c r="E12">
        <f>B14</f>
        <v>40385183982390</v>
      </c>
      <c r="F12">
        <f>B15</f>
        <v>40401831487680</v>
      </c>
      <c r="G12">
        <f>B16</f>
        <v>40403423388510</v>
      </c>
      <c r="H12">
        <f>B17</f>
        <v>46875405637320</v>
      </c>
      <c r="I12">
        <f>B18</f>
        <v>46882231923930</v>
      </c>
      <c r="J12">
        <f>B19</f>
        <v>91043134861380</v>
      </c>
      <c r="K12">
        <f>B20</f>
        <v>94393900236870</v>
      </c>
      <c r="L12">
        <f>B21</f>
        <v>94437708987960</v>
      </c>
      <c r="M12">
        <f>B22</f>
        <v>94441708226580</v>
      </c>
    </row>
    <row r="13" spans="1:14" x14ac:dyDescent="0.3">
      <c r="A13" t="s">
        <v>23</v>
      </c>
      <c r="B13" t="s">
        <v>24</v>
      </c>
      <c r="D13" t="s">
        <v>4</v>
      </c>
      <c r="E13" t="s">
        <v>17</v>
      </c>
      <c r="F13" t="s">
        <v>9</v>
      </c>
      <c r="G13" t="s">
        <v>10</v>
      </c>
      <c r="H13" t="s">
        <v>11</v>
      </c>
      <c r="I13" t="s">
        <v>12</v>
      </c>
      <c r="J13" t="s">
        <v>13</v>
      </c>
      <c r="K13" t="s">
        <v>14</v>
      </c>
      <c r="L13" t="s">
        <v>15</v>
      </c>
      <c r="M13" t="s">
        <v>16</v>
      </c>
      <c r="N13" t="s">
        <v>18</v>
      </c>
    </row>
    <row r="14" spans="1:14" x14ac:dyDescent="0.3">
      <c r="A14">
        <v>1347.1023</v>
      </c>
      <c r="B14" cm="1">
        <f t="array" ref="B14">Tabella4722[[#This Row],[Wavenumbers '[cm^-1']]]*Tabella335[Speed of Light '[cm/s']]</f>
        <v>40385183982390</v>
      </c>
      <c r="D14">
        <v>298</v>
      </c>
      <c r="E14" s="1" cm="1">
        <f t="array" ref="E14">(EXP(-(Tabella335[Planck h]*Tabella4923[Frequency1])/(2*Tabella335[Boltzmann k]*Tabella8209[[#This Row],[Temperatura]])))/(1-EXP(-(Tabella335[Planck h]*Tabella4923[Frequency1])/(Tabella335[Boltzmann k]*Tabella8209[[#This Row],[Temperatura]])))</f>
        <v>3.8755347285942633E-2</v>
      </c>
      <c r="F14" s="1" cm="1">
        <f t="array" ref="F14">(EXP(-(Tabella335[Planck h]*Tabella4923[Frequency2])/(2*Tabella335[Boltzmann k]*Tabella8209[[#This Row],[Temperatura]])))/(1-EXP(-(Tabella335[Planck h]*Tabella4923[Frequency2])/(Tabella335[Boltzmann k]*Tabella8209[[#This Row],[Temperatura]])))</f>
        <v>3.8703274081271312E-2</v>
      </c>
      <c r="G14" s="1" cm="1">
        <f t="array" ref="G14">(EXP(-(Tabella335[Planck h]*Tabella4923[Frequency3])/(2*Tabella335[Boltzmann k]*Tabella8209[[#This Row],[Temperatura]])))/(1-EXP(-(Tabella335[Planck h]*Tabella4923[Frequency3])/(Tabella335[Boltzmann k]*Tabella8209[[#This Row],[Temperatura]])))</f>
        <v>3.8698298322333839E-2</v>
      </c>
      <c r="H14" s="1" cm="1">
        <f t="array" ref="H14">(EXP(-(Tabella335[Planck h]*Tabella4923[Frequency4])/(2*Tabella335[Boltzmann k]*Tabella8209[[#This Row],[Temperatura]])))/(1-EXP(-(Tabella335[Planck h]*Tabella4923[Frequency4])/(Tabella335[Boltzmann k]*Tabella8209[[#This Row],[Temperatura]])))</f>
        <v>2.2958237677119912E-2</v>
      </c>
      <c r="I14" s="1" cm="1">
        <f t="array" ref="I14">(EXP(-(Tabella335[Planck h]*Tabella4923[Frequency5])/(2*Tabella335[Boltzmann k]*Tabella8209[[#This Row],[Temperatura]])))/(1-EXP(-(Tabella335[Planck h]*Tabella4923[Frequency5])/(Tabella335[Boltzmann k]*Tabella8209[[#This Row],[Temperatura]])))</f>
        <v>2.29456081481164E-2</v>
      </c>
      <c r="J14" s="1" cm="1">
        <f t="array" ref="J14">(EXP(-(Tabella335[Planck h]*Tabella4923[Frequency6])/(2*Tabella335[Boltzmann k]*Tabella8209[[#This Row],[Temperatura]])))/(1-EXP(-(Tabella335[Planck h]*Tabella4923[Frequency6])/(Tabella335[Boltzmann k]*Tabella8209[[#This Row],[Temperatura]])))</f>
        <v>6.5480287471576565E-4</v>
      </c>
      <c r="K14" s="1" cm="1">
        <f t="array" ref="K14">(EXP(-(Tabella335[Planck h]*Tabella4923[Frequency7])/(2*Tabella335[Boltzmann k]*Tabella8209[[#This Row],[Temperatura]])))/(1-EXP(-(Tabella335[Planck h]*Tabella4923[Frequency7])/(Tabella335[Boltzmann k]*Tabella8209[[#This Row],[Temperatura]])))</f>
        <v>4.9995410954018307E-4</v>
      </c>
      <c r="L14" s="1" cm="1">
        <f t="array" ref="L14">(EXP(-(Tabella335[Planck h]*Tabella4923[Frequency8])/(2*Tabella335[Boltzmann k]*Tabella8209[[#This Row],[Temperatura]])))/(1-EXP(-(Tabella335[Planck h]*Tabella4923[Frequency8])/(Tabella335[Boltzmann k]*Tabella8209[[#This Row],[Temperatura]])))</f>
        <v>4.9819354512187165E-4</v>
      </c>
      <c r="M14" s="1" cm="1">
        <f t="array" ref="M14">(EXP(-(Tabella335[Planck h]*Tabella4923[Frequency9])/(2*Tabella335[Boltzmann k]*Tabella8209[[#This Row],[Temperatura]])))/(1-EXP(-(Tabella335[Planck h]*Tabella4923[Frequency9])/(Tabella335[Boltzmann k]*Tabella8209[[#This Row],[Temperatura]])))</f>
        <v>4.980331348447179E-4</v>
      </c>
      <c r="N14" s="1">
        <f>PRODUCT(Tabella8209[[#This Row],[Qvib1]:[Qvib9]])</f>
        <v>2.4837414272418107E-21</v>
      </c>
    </row>
    <row r="15" spans="1:14" x14ac:dyDescent="0.3">
      <c r="A15">
        <v>1347.6576</v>
      </c>
      <c r="B15" cm="1">
        <f t="array" ref="B15">Tabella4722[[#This Row],[Wavenumbers '[cm^-1']]]*Tabella335[Speed of Light '[cm/s']]</f>
        <v>40401831487680</v>
      </c>
      <c r="D15">
        <v>400</v>
      </c>
      <c r="E15" s="1" cm="1">
        <f t="array" ref="E15">(EXP(-(Tabella335[Planck h]*Tabella4923[Frequency1])/(2*Tabella335[Boltzmann k]*Tabella8209[[#This Row],[Temperatura]])))/(1-EXP(-(Tabella335[Planck h]*Tabella4923[Frequency1])/(Tabella335[Boltzmann k]*Tabella8209[[#This Row],[Temperatura]])))</f>
        <v>8.9382190260582375E-2</v>
      </c>
      <c r="F15" s="1" cm="1">
        <f t="array" ref="F15">(EXP(-(Tabella335[Planck h]*Tabella4923[Frequency2])/(2*Tabella335[Boltzmann k]*Tabella8209[[#This Row],[Temperatura]])))/(1-EXP(-(Tabella335[Planck h]*Tabella4923[Frequency2])/(Tabella335[Boltzmann k]*Tabella8209[[#This Row],[Temperatura]])))</f>
        <v>8.9291557218858605E-2</v>
      </c>
      <c r="G15" s="1" cm="1">
        <f t="array" ref="G15">(EXP(-(Tabella335[Planck h]*Tabella4923[Frequency3])/(2*Tabella335[Boltzmann k]*Tabella8209[[#This Row],[Temperatura]])))/(1-EXP(-(Tabella335[Planck h]*Tabella4923[Frequency3])/(Tabella335[Boltzmann k]*Tabella8209[[#This Row],[Temperatura]])))</f>
        <v>8.928289549054369E-2</v>
      </c>
      <c r="H15" s="1" cm="1">
        <f t="array" ref="H15">(EXP(-(Tabella335[Planck h]*Tabella4923[Frequency4])/(2*Tabella335[Boltzmann k]*Tabella8209[[#This Row],[Temperatura]])))/(1-EXP(-(Tabella335[Planck h]*Tabella4923[Frequency4])/(Tabella335[Boltzmann k]*Tabella8209[[#This Row],[Temperatura]])))</f>
        <v>6.0297495841942043E-2</v>
      </c>
      <c r="I15" s="1" cm="1">
        <f t="array" ref="I15">(EXP(-(Tabella335[Planck h]*Tabella4923[Frequency5])/(2*Tabella335[Boltzmann k]*Tabella8209[[#This Row],[Temperatura]])))/(1-EXP(-(Tabella335[Planck h]*Tabella4923[Frequency5])/(Tabella335[Boltzmann k]*Tabella8209[[#This Row],[Temperatura]])))</f>
        <v>6.0272629553470583E-2</v>
      </c>
      <c r="J15" s="1" cm="1">
        <f t="array" ref="J15">(EXP(-(Tabella335[Planck h]*Tabella4923[Frequency6])/(2*Tabella335[Boltzmann k]*Tabella8209[[#This Row],[Temperatura]])))/(1-EXP(-(Tabella335[Planck h]*Tabella4923[Frequency6])/(Tabella335[Boltzmann k]*Tabella8209[[#This Row],[Temperatura]])))</f>
        <v>4.246294116655191E-3</v>
      </c>
      <c r="K15" s="1" cm="1">
        <f t="array" ref="K15">(EXP(-(Tabella335[Planck h]*Tabella4923[Frequency7])/(2*Tabella335[Boltzmann k]*Tabella8209[[#This Row],[Temperatura]])))/(1-EXP(-(Tabella335[Planck h]*Tabella4923[Frequency7])/(Tabella335[Boltzmann k]*Tabella8209[[#This Row],[Temperatura]])))</f>
        <v>3.4730266325185429E-3</v>
      </c>
      <c r="L15" s="1" cm="1">
        <f t="array" ref="L15">(EXP(-(Tabella335[Planck h]*Tabella4923[Frequency8])/(2*Tabella335[Boltzmann k]*Tabella8209[[#This Row],[Temperatura]])))/(1-EXP(-(Tabella335[Planck h]*Tabella4923[Frequency8])/(Tabella335[Boltzmann k]*Tabella8209[[#This Row],[Temperatura]])))</f>
        <v>3.4639108990353372E-3</v>
      </c>
      <c r="M15" s="1" cm="1">
        <f t="array" ref="M15">(EXP(-(Tabella335[Planck h]*Tabella4923[Frequency9])/(2*Tabella335[Boltzmann k]*Tabella8209[[#This Row],[Temperatura]])))/(1-EXP(-(Tabella335[Planck h]*Tabella4923[Frequency9])/(Tabella335[Boltzmann k]*Tabella8209[[#This Row],[Temperatura]])))</f>
        <v>3.4630799294821414E-3</v>
      </c>
      <c r="N15" s="1">
        <f>PRODUCT(Tabella8209[[#This Row],[Qvib1]:[Qvib9]])</f>
        <v>4.5813817819108152E-16</v>
      </c>
    </row>
    <row r="16" spans="1:14" x14ac:dyDescent="0.3">
      <c r="A16">
        <v>1347.7107000000001</v>
      </c>
      <c r="B16" cm="1">
        <f t="array" ref="B16">Tabella4722[[#This Row],[Wavenumbers '[cm^-1']]]*Tabella335[Speed of Light '[cm/s']]</f>
        <v>40403423388510</v>
      </c>
      <c r="D16">
        <v>500</v>
      </c>
      <c r="E16" s="1" cm="1">
        <f t="array" ref="E16">(EXP(-(Tabella335[Planck h]*Tabella4923[Frequency1])/(2*Tabella335[Boltzmann k]*Tabella8209[[#This Row],[Temperatura]])))/(1-EXP(-(Tabella335[Planck h]*Tabella4923[Frequency1])/(Tabella335[Boltzmann k]*Tabella8209[[#This Row],[Temperatura]])))</f>
        <v>0.14701225241048832</v>
      </c>
      <c r="F16" s="1" cm="1">
        <f t="array" ref="F16">(EXP(-(Tabella335[Planck h]*Tabella4923[Frequency2])/(2*Tabella335[Boltzmann k]*Tabella8209[[#This Row],[Temperatura]])))/(1-EXP(-(Tabella335[Planck h]*Tabella4923[Frequency2])/(Tabella335[Boltzmann k]*Tabella8209[[#This Row],[Temperatura]])))</f>
        <v>0.14688987952617388</v>
      </c>
      <c r="G16" s="1" cm="1">
        <f t="array" ref="G16">(EXP(-(Tabella335[Planck h]*Tabella4923[Frequency3])/(2*Tabella335[Boltzmann k]*Tabella8209[[#This Row],[Temperatura]])))/(1-EXP(-(Tabella335[Planck h]*Tabella4923[Frequency3])/(Tabella335[Boltzmann k]*Tabella8209[[#This Row],[Temperatura]])))</f>
        <v>0.14687818350449652</v>
      </c>
      <c r="H16" s="1" cm="1">
        <f t="array" ref="H16">(EXP(-(Tabella335[Planck h]*Tabella4923[Frequency4])/(2*Tabella335[Boltzmann k]*Tabella8209[[#This Row],[Temperatura]])))/(1-EXP(-(Tabella335[Planck h]*Tabella4923[Frequency4])/(Tabella335[Boltzmann k]*Tabella8209[[#This Row],[Temperatura]])))</f>
        <v>0.10661980899804935</v>
      </c>
      <c r="I16" s="1" cm="1">
        <f t="array" ref="I16">(EXP(-(Tabella335[Planck h]*Tabella4923[Frequency5])/(2*Tabella335[Boltzmann k]*Tabella8209[[#This Row],[Temperatura]])))/(1-EXP(-(Tabella335[Planck h]*Tabella4923[Frequency5])/(Tabella335[Boltzmann k]*Tabella8209[[#This Row],[Temperatura]])))</f>
        <v>0.10658410019529198</v>
      </c>
      <c r="J16" s="1" cm="1">
        <f t="array" ref="J16">(EXP(-(Tabella335[Planck h]*Tabella4923[Frequency6])/(2*Tabella335[Boltzmann k]*Tabella8209[[#This Row],[Temperatura]])))/(1-EXP(-(Tabella335[Planck h]*Tabella4923[Frequency6])/(Tabella335[Boltzmann k]*Tabella8209[[#This Row],[Temperatura]])))</f>
        <v>1.266109872735207E-2</v>
      </c>
      <c r="K16" s="1" cm="1">
        <f t="array" ref="K16">(EXP(-(Tabella335[Planck h]*Tabella4923[Frequency7])/(2*Tabella335[Boltzmann k]*Tabella8209[[#This Row],[Temperatura]])))/(1-EXP(-(Tabella335[Planck h]*Tabella4923[Frequency7])/(Tabella335[Boltzmann k]*Tabella8209[[#This Row],[Temperatura]])))</f>
        <v>1.077985101755735E-2</v>
      </c>
      <c r="L16" s="1" cm="1">
        <f t="array" ref="L16">(EXP(-(Tabella335[Planck h]*Tabella4923[Frequency8])/(2*Tabella335[Boltzmann k]*Tabella8209[[#This Row],[Temperatura]])))/(1-EXP(-(Tabella335[Planck h]*Tabella4923[Frequency8])/(Tabella335[Boltzmann k]*Tabella8209[[#This Row],[Temperatura]])))</f>
        <v>1.0757205069768218E-2</v>
      </c>
      <c r="M16" s="1" cm="1">
        <f t="array" ref="M16">(EXP(-(Tabella335[Planck h]*Tabella4923[Frequency9])/(2*Tabella335[Boltzmann k]*Tabella8209[[#This Row],[Temperatura]])))/(1-EXP(-(Tabella335[Planck h]*Tabella4923[Frequency9])/(Tabella335[Boltzmann k]*Tabella8209[[#This Row],[Temperatura]])))</f>
        <v>1.0755140125694153E-2</v>
      </c>
      <c r="N16" s="1">
        <f>PRODUCT(Tabella8209[[#This Row],[Qvib1]:[Qvib9]])</f>
        <v>5.691578069727929E-13</v>
      </c>
    </row>
    <row r="17" spans="1:14" x14ac:dyDescent="0.3">
      <c r="A17">
        <v>1563.5924</v>
      </c>
      <c r="B17" cm="1">
        <f t="array" ref="B17">Tabella4722[[#This Row],[Wavenumbers '[cm^-1']]]*Tabella335[Speed of Light '[cm/s']]</f>
        <v>46875405637320</v>
      </c>
      <c r="D17">
        <v>600</v>
      </c>
      <c r="E17" s="1" cm="1">
        <f t="array" ref="E17">(EXP(-(Tabella335[Planck h]*Tabella4923[Frequency1])/(2*Tabella335[Boltzmann k]*Tabella8209[[#This Row],[Temperatura]])))/(1-EXP(-(Tabella335[Planck h]*Tabella4923[Frequency1])/(Tabella335[Boltzmann k]*Tabella8209[[#This Row],[Temperatura]])))</f>
        <v>0.20704812418841112</v>
      </c>
      <c r="F17" s="1" cm="1">
        <f t="array" ref="F17">(EXP(-(Tabella335[Planck h]*Tabella4923[Frequency2])/(2*Tabella335[Boltzmann k]*Tabella8209[[#This Row],[Temperatura]])))/(1-EXP(-(Tabella335[Planck h]*Tabella4923[Frequency2])/(Tabella335[Boltzmann k]*Tabella8209[[#This Row],[Temperatura]])))</f>
        <v>0.2068989824340961</v>
      </c>
      <c r="G17" s="1" cm="1">
        <f t="array" ref="G17">(EXP(-(Tabella335[Planck h]*Tabella4923[Frequency3])/(2*Tabella335[Boltzmann k]*Tabella8209[[#This Row],[Temperatura]])))/(1-EXP(-(Tabella335[Planck h]*Tabella4923[Frequency3])/(Tabella335[Boltzmann k]*Tabella8209[[#This Row],[Temperatura]])))</f>
        <v>0.2068847273567184</v>
      </c>
      <c r="H17" s="1" cm="1">
        <f t="array" ref="H17">(EXP(-(Tabella335[Planck h]*Tabella4923[Frequency4])/(2*Tabella335[Boltzmann k]*Tabella8209[[#This Row],[Temperatura]])))/(1-EXP(-(Tabella335[Planck h]*Tabella4923[Frequency4])/(Tabella335[Boltzmann k]*Tabella8209[[#This Row],[Temperatura]])))</f>
        <v>0.15709439973013659</v>
      </c>
      <c r="I17" s="1" cm="1">
        <f t="array" ref="I17">(EXP(-(Tabella335[Planck h]*Tabella4923[Frequency5])/(2*Tabella335[Boltzmann k]*Tabella8209[[#This Row],[Temperatura]])))/(1-EXP(-(Tabella335[Planck h]*Tabella4923[Frequency5])/(Tabella335[Boltzmann k]*Tabella8209[[#This Row],[Temperatura]])))</f>
        <v>0.15704945161851158</v>
      </c>
      <c r="J17" s="1" cm="1">
        <f t="array" ref="J17">(EXP(-(Tabella335[Planck h]*Tabella4923[Frequency6])/(2*Tabella335[Boltzmann k]*Tabella8209[[#This Row],[Temperatura]])))/(1-EXP(-(Tabella335[Planck h]*Tabella4923[Frequency6])/(Tabella335[Boltzmann k]*Tabella8209[[#This Row],[Temperatura]])))</f>
        <v>2.6240184532279935E-2</v>
      </c>
      <c r="K17" s="1" cm="1">
        <f t="array" ref="K17">(EXP(-(Tabella335[Planck h]*Tabella4923[Frequency7])/(2*Tabella335[Boltzmann k]*Tabella8209[[#This Row],[Temperatura]])))/(1-EXP(-(Tabella335[Planck h]*Tabella4923[Frequency7])/(Tabella335[Boltzmann k]*Tabella8209[[#This Row],[Temperatura]])))</f>
        <v>2.2945475233986261E-2</v>
      </c>
      <c r="L17" s="1" cm="1">
        <f t="array" ref="L17">(EXP(-(Tabella335[Planck h]*Tabella4923[Frequency8])/(2*Tabella335[Boltzmann k]*Tabella8209[[#This Row],[Temperatura]])))/(1-EXP(-(Tabella335[Planck h]*Tabella4923[Frequency8])/(Tabella335[Boltzmann k]*Tabella8209[[#This Row],[Temperatura]])))</f>
        <v>2.2905266105937905E-2</v>
      </c>
      <c r="M17" s="1" cm="1">
        <f t="array" ref="M17">(EXP(-(Tabella335[Planck h]*Tabella4923[Frequency9])/(2*Tabella335[Boltzmann k]*Tabella8209[[#This Row],[Temperatura]])))/(1-EXP(-(Tabella335[Planck h]*Tabella4923[Frequency9])/(Tabella335[Boltzmann k]*Tabella8209[[#This Row],[Temperatura]])))</f>
        <v>2.2901598990777657E-2</v>
      </c>
      <c r="N17" s="1">
        <f>PRODUCT(Tabella8209[[#This Row],[Qvib1]:[Qvib9]])</f>
        <v>6.9059002825543426E-11</v>
      </c>
    </row>
    <row r="18" spans="1:14" x14ac:dyDescent="0.3">
      <c r="A18">
        <v>1563.8200999999999</v>
      </c>
      <c r="B18" cm="1">
        <f t="array" ref="B18">Tabella4722[[#This Row],[Wavenumbers '[cm^-1']]]*Tabella335[Speed of Light '[cm/s']]</f>
        <v>46882231923930</v>
      </c>
      <c r="D18">
        <v>700</v>
      </c>
      <c r="E18" s="1" cm="1">
        <f t="array" ref="E18">(EXP(-(Tabella335[Planck h]*Tabella4923[Frequency1])/(2*Tabella335[Boltzmann k]*Tabella8209[[#This Row],[Temperatura]])))/(1-EXP(-(Tabella335[Planck h]*Tabella4923[Frequency1])/(Tabella335[Boltzmann k]*Tabella8209[[#This Row],[Temperatura]])))</f>
        <v>0.26723492686729849</v>
      </c>
      <c r="F18" s="1" cm="1">
        <f t="array" ref="F18">(EXP(-(Tabella335[Planck h]*Tabella4923[Frequency2])/(2*Tabella335[Boltzmann k]*Tabella8209[[#This Row],[Temperatura]])))/(1-EXP(-(Tabella335[Planck h]*Tabella4923[Frequency2])/(Tabella335[Boltzmann k]*Tabella8209[[#This Row],[Temperatura]])))</f>
        <v>0.26706207338924864</v>
      </c>
      <c r="G18" s="1" cm="1">
        <f t="array" ref="G18">(EXP(-(Tabella335[Planck h]*Tabella4923[Frequency3])/(2*Tabella335[Boltzmann k]*Tabella8209[[#This Row],[Temperatura]])))/(1-EXP(-(Tabella335[Planck h]*Tabella4923[Frequency3])/(Tabella335[Boltzmann k]*Tabella8209[[#This Row],[Temperatura]])))</f>
        <v>0.26704555160870636</v>
      </c>
      <c r="H18" s="1" cm="1">
        <f t="array" ref="H18">(EXP(-(Tabella335[Planck h]*Tabella4923[Frequency4])/(2*Tabella335[Boltzmann k]*Tabella8209[[#This Row],[Temperatura]])))/(1-EXP(-(Tabella335[Planck h]*Tabella4923[Frequency4])/(Tabella335[Boltzmann k]*Tabella8209[[#This Row],[Temperatura]])))</f>
        <v>0.20890627791218458</v>
      </c>
      <c r="I18" s="1" cm="1">
        <f t="array" ref="I18">(EXP(-(Tabella335[Planck h]*Tabella4923[Frequency5])/(2*Tabella335[Boltzmann k]*Tabella8209[[#This Row],[Temperatura]])))/(1-EXP(-(Tabella335[Planck h]*Tabella4923[Frequency5])/(Tabella335[Boltzmann k]*Tabella8209[[#This Row],[Temperatura]])))</f>
        <v>0.20885330468545368</v>
      </c>
      <c r="J18" s="1" cm="1">
        <f t="array" ref="J18">(EXP(-(Tabella335[Planck h]*Tabella4923[Frequency6])/(2*Tabella335[Boltzmann k]*Tabella8209[[#This Row],[Temperatura]])))/(1-EXP(-(Tabella335[Planck h]*Tabella4923[Frequency6])/(Tabella335[Boltzmann k]*Tabella8209[[#This Row],[Temperatura]])))</f>
        <v>4.4199634176017598E-2</v>
      </c>
      <c r="K18" s="1" cm="1">
        <f t="array" ref="K18">(EXP(-(Tabella335[Planck h]*Tabella4923[Frequency7])/(2*Tabella335[Boltzmann k]*Tabella8209[[#This Row],[Temperatura]])))/(1-EXP(-(Tabella335[Planck h]*Tabella4923[Frequency7])/(Tabella335[Boltzmann k]*Tabella8209[[#This Row],[Temperatura]])))</f>
        <v>3.9387603013485858E-2</v>
      </c>
      <c r="L18" s="1" cm="1">
        <f t="array" ref="L18">(EXP(-(Tabella335[Planck h]*Tabella4923[Frequency8])/(2*Tabella335[Boltzmann k]*Tabella8209[[#This Row],[Temperatura]])))/(1-EXP(-(Tabella335[Planck h]*Tabella4923[Frequency8])/(Tabella335[Boltzmann k]*Tabella8209[[#This Row],[Temperatura]])))</f>
        <v>3.9328313293923479E-2</v>
      </c>
      <c r="M18" s="1" cm="1">
        <f t="array" ref="M18">(EXP(-(Tabella335[Planck h]*Tabella4923[Frequency9])/(2*Tabella335[Boltzmann k]*Tabella8209[[#This Row],[Temperatura]])))/(1-EXP(-(Tabella335[Planck h]*Tabella4923[Frequency9])/(Tabella335[Boltzmann k]*Tabella8209[[#This Row],[Temperatura]])))</f>
        <v>3.9322905294627529E-2</v>
      </c>
      <c r="N18" s="1">
        <f>PRODUCT(Tabella8209[[#This Row],[Qvib1]:[Qvib9]])</f>
        <v>2.238786971438191E-9</v>
      </c>
    </row>
    <row r="19" spans="1:14" x14ac:dyDescent="0.3">
      <c r="A19">
        <v>3036.8665999999998</v>
      </c>
      <c r="B19" cm="1">
        <f t="array" ref="B19">Tabella4722[[#This Row],[Wavenumbers '[cm^-1']]]*Tabella335[Speed of Light '[cm/s']]</f>
        <v>91043134861380</v>
      </c>
      <c r="D19">
        <v>800</v>
      </c>
      <c r="E19" s="1" cm="1">
        <f t="array" ref="E19">(EXP(-(Tabella335[Planck h]*Tabella4923[Frequency1])/(2*Tabella335[Boltzmann k]*Tabella8209[[#This Row],[Temperatura]])))/(1-EXP(-(Tabella335[Planck h]*Tabella4923[Frequency1])/(Tabella335[Boltzmann k]*Tabella8209[[#This Row],[Temperatura]])))</f>
        <v>0.32676825272374321</v>
      </c>
      <c r="F19" s="1" cm="1">
        <f t="array" ref="F19">(EXP(-(Tabella335[Planck h]*Tabella4923[Frequency2])/(2*Tabella335[Boltzmann k]*Tabella8209[[#This Row],[Temperatura]])))/(1-EXP(-(Tabella335[Planck h]*Tabella4923[Frequency2])/(Tabella335[Boltzmann k]*Tabella8209[[#This Row],[Temperatura]])))</f>
        <v>0.32657340190696715</v>
      </c>
      <c r="G19" s="1" cm="1">
        <f t="array" ref="G19">(EXP(-(Tabella335[Planck h]*Tabella4923[Frequency3])/(2*Tabella335[Boltzmann k]*Tabella8209[[#This Row],[Temperatura]])))/(1-EXP(-(Tabella335[Planck h]*Tabella4923[Frequency3])/(Tabella335[Boltzmann k]*Tabella8209[[#This Row],[Temperatura]])))</f>
        <v>0.32655477740279065</v>
      </c>
      <c r="H19" s="1" cm="1">
        <f t="array" ref="H19">(EXP(-(Tabella335[Planck h]*Tabella4923[Frequency4])/(2*Tabella335[Boltzmann k]*Tabella8209[[#This Row],[Temperatura]])))/(1-EXP(-(Tabella335[Planck h]*Tabella4923[Frequency4])/(Tabella335[Boltzmann k]*Tabella8209[[#This Row],[Temperatura]])))</f>
        <v>0.26077949885616253</v>
      </c>
      <c r="I19" s="1" cm="1">
        <f t="array" ref="I19">(EXP(-(Tabella335[Planck h]*Tabella4923[Frequency5])/(2*Tabella335[Boltzmann k]*Tabella8209[[#This Row],[Temperatura]])))/(1-EXP(-(Tabella335[Planck h]*Tabella4923[Frequency5])/(Tabella335[Boltzmann k]*Tabella8209[[#This Row],[Temperatura]])))</f>
        <v>0.26071928485601409</v>
      </c>
      <c r="J19" s="1" cm="1">
        <f t="array" ref="J19">(EXP(-(Tabella335[Planck h]*Tabella4923[Frequency6])/(2*Tabella335[Boltzmann k]*Tabella8209[[#This Row],[Temperatura]])))/(1-EXP(-(Tabella335[Planck h]*Tabella4923[Frequency6])/(Tabella335[Boltzmann k]*Tabella8209[[#This Row],[Temperatura]])))</f>
        <v>6.5440883790788454E-2</v>
      </c>
      <c r="K19" s="1" cm="1">
        <f t="array" ref="K19">(EXP(-(Tabella335[Planck h]*Tabella4923[Frequency7])/(2*Tabella335[Boltzmann k]*Tabella8209[[#This Row],[Temperatura]])))/(1-EXP(-(Tabella335[Planck h]*Tabella4923[Frequency7])/(Tabella335[Boltzmann k]*Tabella8209[[#This Row],[Temperatura]])))</f>
        <v>5.9137418291513269E-2</v>
      </c>
      <c r="L19" s="1" cm="1">
        <f t="array" ref="L19">(EXP(-(Tabella335[Planck h]*Tabella4923[Frequency8])/(2*Tabella335[Boltzmann k]*Tabella8209[[#This Row],[Temperatura]])))/(1-EXP(-(Tabella335[Planck h]*Tabella4923[Frequency8])/(Tabella335[Boltzmann k]*Tabella8209[[#This Row],[Temperatura]])))</f>
        <v>5.9059219264894165E-2</v>
      </c>
      <c r="M19" s="1" cm="1">
        <f t="array" ref="M19">(EXP(-(Tabella335[Planck h]*Tabella4923[Frequency9])/(2*Tabella335[Boltzmann k]*Tabella8209[[#This Row],[Temperatura]])))/(1-EXP(-(Tabella335[Planck h]*Tabella4923[Frequency9])/(Tabella335[Boltzmann k]*Tabella8209[[#This Row],[Temperatura]])))</f>
        <v>5.9052085810587823E-2</v>
      </c>
      <c r="N19" s="1">
        <f>PRODUCT(Tabella8209[[#This Row],[Qvib1]:[Qvib9]])</f>
        <v>3.1978476620876239E-8</v>
      </c>
    </row>
    <row r="20" spans="1:14" x14ac:dyDescent="0.3">
      <c r="A20">
        <v>3148.6359000000002</v>
      </c>
      <c r="B20" cm="1">
        <f t="array" ref="B20">Tabella4722[[#This Row],[Wavenumbers '[cm^-1']]]*Tabella335[Speed of Light '[cm/s']]</f>
        <v>94393900236870</v>
      </c>
      <c r="D20">
        <v>900</v>
      </c>
      <c r="E20" s="1" cm="1">
        <f t="array" ref="E20">(EXP(-(Tabella335[Planck h]*Tabella4923[Frequency1])/(2*Tabella335[Boltzmann k]*Tabella8209[[#This Row],[Temperatura]])))/(1-EXP(-(Tabella335[Planck h]*Tabella4923[Frequency1])/(Tabella335[Boltzmann k]*Tabella8209[[#This Row],[Temperatura]])))</f>
        <v>0.385433067263382</v>
      </c>
      <c r="F20" s="1" cm="1">
        <f t="array" ref="F20">(EXP(-(Tabella335[Planck h]*Tabella4923[Frequency2])/(2*Tabella335[Boltzmann k]*Tabella8209[[#This Row],[Temperatura]])))/(1-EXP(-(Tabella335[Planck h]*Tabella4923[Frequency2])/(Tabella335[Boltzmann k]*Tabella8209[[#This Row],[Temperatura]])))</f>
        <v>0.38521714000832352</v>
      </c>
      <c r="G20" s="1" cm="1">
        <f t="array" ref="G20">(EXP(-(Tabella335[Planck h]*Tabella4923[Frequency3])/(2*Tabella335[Boltzmann k]*Tabella8209[[#This Row],[Temperatura]])))/(1-EXP(-(Tabella335[Planck h]*Tabella4923[Frequency3])/(Tabella335[Boltzmann k]*Tabella8209[[#This Row],[Temperatura]])))</f>
        <v>0.38519650088153773</v>
      </c>
      <c r="H20" s="1" cm="1">
        <f t="array" ref="H20">(EXP(-(Tabella335[Planck h]*Tabella4923[Frequency4])/(2*Tabella335[Boltzmann k]*Tabella8209[[#This Row],[Temperatura]])))/(1-EXP(-(Tabella335[Planck h]*Tabella4923[Frequency4])/(Tabella335[Boltzmann k]*Tabella8209[[#This Row],[Temperatura]])))</f>
        <v>0.3121941876856425</v>
      </c>
      <c r="I20" s="1" cm="1">
        <f t="array" ref="I20">(EXP(-(Tabella335[Planck h]*Tabella4923[Frequency5])/(2*Tabella335[Boltzmann k]*Tabella8209[[#This Row],[Temperatura]])))/(1-EXP(-(Tabella335[Planck h]*Tabella4923[Frequency5])/(Tabella335[Boltzmann k]*Tabella8209[[#This Row],[Temperatura]])))</f>
        <v>0.31212720916140851</v>
      </c>
      <c r="J20" s="1" cm="1">
        <f t="array" ref="J20">(EXP(-(Tabella335[Planck h]*Tabella4923[Frequency6])/(2*Tabella335[Boltzmann k]*Tabella8209[[#This Row],[Temperatura]])))/(1-EXP(-(Tabella335[Planck h]*Tabella4923[Frequency6])/(Tabella335[Boltzmann k]*Tabella8209[[#This Row],[Temperatura]])))</f>
        <v>8.8956017567776449E-2</v>
      </c>
      <c r="K20" s="1" cm="1">
        <f t="array" ref="K20">(EXP(-(Tabella335[Planck h]*Tabella4923[Frequency7])/(2*Tabella335[Boltzmann k]*Tabella8209[[#This Row],[Temperatura]])))/(1-EXP(-(Tabella335[Planck h]*Tabella4923[Frequency7])/(Tabella335[Boltzmann k]*Tabella8209[[#This Row],[Temperatura]])))</f>
        <v>8.1249000640027824E-2</v>
      </c>
      <c r="L20" s="1" cm="1">
        <f t="array" ref="L20">(EXP(-(Tabella335[Planck h]*Tabella4923[Frequency8])/(2*Tabella335[Boltzmann k]*Tabella8209[[#This Row],[Temperatura]])))/(1-EXP(-(Tabella335[Planck h]*Tabella4923[Frequency8])/(Tabella335[Boltzmann k]*Tabella8209[[#This Row],[Temperatura]])))</f>
        <v>8.1152911323014471E-2</v>
      </c>
      <c r="M20" s="1" cm="1">
        <f t="array" ref="M20">(EXP(-(Tabella335[Planck h]*Tabella4923[Frequency9])/(2*Tabella335[Boltzmann k]*Tabella8209[[#This Row],[Temperatura]])))/(1-EXP(-(Tabella335[Planck h]*Tabella4923[Frequency9])/(Tabella335[Boltzmann k]*Tabella8209[[#This Row],[Temperatura]])))</f>
        <v>8.114414527378698E-2</v>
      </c>
      <c r="N20" s="1">
        <f>PRODUCT(Tabella8209[[#This Row],[Qvib1]:[Qvib9]])</f>
        <v>2.6524548730997214E-7</v>
      </c>
    </row>
    <row r="21" spans="1:14" x14ac:dyDescent="0.3">
      <c r="A21">
        <v>3150.0972000000002</v>
      </c>
      <c r="B21" cm="1">
        <f t="array" ref="B21">Tabella4722[[#This Row],[Wavenumbers '[cm^-1']]]*Tabella335[Speed of Light '[cm/s']]</f>
        <v>94437708987960</v>
      </c>
      <c r="D21">
        <v>1000</v>
      </c>
      <c r="E21" s="1" cm="1">
        <f t="array" ref="E21">(EXP(-(Tabella335[Planck h]*Tabella4923[Frequency1])/(2*Tabella335[Boltzmann k]*Tabella8209[[#This Row],[Temperatura]])))/(1-EXP(-(Tabella335[Planck h]*Tabella4923[Frequency1])/(Tabella335[Boltzmann k]*Tabella8209[[#This Row],[Temperatura]])))</f>
        <v>0.4432385200663001</v>
      </c>
      <c r="F21" s="1" cm="1">
        <f t="array" ref="F21">(EXP(-(Tabella335[Planck h]*Tabella4923[Frequency2])/(2*Tabella335[Boltzmann k]*Tabella8209[[#This Row],[Temperatura]])))/(1-EXP(-(Tabella335[Planck h]*Tabella4923[Frequency2])/(Tabella335[Boltzmann k]*Tabella8209[[#This Row],[Temperatura]])))</f>
        <v>0.44300199129790996</v>
      </c>
      <c r="G21" s="1" cm="1">
        <f t="array" ref="G21">(EXP(-(Tabella335[Planck h]*Tabella4923[Frequency3])/(2*Tabella335[Boltzmann k]*Tabella8209[[#This Row],[Temperatura]])))/(1-EXP(-(Tabella335[Planck h]*Tabella4923[Frequency3])/(Tabella335[Boltzmann k]*Tabella8209[[#This Row],[Temperatura]])))</f>
        <v>0.44297938299491352</v>
      </c>
      <c r="H21" s="1" cm="1">
        <f t="array" ref="H21">(EXP(-(Tabella335[Planck h]*Tabella4923[Frequency4])/(2*Tabella335[Boltzmann k]*Tabella8209[[#This Row],[Temperatura]])))/(1-EXP(-(Tabella335[Planck h]*Tabella4923[Frequency4])/(Tabella335[Boltzmann k]*Tabella8209[[#This Row],[Temperatura]])))</f>
        <v>0.36297725992895269</v>
      </c>
      <c r="I21" s="1" cm="1">
        <f t="array" ref="I21">(EXP(-(Tabella335[Planck h]*Tabella4923[Frequency5])/(2*Tabella335[Boltzmann k]*Tabella8209[[#This Row],[Temperatura]])))/(1-EXP(-(Tabella335[Planck h]*Tabella4923[Frequency5])/(Tabella335[Boltzmann k]*Tabella8209[[#This Row],[Temperatura]])))</f>
        <v>0.36290379695542241</v>
      </c>
      <c r="J21" s="1" cm="1">
        <f t="array" ref="J21">(EXP(-(Tabella335[Planck h]*Tabella4923[Frequency6])/(2*Tabella335[Boltzmann k]*Tabella8209[[#This Row],[Temperatura]])))/(1-EXP(-(Tabella335[Planck h]*Tabella4923[Frequency6])/(Tabella335[Boltzmann k]*Tabella8209[[#This Row],[Temperatura]])))</f>
        <v>0.11395509709397689</v>
      </c>
      <c r="K21" s="1" cm="1">
        <f t="array" ref="K21">(EXP(-(Tabella335[Planck h]*Tabella4923[Frequency7])/(2*Tabella335[Boltzmann k]*Tabella8209[[#This Row],[Temperatura]])))/(1-EXP(-(Tabella335[Planck h]*Tabella4923[Frequency7])/(Tabella335[Boltzmann k]*Tabella8209[[#This Row],[Temperatura]])))</f>
        <v>0.10495125750384914</v>
      </c>
      <c r="L21" s="1" cm="1">
        <f t="array" ref="L21">(EXP(-(Tabella335[Planck h]*Tabella4923[Frequency8])/(2*Tabella335[Boltzmann k]*Tabella8209[[#This Row],[Temperatura]])))/(1-EXP(-(Tabella335[Planck h]*Tabella4923[Frequency8])/(Tabella335[Boltzmann k]*Tabella8209[[#This Row],[Temperatura]])))</f>
        <v>0.10483858686803244</v>
      </c>
      <c r="M21" s="1" cm="1">
        <f t="array" ref="M21">(EXP(-(Tabella335[Planck h]*Tabella4923[Frequency9])/(2*Tabella335[Boltzmann k]*Tabella8209[[#This Row],[Temperatura]])))/(1-EXP(-(Tabella335[Planck h]*Tabella4923[Frequency9])/(Tabella335[Boltzmann k]*Tabella8209[[#This Row],[Temperatura]])))</f>
        <v>0.10482830760669302</v>
      </c>
      <c r="N21" s="1">
        <f>PRODUCT(Tabella8209[[#This Row],[Qvib1]:[Qvib9]])</f>
        <v>1.5059784361290383E-6</v>
      </c>
    </row>
    <row r="22" spans="1:14" x14ac:dyDescent="0.3">
      <c r="A22">
        <v>3150.2305999999999</v>
      </c>
      <c r="B22" cm="1">
        <f t="array" ref="B22">Tabella4722[[#This Row],[Wavenumbers '[cm^-1']]]*Tabella335[Speed of Light '[cm/s']]</f>
        <v>94441708226580</v>
      </c>
      <c r="D22">
        <v>1100</v>
      </c>
      <c r="E22" s="1" cm="1">
        <f t="array" ref="E22">(EXP(-(Tabella335[Planck h]*Tabella4923[Frequency1])/(2*Tabella335[Boltzmann k]*Tabella8209[[#This Row],[Temperatura]])))/(1-EXP(-(Tabella335[Planck h]*Tabella4923[Frequency1])/(Tabella335[Boltzmann k]*Tabella8209[[#This Row],[Temperatura]])))</f>
        <v>0.50026969239450481</v>
      </c>
      <c r="F22" s="1" cm="1">
        <f t="array" ref="F22">(EXP(-(Tabella335[Planck h]*Tabella4923[Frequency2])/(2*Tabella335[Boltzmann k]*Tabella8209[[#This Row],[Temperatura]])))/(1-EXP(-(Tabella335[Planck h]*Tabella4923[Frequency2])/(Tabella335[Boltzmann k]*Tabella8209[[#This Row],[Temperatura]])))</f>
        <v>0.50001278996130649</v>
      </c>
      <c r="G22" s="1" cm="1">
        <f t="array" ref="G22">(EXP(-(Tabella335[Planck h]*Tabella4923[Frequency3])/(2*Tabella335[Boltzmann k]*Tabella8209[[#This Row],[Temperatura]])))/(1-EXP(-(Tabella335[Planck h]*Tabella4923[Frequency3])/(Tabella335[Boltzmann k]*Tabella8209[[#This Row],[Temperatura]])))</f>
        <v>0.49998823429379152</v>
      </c>
      <c r="H22" s="1" cm="1">
        <f t="array" ref="H22">(EXP(-(Tabella335[Planck h]*Tabella4923[Frequency4])/(2*Tabella335[Boltzmann k]*Tabella8209[[#This Row],[Temperatura]])))/(1-EXP(-(Tabella335[Planck h]*Tabella4923[Frequency4])/(Tabella335[Boltzmann k]*Tabella8209[[#This Row],[Temperatura]])))</f>
        <v>0.41310759808608616</v>
      </c>
      <c r="I22" s="1" cm="1">
        <f t="array" ref="I22">(EXP(-(Tabella335[Planck h]*Tabella4923[Frequency5])/(2*Tabella335[Boltzmann k]*Tabella8209[[#This Row],[Temperatura]])))/(1-EXP(-(Tabella335[Planck h]*Tabella4923[Frequency5])/(Tabella335[Boltzmann k]*Tabella8209[[#This Row],[Temperatura]])))</f>
        <v>0.41302781086791773</v>
      </c>
      <c r="J22" s="1" cm="1">
        <f t="array" ref="J22">(EXP(-(Tabella335[Planck h]*Tabella4923[Frequency6])/(2*Tabella335[Boltzmann k]*Tabella8209[[#This Row],[Temperatura]])))/(1-EXP(-(Tabella335[Planck h]*Tabella4923[Frequency6])/(Tabella335[Boltzmann k]*Tabella8209[[#This Row],[Temperatura]])))</f>
        <v>0.13986603354516894</v>
      </c>
      <c r="K22" s="1" cm="1">
        <f t="array" ref="K22">(EXP(-(Tabella335[Planck h]*Tabella4923[Frequency7])/(2*Tabella335[Boltzmann k]*Tabella8209[[#This Row],[Temperatura]])))/(1-EXP(-(Tabella335[Planck h]*Tabella4923[Frequency7])/(Tabella335[Boltzmann k]*Tabella8209[[#This Row],[Temperatura]])))</f>
        <v>0.12966858204246479</v>
      </c>
      <c r="L22" s="1" cm="1">
        <f t="array" ref="L22">(EXP(-(Tabella335[Planck h]*Tabella4923[Frequency8])/(2*Tabella335[Boltzmann k]*Tabella8209[[#This Row],[Temperatura]])))/(1-EXP(-(Tabella335[Planck h]*Tabella4923[Frequency8])/(Tabella335[Boltzmann k]*Tabella8209[[#This Row],[Temperatura]])))</f>
        <v>0.12954062856601437</v>
      </c>
      <c r="M22" s="1" cm="1">
        <f t="array" ref="M22">(EXP(-(Tabella335[Planck h]*Tabella4923[Frequency9])/(2*Tabella335[Boltzmann k]*Tabella8209[[#This Row],[Temperatura]])))/(1-EXP(-(Tabella335[Planck h]*Tabella4923[Frequency9])/(Tabella335[Boltzmann k]*Tabella8209[[#This Row],[Temperatura]])))</f>
        <v>0.12952895456186936</v>
      </c>
      <c r="N22" s="1">
        <f>PRODUCT(Tabella8209[[#This Row],[Qvib1]:[Qvib9]])</f>
        <v>6.4939277194396483E-6</v>
      </c>
    </row>
    <row r="23" spans="1:14" x14ac:dyDescent="0.3">
      <c r="D23">
        <v>1200</v>
      </c>
      <c r="E23" s="1" cm="1">
        <f t="array" ref="E23">(EXP(-(Tabella335[Planck h]*Tabella4923[Frequency1])/(2*Tabella335[Boltzmann k]*Tabella8209[[#This Row],[Temperatura]])))/(1-EXP(-(Tabella335[Planck h]*Tabella4923[Frequency1])/(Tabella335[Boltzmann k]*Tabella8209[[#This Row],[Temperatura]])))</f>
        <v>0.55662898958486251</v>
      </c>
      <c r="F23" s="1" cm="1">
        <f t="array" ref="F23">(EXP(-(Tabella335[Planck h]*Tabella4923[Frequency2])/(2*Tabella335[Boltzmann k]*Tabella8209[[#This Row],[Temperatura]])))/(1-EXP(-(Tabella335[Planck h]*Tabella4923[Frequency2])/(Tabella335[Boltzmann k]*Tabella8209[[#This Row],[Temperatura]])))</f>
        <v>0.55635180516124239</v>
      </c>
      <c r="G23" s="1" cm="1">
        <f t="array" ref="G23">(EXP(-(Tabella335[Planck h]*Tabella4923[Frequency3])/(2*Tabella335[Boltzmann k]*Tabella8209[[#This Row],[Temperatura]])))/(1-EXP(-(Tabella335[Planck h]*Tabella4923[Frequency3])/(Tabella335[Boltzmann k]*Tabella8209[[#This Row],[Temperatura]])))</f>
        <v>0.55632531091292603</v>
      </c>
      <c r="H23" s="1" cm="1">
        <f t="array" ref="H23">(EXP(-(Tabella335[Planck h]*Tabella4923[Frequency4])/(2*Tabella335[Boltzmann k]*Tabella8209[[#This Row],[Temperatura]])))/(1-EXP(-(Tabella335[Planck h]*Tabella4923[Frequency4])/(Tabella335[Boltzmann k]*Tabella8209[[#This Row],[Temperatura]])))</f>
        <v>0.46262620260391457</v>
      </c>
      <c r="I23" s="1" cm="1">
        <f t="array" ref="I23">(EXP(-(Tabella335[Planck h]*Tabella4923[Frequency5])/(2*Tabella335[Boltzmann k]*Tabella8209[[#This Row],[Temperatura]])))/(1-EXP(-(Tabella335[Planck h]*Tabella4923[Frequency5])/(Tabella335[Boltzmann k]*Tabella8209[[#This Row],[Temperatura]])))</f>
        <v>0.46254017912602907</v>
      </c>
      <c r="J23" s="1" cm="1">
        <f t="array" ref="J23">(EXP(-(Tabella335[Planck h]*Tabella4923[Frequency6])/(2*Tabella335[Boltzmann k]*Tabella8209[[#This Row],[Temperatura]])))/(1-EXP(-(Tabella335[Planck h]*Tabella4923[Frequency6])/(Tabella335[Boltzmann k]*Tabella8209[[#This Row],[Temperatura]])))</f>
        <v>0.16629308304873588</v>
      </c>
      <c r="K23" s="1" cm="1">
        <f t="array" ref="K23">(EXP(-(Tabella335[Planck h]*Tabella4923[Frequency7])/(2*Tabella335[Boltzmann k]*Tabella8209[[#This Row],[Temperatura]])))/(1-EXP(-(Tabella335[Planck h]*Tabella4923[Frequency7])/(Tabella335[Boltzmann k]*Tabella8209[[#This Row],[Temperatura]])))</f>
        <v>0.15499230155817748</v>
      </c>
      <c r="L23" s="1" cm="1">
        <f t="array" ref="L23">(EXP(-(Tabella335[Planck h]*Tabella4923[Frequency8])/(2*Tabella335[Boltzmann k]*Tabella8209[[#This Row],[Temperatura]])))/(1-EXP(-(Tabella335[Planck h]*Tabella4923[Frequency8])/(Tabella335[Boltzmann k]*Tabella8209[[#This Row],[Temperatura]])))</f>
        <v>0.15485021953993289</v>
      </c>
      <c r="M23" s="1" cm="1">
        <f t="array" ref="M23">(EXP(-(Tabella335[Planck h]*Tabella4923[Frequency9])/(2*Tabella335[Boltzmann k]*Tabella8209[[#This Row],[Temperatura]])))/(1-EXP(-(Tabella335[Planck h]*Tabella4923[Frequency9])/(Tabella335[Boltzmann k]*Tabella8209[[#This Row],[Temperatura]])))</f>
        <v>0.15483725613201693</v>
      </c>
      <c r="N23" s="1">
        <f>PRODUCT(Tabella8209[[#This Row],[Qvib1]:[Qvib9]])</f>
        <v>2.2782188325505757E-5</v>
      </c>
    </row>
    <row r="24" spans="1:14" x14ac:dyDescent="0.3">
      <c r="D24">
        <v>1300</v>
      </c>
      <c r="E24" s="1" cm="1">
        <f t="array" ref="E24">(EXP(-(Tabella335[Planck h]*Tabella4923[Frequency1])/(2*Tabella335[Boltzmann k]*Tabella8209[[#This Row],[Temperatura]])))/(1-EXP(-(Tabella335[Planck h]*Tabella4923[Frequency1])/(Tabella335[Boltzmann k]*Tabella8209[[#This Row],[Temperatura]])))</f>
        <v>0.61241416815695537</v>
      </c>
      <c r="F24" s="1" cm="1">
        <f t="array" ref="F24">(EXP(-(Tabella335[Planck h]*Tabella4923[Frequency2])/(2*Tabella335[Boltzmann k]*Tabella8209[[#This Row],[Temperatura]])))/(1-EXP(-(Tabella335[Planck h]*Tabella4923[Frequency2])/(Tabella335[Boltzmann k]*Tabella8209[[#This Row],[Temperatura]])))</f>
        <v>0.61211671898153841</v>
      </c>
      <c r="G24" s="1" cm="1">
        <f t="array" ref="G24">(EXP(-(Tabella335[Planck h]*Tabella4923[Frequency3])/(2*Tabella335[Boltzmann k]*Tabella8209[[#This Row],[Temperatura]])))/(1-EXP(-(Tabella335[Planck h]*Tabella4923[Frequency3])/(Tabella335[Boltzmann k]*Tabella8209[[#This Row],[Temperatura]])))</f>
        <v>0.61208828781356395</v>
      </c>
      <c r="H24" s="1" cm="1">
        <f t="array" ref="H24">(EXP(-(Tabella335[Planck h]*Tabella4923[Frequency4])/(2*Tabella335[Boltzmann k]*Tabella8209[[#This Row],[Temperatura]])))/(1-EXP(-(Tabella335[Planck h]*Tabella4923[Frequency4])/(Tabella335[Boltzmann k]*Tabella8209[[#This Row],[Temperatura]])))</f>
        <v>0.51159547120293491</v>
      </c>
      <c r="I24" s="1" cm="1">
        <f t="array" ref="I24">(EXP(-(Tabella335[Planck h]*Tabella4923[Frequency5])/(2*Tabella335[Boltzmann k]*Tabella8209[[#This Row],[Temperatura]])))/(1-EXP(-(Tabella335[Planck h]*Tabella4923[Frequency5])/(Tabella335[Boltzmann k]*Tabella8209[[#This Row],[Temperatura]])))</f>
        <v>0.51150325614388359</v>
      </c>
      <c r="J24" s="1" cm="1">
        <f t="array" ref="J24">(EXP(-(Tabella335[Planck h]*Tabella4923[Frequency6])/(2*Tabella335[Boltzmann k]*Tabella8209[[#This Row],[Temperatura]])))/(1-EXP(-(Tabella335[Planck h]*Tabella4923[Frequency6])/(Tabella335[Boltzmann k]*Tabella8209[[#This Row],[Temperatura]])))</f>
        <v>0.19297075507991532</v>
      </c>
      <c r="K24" s="1" cm="1">
        <f t="array" ref="K24">(EXP(-(Tabella335[Planck h]*Tabella4923[Frequency7])/(2*Tabella335[Boltzmann k]*Tabella8209[[#This Row],[Temperatura]])))/(1-EXP(-(Tabella335[Planck h]*Tabella4923[Frequency7])/(Tabella335[Boltzmann k]*Tabella8209[[#This Row],[Temperatura]])))</f>
        <v>0.1806414906121929</v>
      </c>
      <c r="L24" s="1" cm="1">
        <f t="array" ref="L24">(EXP(-(Tabella335[Planck h]*Tabella4923[Frequency8])/(2*Tabella335[Boltzmann k]*Tabella8209[[#This Row],[Temperatura]])))/(1-EXP(-(Tabella335[Planck h]*Tabella4923[Frequency8])/(Tabella335[Boltzmann k]*Tabella8209[[#This Row],[Temperatura]])))</f>
        <v>0.18048624843886005</v>
      </c>
      <c r="M24" s="1" cm="1">
        <f t="array" ref="M24">(EXP(-(Tabella335[Planck h]*Tabella4923[Frequency9])/(2*Tabella335[Boltzmann k]*Tabella8209[[#This Row],[Temperatura]])))/(1-EXP(-(Tabella335[Planck h]*Tabella4923[Frequency9])/(Tabella335[Boltzmann k]*Tabella8209[[#This Row],[Temperatura]])))</f>
        <v>0.1804720840151004</v>
      </c>
      <c r="N24" s="1">
        <f>PRODUCT(Tabella8209[[#This Row],[Qvib1]:[Qvib9]])</f>
        <v>6.8176042950220589E-5</v>
      </c>
    </row>
    <row r="25" spans="1:14" x14ac:dyDescent="0.3">
      <c r="D25">
        <v>1400</v>
      </c>
      <c r="E25" s="1" cm="1">
        <f t="array" ref="E25">(EXP(-(Tabella335[Planck h]*Tabella4923[Frequency1])/(2*Tabella335[Boltzmann k]*Tabella8209[[#This Row],[Temperatura]])))/(1-EXP(-(Tabella335[Planck h]*Tabella4923[Frequency1])/(Tabella335[Boltzmann k]*Tabella8209[[#This Row],[Temperatura]])))</f>
        <v>0.66771124546720106</v>
      </c>
      <c r="F25" s="1" cm="1">
        <f t="array" ref="F25">(EXP(-(Tabella335[Planck h]*Tabella4923[Frequency2])/(2*Tabella335[Boltzmann k]*Tabella8209[[#This Row],[Temperatura]])))/(1-EXP(-(Tabella335[Planck h]*Tabella4923[Frequency2])/(Tabella335[Boltzmann k]*Tabella8209[[#This Row],[Temperatura]])))</f>
        <v>0.66739350892747262</v>
      </c>
      <c r="G25" s="1" cm="1">
        <f t="array" ref="G25">(EXP(-(Tabella335[Planck h]*Tabella4923[Frequency3])/(2*Tabella335[Boltzmann k]*Tabella8209[[#This Row],[Temperatura]])))/(1-EXP(-(Tabella335[Planck h]*Tabella4923[Frequency3])/(Tabella335[Boltzmann k]*Tabella8209[[#This Row],[Temperatura]])))</f>
        <v>0.66736313868687114</v>
      </c>
      <c r="H25" s="1" cm="1">
        <f t="array" ref="H25">(EXP(-(Tabella335[Planck h]*Tabella4923[Frequency4])/(2*Tabella335[Boltzmann k]*Tabella8209[[#This Row],[Temperatura]])))/(1-EXP(-(Tabella335[Planck h]*Tabella4923[Frequency4])/(Tabella335[Boltzmann k]*Tabella8209[[#This Row],[Temperatura]])))</f>
        <v>0.56008122508392877</v>
      </c>
      <c r="I25" s="1" cm="1">
        <f t="array" ref="I25">(EXP(-(Tabella335[Planck h]*Tabella4923[Frequency5])/(2*Tabella335[Boltzmann k]*Tabella8209[[#This Row],[Temperatura]])))/(1-EXP(-(Tabella335[Planck h]*Tabella4923[Frequency5])/(Tabella335[Boltzmann k]*Tabella8209[[#This Row],[Temperatura]])))</f>
        <v>0.55998283724773323</v>
      </c>
      <c r="J25" s="1" cm="1">
        <f t="array" ref="J25">(EXP(-(Tabella335[Planck h]*Tabella4923[Frequency6])/(2*Tabella335[Boltzmann k]*Tabella8209[[#This Row],[Temperatura]])))/(1-EXP(-(Tabella335[Planck h]*Tabella4923[Frequency6])/(Tabella335[Boltzmann k]*Tabella8209[[#This Row],[Temperatura]])))</f>
        <v>0.21972530786234051</v>
      </c>
      <c r="K25" s="1" cm="1">
        <f t="array" ref="K25">(EXP(-(Tabella335[Planck h]*Tabella4923[Frequency7])/(2*Tabella335[Boltzmann k]*Tabella8209[[#This Row],[Temperatura]])))/(1-EXP(-(Tabella335[Planck h]*Tabella4923[Frequency7])/(Tabella335[Boltzmann k]*Tabella8209[[#This Row],[Temperatura]])))</f>
        <v>0.20642768972017631</v>
      </c>
      <c r="L25" s="1" cm="1">
        <f t="array" ref="L25">(EXP(-(Tabella335[Planck h]*Tabella4923[Frequency8])/(2*Tabella335[Boltzmann k]*Tabella8209[[#This Row],[Temperatura]])))/(1-EXP(-(Tabella335[Planck h]*Tabella4923[Frequency8])/(Tabella335[Boltzmann k]*Tabella8209[[#This Row],[Temperatura]])))</f>
        <v>0.20626007280820904</v>
      </c>
      <c r="M25" s="1" cm="1">
        <f t="array" ref="M25">(EXP(-(Tabella335[Planck h]*Tabella4923[Frequency9])/(2*Tabella335[Boltzmann k]*Tabella8209[[#This Row],[Temperatura]])))/(1-EXP(-(Tabella335[Planck h]*Tabella4923[Frequency9])/(Tabella335[Boltzmann k]*Tabella8209[[#This Row],[Temperatura]])))</f>
        <v>0.20624477906586139</v>
      </c>
      <c r="N25" s="1">
        <f>PRODUCT(Tabella8209[[#This Row],[Qvib1]:[Qvib9]])</f>
        <v>1.7997193216787909E-4</v>
      </c>
    </row>
    <row r="26" spans="1:14" x14ac:dyDescent="0.3">
      <c r="D26">
        <v>1500</v>
      </c>
      <c r="E26" s="1" cm="1">
        <f t="array" ref="E26">(EXP(-(Tabella335[Planck h]*Tabella4923[Frequency1])/(2*Tabella335[Boltzmann k]*Tabella8209[[#This Row],[Temperatura]])))/(1-EXP(-(Tabella335[Planck h]*Tabella4923[Frequency1])/(Tabella335[Boltzmann k]*Tabella8209[[#This Row],[Temperatura]])))</f>
        <v>0.72259331708773811</v>
      </c>
      <c r="F26" s="1" cm="1">
        <f t="array" ref="F26">(EXP(-(Tabella335[Planck h]*Tabella4923[Frequency2])/(2*Tabella335[Boltzmann k]*Tabella8209[[#This Row],[Temperatura]])))/(1-EXP(-(Tabella335[Planck h]*Tabella4923[Frequency2])/(Tabella335[Boltzmann k]*Tabella8209[[#This Row],[Temperatura]])))</f>
        <v>0.72225525022584125</v>
      </c>
      <c r="G26" s="1" cm="1">
        <f t="array" ref="G26">(EXP(-(Tabella335[Planck h]*Tabella4923[Frequency3])/(2*Tabella335[Boltzmann k]*Tabella8209[[#This Row],[Temperatura]])))/(1-EXP(-(Tabella335[Planck h]*Tabella4923[Frequency3])/(Tabella335[Boltzmann k]*Tabella8209[[#This Row],[Temperatura]])))</f>
        <v>0.72222293681172278</v>
      </c>
      <c r="H26" s="1" cm="1">
        <f t="array" ref="H26">(EXP(-(Tabella335[Planck h]*Tabella4923[Frequency4])/(2*Tabella335[Boltzmann k]*Tabella8209[[#This Row],[Temperatura]])))/(1-EXP(-(Tabella335[Planck h]*Tabella4923[Frequency4])/(Tabella335[Boltzmann k]*Tabella8209[[#This Row],[Temperatura]])))</f>
        <v>0.60814524201238473</v>
      </c>
      <c r="I26" s="1" cm="1">
        <f t="array" ref="I26">(EXP(-(Tabella335[Planck h]*Tabella4923[Frequency5])/(2*Tabella335[Boltzmann k]*Tabella8209[[#This Row],[Temperatura]])))/(1-EXP(-(Tabella335[Planck h]*Tabella4923[Frequency5])/(Tabella335[Boltzmann k]*Tabella8209[[#This Row],[Temperatura]])))</f>
        <v>0.60804068486439422</v>
      </c>
      <c r="J26" s="1" cm="1">
        <f t="array" ref="J26">(EXP(-(Tabella335[Planck h]*Tabella4923[Frequency6])/(2*Tabella335[Boltzmann k]*Tabella8209[[#This Row],[Temperatura]])))/(1-EXP(-(Tabella335[Planck h]*Tabella4923[Frequency6])/(Tabella335[Boltzmann k]*Tabella8209[[#This Row],[Temperatura]])))</f>
        <v>0.24644590756662252</v>
      </c>
      <c r="K26" s="1" cm="1">
        <f t="array" ref="K26">(EXP(-(Tabella335[Planck h]*Tabella4923[Frequency7])/(2*Tabella335[Boltzmann k]*Tabella8209[[#This Row],[Temperatura]])))/(1-EXP(-(Tabella335[Planck h]*Tabella4923[Frequency7])/(Tabella335[Boltzmann k]*Tabella8209[[#This Row],[Temperatura]])))</f>
        <v>0.23222730679725162</v>
      </c>
      <c r="L26" s="1" cm="1">
        <f t="array" ref="L26">(EXP(-(Tabella335[Planck h]*Tabella4923[Frequency8])/(2*Tabella335[Boltzmann k]*Tabella8209[[#This Row],[Temperatura]])))/(1-EXP(-(Tabella335[Planck h]*Tabella4923[Frequency8])/(Tabella335[Boltzmann k]*Tabella8209[[#This Row],[Temperatura]])))</f>
        <v>0.23204793896675757</v>
      </c>
      <c r="M26" s="1" cm="1">
        <f t="array" ref="M26">(EXP(-(Tabella335[Planck h]*Tabella4923[Frequency9])/(2*Tabella335[Boltzmann k]*Tabella8209[[#This Row],[Temperatura]])))/(1-EXP(-(Tabella335[Planck h]*Tabella4923[Frequency9])/(Tabella335[Boltzmann k]*Tabella8209[[#This Row],[Temperatura]])))</f>
        <v>0.2320315728581617</v>
      </c>
      <c r="N26" s="1">
        <f>PRODUCT(Tabella8209[[#This Row],[Qvib1]:[Qvib9]])</f>
        <v>4.2949248928408462E-4</v>
      </c>
    </row>
    <row r="27" spans="1:14" x14ac:dyDescent="0.3">
      <c r="D27">
        <v>1600</v>
      </c>
      <c r="E27" s="1" cm="1">
        <f t="array" ref="E27">(EXP(-(Tabella335[Planck h]*Tabella4923[Frequency1])/(2*Tabella335[Boltzmann k]*Tabella8209[[#This Row],[Temperatura]])))/(1-EXP(-(Tabella335[Planck h]*Tabella4923[Frequency1])/(Tabella335[Boltzmann k]*Tabella8209[[#This Row],[Temperatura]])))</f>
        <v>0.77712155892871426</v>
      </c>
      <c r="F27" s="1" cm="1">
        <f t="array" ref="F27">(EXP(-(Tabella335[Planck h]*Tabella4923[Frequency2])/(2*Tabella335[Boltzmann k]*Tabella8209[[#This Row],[Temperatura]])))/(1-EXP(-(Tabella335[Planck h]*Tabella4923[Frequency2])/(Tabella335[Boltzmann k]*Tabella8209[[#This Row],[Temperatura]])))</f>
        <v>0.77676310947812965</v>
      </c>
      <c r="G27" s="1" cm="1">
        <f t="array" ref="G27">(EXP(-(Tabella335[Planck h]*Tabella4923[Frequency3])/(2*Tabella335[Boltzmann k]*Tabella8209[[#This Row],[Temperatura]])))/(1-EXP(-(Tabella335[Planck h]*Tabella4923[Frequency3])/(Tabella335[Boltzmann k]*Tabella8209[[#This Row],[Temperatura]])))</f>
        <v>0.77672884789773966</v>
      </c>
      <c r="H27" s="1" cm="1">
        <f t="array" ref="H27">(EXP(-(Tabella335[Planck h]*Tabella4923[Frequency4])/(2*Tabella335[Boltzmann k]*Tabella8209[[#This Row],[Temperatura]])))/(1-EXP(-(Tabella335[Planck h]*Tabella4923[Frequency4])/(Tabella335[Boltzmann k]*Tabella8209[[#This Row],[Temperatura]])))</f>
        <v>0.65584260883613121</v>
      </c>
      <c r="I27" s="1" cm="1">
        <f t="array" ref="I27">(EXP(-(Tabella335[Planck h]*Tabella4923[Frequency5])/(2*Tabella335[Boltzmann k]*Tabella8209[[#This Row],[Temperatura]])))/(1-EXP(-(Tabella335[Planck h]*Tabella4923[Frequency5])/(Tabella335[Boltzmann k]*Tabella8209[[#This Row],[Temperatura]])))</f>
        <v>0.65573187690521928</v>
      </c>
      <c r="J27" s="1" cm="1">
        <f t="array" ref="J27">(EXP(-(Tabella335[Planck h]*Tabella4923[Frequency6])/(2*Tabella335[Boltzmann k]*Tabella8209[[#This Row],[Temperatura]])))/(1-EXP(-(Tabella335[Planck h]*Tabella4923[Frequency6])/(Tabella335[Boltzmann k]*Tabella8209[[#This Row],[Temperatura]])))</f>
        <v>0.27306414027016385</v>
      </c>
      <c r="K27" s="1" cm="1">
        <f t="array" ref="K27">(EXP(-(Tabella335[Planck h]*Tabella4923[Frequency7])/(2*Tabella335[Boltzmann k]*Tabella8209[[#This Row],[Temperatura]])))/(1-EXP(-(Tabella335[Planck h]*Tabella4923[Frequency7])/(Tabella335[Boltzmann k]*Tabella8209[[#This Row],[Temperatura]])))</f>
        <v>0.25796140222326369</v>
      </c>
      <c r="L27" s="1" cm="1">
        <f t="array" ref="L27">(EXP(-(Tabella335[Planck h]*Tabella4923[Frequency8])/(2*Tabella335[Boltzmann k]*Tabella8209[[#This Row],[Temperatura]])))/(1-EXP(-(Tabella335[Planck h]*Tabella4923[Frequency8])/(Tabella335[Boltzmann k]*Tabella8209[[#This Row],[Temperatura]])))</f>
        <v>0.25777077223774175</v>
      </c>
      <c r="M27" s="1" cm="1">
        <f t="array" ref="M27">(EXP(-(Tabella335[Planck h]*Tabella4923[Frequency9])/(2*Tabella335[Boltzmann k]*Tabella8209[[#This Row],[Temperatura]])))/(1-EXP(-(Tabella335[Planck h]*Tabella4923[Frequency9])/(Tabella335[Boltzmann k]*Tabella8209[[#This Row],[Temperatura]])))</f>
        <v>0.25775337838965662</v>
      </c>
      <c r="N27" s="1">
        <f>PRODUCT(Tabella8209[[#This Row],[Qvib1]:[Qvib9]])</f>
        <v>9.4369216188831947E-4</v>
      </c>
    </row>
    <row r="28" spans="1:14" x14ac:dyDescent="0.3">
      <c r="D28">
        <v>1700</v>
      </c>
      <c r="E28" s="1" cm="1">
        <f t="array" ref="E28">(EXP(-(Tabella335[Planck h]*Tabella4923[Frequency1])/(2*Tabella335[Boltzmann k]*Tabella8209[[#This Row],[Temperatura]])))/(1-EXP(-(Tabella335[Planck h]*Tabella4923[Frequency1])/(Tabella335[Boltzmann k]*Tabella8209[[#This Row],[Temperatura]])))</f>
        <v>0.8313468805933738</v>
      </c>
      <c r="F28" s="1" cm="1">
        <f t="array" ref="F28">(EXP(-(Tabella335[Planck h]*Tabella4923[Frequency2])/(2*Tabella335[Boltzmann k]*Tabella8209[[#This Row],[Temperatura]])))/(1-EXP(-(Tabella335[Planck h]*Tabella4923[Frequency2])/(Tabella335[Boltzmann k]*Tabella8209[[#This Row],[Temperatura]])))</f>
        <v>0.83096799319946268</v>
      </c>
      <c r="G28" s="1" cm="1">
        <f t="array" ref="G28">(EXP(-(Tabella335[Planck h]*Tabella4923[Frequency3])/(2*Tabella335[Boltzmann k]*Tabella8209[[#This Row],[Temperatura]])))/(1-EXP(-(Tabella335[Planck h]*Tabella4923[Frequency3])/(Tabella335[Boltzmann k]*Tabella8209[[#This Row],[Temperatura]])))</f>
        <v>0.83093177816349573</v>
      </c>
      <c r="H28" s="1" cm="1">
        <f t="array" ref="H28">(EXP(-(Tabella335[Planck h]*Tabella4923[Frequency4])/(2*Tabella335[Boltzmann k]*Tabella8209[[#This Row],[Temperatura]])))/(1-EXP(-(Tabella335[Planck h]*Tabella4923[Frequency4])/(Tabella335[Boltzmann k]*Tabella8209[[#This Row],[Temperatura]])))</f>
        <v>0.70322123426279093</v>
      </c>
      <c r="I28" s="1" cm="1">
        <f t="array" ref="I28">(EXP(-(Tabella335[Planck h]*Tabella4923[Frequency5])/(2*Tabella335[Boltzmann k]*Tabella8209[[#This Row],[Temperatura]])))/(1-EXP(-(Tabella335[Planck h]*Tabella4923[Frequency5])/(Tabella335[Boltzmann k]*Tabella8209[[#This Row],[Temperatura]])))</f>
        <v>0.70310431705140375</v>
      </c>
      <c r="J28" s="1" cm="1">
        <f t="array" ref="J28">(EXP(-(Tabella335[Planck h]*Tabella4923[Frequency6])/(2*Tabella335[Boltzmann k]*Tabella8209[[#This Row],[Temperatura]])))/(1-EXP(-(Tabella335[Planck h]*Tabella4923[Frequency6])/(Tabella335[Boltzmann k]*Tabella8209[[#This Row],[Temperatura]])))</f>
        <v>0.29953986084615747</v>
      </c>
      <c r="K28" s="1" cm="1">
        <f t="array" ref="K28">(EXP(-(Tabella335[Planck h]*Tabella4923[Frequency7])/(2*Tabella335[Boltzmann k]*Tabella8209[[#This Row],[Temperatura]])))/(1-EXP(-(Tabella335[Planck h]*Tabella4923[Frequency7])/(Tabella335[Boltzmann k]*Tabella8209[[#This Row],[Temperatura]])))</f>
        <v>0.28358138704440156</v>
      </c>
      <c r="L28" s="1" cm="1">
        <f t="array" ref="L28">(EXP(-(Tabella335[Planck h]*Tabella4923[Frequency8])/(2*Tabella335[Boltzmann k]*Tabella8209[[#This Row],[Temperatura]])))/(1-EXP(-(Tabella335[Planck h]*Tabella4923[Frequency8])/(Tabella335[Boltzmann k]*Tabella8209[[#This Row],[Temperatura]])))</f>
        <v>0.28337987424881639</v>
      </c>
      <c r="M28" s="1" cm="1">
        <f t="array" ref="M28">(EXP(-(Tabella335[Planck h]*Tabella4923[Frequency9])/(2*Tabella335[Boltzmann k]*Tabella8209[[#This Row],[Temperatura]])))/(1-EXP(-(Tabella335[Planck h]*Tabella4923[Frequency9])/(Tabella335[Boltzmann k]*Tabella8209[[#This Row],[Temperatura]])))</f>
        <v>0.28336148730080302</v>
      </c>
      <c r="N28" s="1">
        <f>PRODUCT(Tabella8209[[#This Row],[Qvib1]:[Qvib9]])</f>
        <v>1.9359130591286439E-3</v>
      </c>
    </row>
    <row r="29" spans="1:14" x14ac:dyDescent="0.3">
      <c r="D29">
        <v>1800</v>
      </c>
      <c r="E29" s="1" cm="1">
        <f t="array" ref="E29">(EXP(-(Tabella335[Planck h]*Tabella4923[Frequency1])/(2*Tabella335[Boltzmann k]*Tabella8209[[#This Row],[Temperatura]])))/(1-EXP(-(Tabella335[Planck h]*Tabella4923[Frequency1])/(Tabella335[Boltzmann k]*Tabella8209[[#This Row],[Temperatura]])))</f>
        <v>0.88531162009747222</v>
      </c>
      <c r="F29" s="1" cm="1">
        <f t="array" ref="F29">(EXP(-(Tabella335[Planck h]*Tabella4923[Frequency2])/(2*Tabella335[Boltzmann k]*Tabella8209[[#This Row],[Temperatura]])))/(1-EXP(-(Tabella335[Planck h]*Tabella4923[Frequency2])/(Tabella335[Boltzmann k]*Tabella8209[[#This Row],[Temperatura]])))</f>
        <v>0.8849122397691882</v>
      </c>
      <c r="G29" s="1" cm="1">
        <f t="array" ref="G29">(EXP(-(Tabella335[Planck h]*Tabella4923[Frequency3])/(2*Tabella335[Boltzmann k]*Tabella8209[[#This Row],[Temperatura]])))/(1-EXP(-(Tabella335[Planck h]*Tabella4923[Frequency3])/(Tabella335[Boltzmann k]*Tabella8209[[#This Row],[Temperatura]])))</f>
        <v>0.88487406602219043</v>
      </c>
      <c r="H29" s="1" cm="1">
        <f t="array" ref="H29">(EXP(-(Tabella335[Planck h]*Tabella4923[Frequency4])/(2*Tabella335[Boltzmann k]*Tabella8209[[#This Row],[Temperatura]])))/(1-EXP(-(Tabella335[Planck h]*Tabella4923[Frequency4])/(Tabella335[Boltzmann k]*Tabella8209[[#This Row],[Temperatura]])))</f>
        <v>0.75032227462176748</v>
      </c>
      <c r="I29" s="1" cm="1">
        <f t="array" ref="I29">(EXP(-(Tabella335[Planck h]*Tabella4923[Frequency5])/(2*Tabella335[Boltzmann k]*Tabella8209[[#This Row],[Temperatura]])))/(1-EXP(-(Tabella335[Planck h]*Tabella4923[Frequency5])/(Tabella335[Boltzmann k]*Tabella8209[[#This Row],[Temperatura]])))</f>
        <v>0.7501991590002437</v>
      </c>
      <c r="J29" s="1" cm="1">
        <f t="array" ref="J29">(EXP(-(Tabella335[Planck h]*Tabella4923[Frequency6])/(2*Tabella335[Boltzmann k]*Tabella8209[[#This Row],[Temperatura]])))/(1-EXP(-(Tabella335[Planck h]*Tabella4923[Frequency6])/(Tabella335[Boltzmann k]*Tabella8209[[#This Row],[Temperatura]])))</f>
        <v>0.32585156861010123</v>
      </c>
      <c r="K29" s="1" cm="1">
        <f t="array" ref="K29">(EXP(-(Tabella335[Planck h]*Tabella4923[Frequency7])/(2*Tabella335[Boltzmann k]*Tabella8209[[#This Row],[Temperatura]])))/(1-EXP(-(Tabella335[Planck h]*Tabella4923[Frequency7])/(Tabella335[Boltzmann k]*Tabella8209[[#This Row],[Temperatura]])))</f>
        <v>0.30905909748106641</v>
      </c>
      <c r="L29" s="1" cm="1">
        <f t="array" ref="L29">(EXP(-(Tabella335[Planck h]*Tabella4923[Frequency8])/(2*Tabella335[Boltzmann k]*Tabella8209[[#This Row],[Temperatura]])))/(1-EXP(-(Tabella335[Planck h]*Tabella4923[Frequency8])/(Tabella335[Boltzmann k]*Tabella8209[[#This Row],[Temperatura]])))</f>
        <v>0.308846994183896</v>
      </c>
      <c r="M29" s="1" cm="1">
        <f t="array" ref="M29">(EXP(-(Tabella335[Planck h]*Tabella4923[Frequency9])/(2*Tabella335[Boltzmann k]*Tabella8209[[#This Row],[Temperatura]])))/(1-EXP(-(Tabella335[Planck h]*Tabella4923[Frequency9])/(Tabella335[Boltzmann k]*Tabella8209[[#This Row],[Temperatura]])))</f>
        <v>0.30882764083033942</v>
      </c>
      <c r="N29" s="1">
        <f>PRODUCT(Tabella8209[[#This Row],[Qvib1]:[Qvib9]])</f>
        <v>3.7482032839797662E-3</v>
      </c>
    </row>
    <row r="30" spans="1:14" x14ac:dyDescent="0.3">
      <c r="D30">
        <v>1900</v>
      </c>
      <c r="E30" s="1" cm="1">
        <f t="array" ref="E30">(EXP(-(Tabella335[Planck h]*Tabella4923[Frequency1])/(2*Tabella335[Boltzmann k]*Tabella8209[[#This Row],[Temperatura]])))/(1-EXP(-(Tabella335[Planck h]*Tabella4923[Frequency1])/(Tabella335[Boltzmann k]*Tabella8209[[#This Row],[Temperatura]])))</f>
        <v>0.93905106058621779</v>
      </c>
      <c r="F30" s="1" cm="1">
        <f t="array" ref="F30">(EXP(-(Tabella335[Planck h]*Tabella4923[Frequency2])/(2*Tabella335[Boltzmann k]*Tabella8209[[#This Row],[Temperatura]])))/(1-EXP(-(Tabella335[Planck h]*Tabella4923[Frequency2])/(Tabella335[Boltzmann k]*Tabella8209[[#This Row],[Temperatura]])))</f>
        <v>0.93863113454360092</v>
      </c>
      <c r="G30" s="1" cm="1">
        <f t="array" ref="G30">(EXP(-(Tabella335[Planck h]*Tabella4923[Frequency3])/(2*Tabella335[Boltzmann k]*Tabella8209[[#This Row],[Temperatura]])))/(1-EXP(-(Tabella335[Planck h]*Tabella4923[Frequency3])/(Tabella335[Boltzmann k]*Tabella8209[[#This Row],[Temperatura]])))</f>
        <v>0.93859099704087545</v>
      </c>
      <c r="H30" s="1" cm="1">
        <f t="array" ref="H30">(EXP(-(Tabella335[Planck h]*Tabella4923[Frequency4])/(2*Tabella335[Boltzmann k]*Tabella8209[[#This Row],[Temperatura]])))/(1-EXP(-(Tabella335[Planck h]*Tabella4923[Frequency4])/(Tabella335[Boltzmann k]*Tabella8209[[#This Row],[Temperatura]])))</f>
        <v>0.7971808910890944</v>
      </c>
      <c r="I30" s="1" cm="1">
        <f t="array" ref="I30">(EXP(-(Tabella335[Planck h]*Tabella4923[Frequency5])/(2*Tabella335[Boltzmann k]*Tabella8209[[#This Row],[Temperatura]])))/(1-EXP(-(Tabella335[Planck h]*Tabella4923[Frequency5])/(Tabella335[Boltzmann k]*Tabella8209[[#This Row],[Temperatura]])))</f>
        <v>0.79705156275944933</v>
      </c>
      <c r="J30" s="1" cm="1">
        <f t="array" ref="J30">(EXP(-(Tabella335[Planck h]*Tabella4923[Frequency6])/(2*Tabella335[Boltzmann k]*Tabella8209[[#This Row],[Temperatura]])))/(1-EXP(-(Tabella335[Planck h]*Tabella4923[Frequency6])/(Tabella335[Boltzmann k]*Tabella8209[[#This Row],[Temperatura]])))</f>
        <v>0.35198991824528986</v>
      </c>
      <c r="K30" s="1" cm="1">
        <f t="array" ref="K30">(EXP(-(Tabella335[Planck h]*Tabella4923[Frequency7])/(2*Tabella335[Boltzmann k]*Tabella8209[[#This Row],[Temperatura]])))/(1-EXP(-(Tabella335[Planck h]*Tabella4923[Frequency7])/(Tabella335[Boltzmann k]*Tabella8209[[#This Row],[Temperatura]])))</f>
        <v>0.33437998132542107</v>
      </c>
      <c r="L30" s="1" cm="1">
        <f t="array" ref="L30">(EXP(-(Tabella335[Planck h]*Tabella4923[Frequency8])/(2*Tabella335[Boltzmann k]*Tabella8209[[#This Row],[Temperatura]])))/(1-EXP(-(Tabella335[Planck h]*Tabella4923[Frequency8])/(Tabella335[Boltzmann k]*Tabella8209[[#This Row],[Temperatura]])))</f>
        <v>0.3341575113572508</v>
      </c>
      <c r="M30" s="1" cm="1">
        <f t="array" ref="M30">(EXP(-(Tabella335[Planck h]*Tabella4923[Frequency9])/(2*Tabella335[Boltzmann k]*Tabella8209[[#This Row],[Temperatura]])))/(1-EXP(-(Tabella335[Planck h]*Tabella4923[Frequency9])/(Tabella335[Boltzmann k]*Tabella8209[[#This Row],[Temperatura]])))</f>
        <v>0.33413721204089109</v>
      </c>
      <c r="N30" s="1">
        <f>PRODUCT(Tabella8209[[#This Row],[Qvib1]:[Qvib9]])</f>
        <v>6.9079694948771695E-3</v>
      </c>
    </row>
    <row r="31" spans="1:14" x14ac:dyDescent="0.3">
      <c r="D31">
        <v>2000</v>
      </c>
      <c r="E31" s="1" cm="1">
        <f t="array" ref="E31">(EXP(-(Tabella335[Planck h]*Tabella4923[Frequency1])/(2*Tabella335[Boltzmann k]*Tabella8209[[#This Row],[Temperatura]])))/(1-EXP(-(Tabella335[Planck h]*Tabella4923[Frequency1])/(Tabella335[Boltzmann k]*Tabella8209[[#This Row],[Temperatura]])))</f>
        <v>0.99259471212398531</v>
      </c>
      <c r="F31" s="1" cm="1">
        <f t="array" ref="F31">(EXP(-(Tabella335[Planck h]*Tabella4923[Frequency2])/(2*Tabella335[Boltzmann k]*Tabella8209[[#This Row],[Temperatura]])))/(1-EXP(-(Tabella335[Planck h]*Tabella4923[Frequency2])/(Tabella335[Boltzmann k]*Tabella8209[[#This Row],[Temperatura]])))</f>
        <v>0.99215419071333466</v>
      </c>
      <c r="G31" s="1" cm="1">
        <f t="array" ref="G31">(EXP(-(Tabella335[Planck h]*Tabella4923[Frequency3])/(2*Tabella335[Boltzmann k]*Tabella8209[[#This Row],[Temperatura]])))/(1-EXP(-(Tabella335[Planck h]*Tabella4923[Frequency3])/(Tabella335[Boltzmann k]*Tabella8209[[#This Row],[Temperatura]])))</f>
        <v>0.99211208470862511</v>
      </c>
      <c r="H31" s="1" cm="1">
        <f t="array" ref="H31">(EXP(-(Tabella335[Planck h]*Tabella4923[Frequency4])/(2*Tabella335[Boltzmann k]*Tabella8209[[#This Row],[Temperatura]])))/(1-EXP(-(Tabella335[Planck h]*Tabella4923[Frequency4])/(Tabella335[Boltzmann k]*Tabella8209[[#This Row],[Temperatura]])))</f>
        <v>0.84382707359487419</v>
      </c>
      <c r="I31" s="1" cm="1">
        <f t="array" ref="I31">(EXP(-(Tabella335[Planck h]*Tabella4923[Frequency5])/(2*Tabella335[Boltzmann k]*Tabella8209[[#This Row],[Temperatura]])))/(1-EXP(-(Tabella335[Planck h]*Tabella4923[Frequency5])/(Tabella335[Boltzmann k]*Tabella8209[[#This Row],[Temperatura]])))</f>
        <v>0.84369151797840636</v>
      </c>
      <c r="J31" s="1" cm="1">
        <f t="array" ref="J31">(EXP(-(Tabella335[Planck h]*Tabella4923[Frequency6])/(2*Tabella335[Boltzmann k]*Tabella8209[[#This Row],[Temperatura]])))/(1-EXP(-(Tabella335[Planck h]*Tabella4923[Frequency6])/(Tabella335[Boltzmann k]*Tabella8209[[#This Row],[Temperatura]])))</f>
        <v>0.37795336722932821</v>
      </c>
      <c r="K31" s="1" cm="1">
        <f t="array" ref="K31">(EXP(-(Tabella335[Planck h]*Tabella4923[Frequency7])/(2*Tabella335[Boltzmann k]*Tabella8209[[#This Row],[Temperatura]])))/(1-EXP(-(Tabella335[Planck h]*Tabella4923[Frequency7])/(Tabella335[Boltzmann k]*Tabella8209[[#This Row],[Temperatura]])))</f>
        <v>0.35953845020323</v>
      </c>
      <c r="L31" s="1" cm="1">
        <f t="array" ref="L31">(EXP(-(Tabella335[Planck h]*Tabella4923[Frequency8])/(2*Tabella335[Boltzmann k]*Tabella8209[[#This Row],[Temperatura]])))/(1-EXP(-(Tabella335[Planck h]*Tabella4923[Frequency8])/(Tabella335[Boltzmann k]*Tabella8209[[#This Row],[Temperatura]])))</f>
        <v>0.35930578386723722</v>
      </c>
      <c r="M31" s="1" cm="1">
        <f t="array" ref="M31">(EXP(-(Tabella335[Planck h]*Tabella4923[Frequency9])/(2*Tabella335[Boltzmann k]*Tabella8209[[#This Row],[Temperatura]])))/(1-EXP(-(Tabella335[Planck h]*Tabella4923[Frequency9])/(Tabella335[Boltzmann k]*Tabella8209[[#This Row],[Temperatura]])))</f>
        <v>0.35928455414365246</v>
      </c>
      <c r="N31" s="1">
        <f>PRODUCT(Tabella8209[[#This Row],[Qvib1]:[Qvib9]])</f>
        <v>1.2202120867062093E-2</v>
      </c>
    </row>
    <row r="36" spans="1:12" x14ac:dyDescent="0.3">
      <c r="A36" t="s">
        <v>4</v>
      </c>
      <c r="B36" t="s">
        <v>19</v>
      </c>
      <c r="C36" t="s">
        <v>5</v>
      </c>
      <c r="D36" t="s">
        <v>6</v>
      </c>
      <c r="E36" t="s">
        <v>7</v>
      </c>
      <c r="F36" t="s">
        <v>8</v>
      </c>
      <c r="G36" t="s">
        <v>18</v>
      </c>
    </row>
    <row r="37" spans="1:12" x14ac:dyDescent="0.3">
      <c r="A37">
        <v>298</v>
      </c>
      <c r="B37" s="1" cm="1">
        <f t="array" ref="B37">(Tabella335[Boltzmann k]*Tabella5183445[[#This Row],[Temperatura]])/101325</f>
        <v>4.0605319713792254E-26</v>
      </c>
      <c r="C37" s="1" cm="1">
        <f t="array" ref="C37">POWER((2*Tabella335[Pi Greco]*Tabella335[Massa]*Tabella335[Boltzmann k]*Tabella5183445[[#This Row],[Temperatura]])/(POWER(Tabella335[Planck h],2)),1.5)*Tabella5183445[[#This Row],[Volume]]</f>
        <v>2521877.4627657244</v>
      </c>
      <c r="D37" s="1">
        <f t="shared" ref="D37:D54" si="0">N14</f>
        <v>2.4837414272418107E-21</v>
      </c>
      <c r="E37" s="1" cm="1">
        <f t="array" ref="E37">(8*POWER(Tabella335[Pi Greco],2)*POWER(2*Tabella335[Pi Greco]*Tabella335[Boltzmann k]*Tabella5183445[[#This Row],[Temperatura]],1.5)*Tabella131[Total Moment of Inertia])/(Tabella6197[Simmetry Number]*POWER(Tabella335[Planck h],3))</f>
        <v>146.30453453091437</v>
      </c>
      <c r="F37">
        <f>1</f>
        <v>1</v>
      </c>
      <c r="G37" s="1">
        <f>PRODUCT(Tabella5183445[[#This Row],[Qtrasl]:[Qel]])</f>
        <v>9.1640647355149438E-13</v>
      </c>
      <c r="I37" t="s">
        <v>34</v>
      </c>
      <c r="J37" t="s">
        <v>35</v>
      </c>
      <c r="K37" t="s">
        <v>36</v>
      </c>
      <c r="L37" s="16" t="s">
        <v>37</v>
      </c>
    </row>
    <row r="38" spans="1:12" x14ac:dyDescent="0.3">
      <c r="A38">
        <v>400</v>
      </c>
      <c r="B38" s="1" cm="1">
        <f t="array" ref="B38">(Tabella335[Boltzmann k]*Tabella5183445[[#This Row],[Temperatura]])/101325</f>
        <v>5.4503784850727862E-26</v>
      </c>
      <c r="C38" s="1" cm="1">
        <f t="array" ref="C38">POWER((2*Tabella335[Pi Greco]*Tabella335[Massa]*Tabella335[Boltzmann k]*Tabella5183445[[#This Row],[Temperatura]])/(POWER(Tabella335[Planck h],2)),1.5)*Tabella5183445[[#This Row],[Volume]]</f>
        <v>5264211.124957609</v>
      </c>
      <c r="D38" s="1">
        <f t="shared" si="0"/>
        <v>4.5813817819108152E-16</v>
      </c>
      <c r="E38" s="1" cm="1">
        <f t="array" ref="E38">(8*POWER(Tabella335[Pi Greco],2)*POWER(2*Tabella335[Pi Greco]*Tabella335[Boltzmann k]*Tabella5183445[[#This Row],[Temperatura]],1.5)*Tabella131[Total Moment of Inertia])/(Tabella6197[Simmetry Number]*POWER(Tabella335[Planck h],3))</f>
        <v>227.52199003009295</v>
      </c>
      <c r="F38">
        <f>1</f>
        <v>1</v>
      </c>
      <c r="G38" s="1">
        <f>PRODUCT(Tabella5183445[[#This Row],[Qtrasl]:[Qel]])</f>
        <v>5.4872299562558848E-7</v>
      </c>
      <c r="I38" t="s">
        <v>5</v>
      </c>
      <c r="J38" s="1">
        <f>C37</f>
        <v>2521877.4627657244</v>
      </c>
      <c r="K38" s="1">
        <v>2522950</v>
      </c>
      <c r="L38" s="17">
        <f>ABS(Tabella204147[[#This Row],[My value]]-Tabella204147[[#This Row],[Gaussian]])/Tabella204147[[#This Row],[Gaussian]]</f>
        <v>4.2511236222501507E-4</v>
      </c>
    </row>
    <row r="39" spans="1:12" x14ac:dyDescent="0.3">
      <c r="A39">
        <v>500</v>
      </c>
      <c r="B39" s="1" cm="1">
        <f t="array" ref="B39">(Tabella335[Boltzmann k]*Tabella5183445[[#This Row],[Temperatura]])/101325</f>
        <v>6.8129731063409828E-26</v>
      </c>
      <c r="C39" s="1" cm="1">
        <f t="array" ref="C39">POWER((2*Tabella335[Pi Greco]*Tabella335[Massa]*Tabella335[Boltzmann k]*Tabella5183445[[#This Row],[Temperatura]])/(POWER(Tabella335[Planck h],2)),1.5)*Tabella5183445[[#This Row],[Volume]]</f>
        <v>9196198.377590565</v>
      </c>
      <c r="D39" s="1">
        <f t="shared" si="0"/>
        <v>5.691578069727929E-13</v>
      </c>
      <c r="E39" s="1" cm="1">
        <f t="array" ref="E39">(8*POWER(Tabella335[Pi Greco],2)*POWER(2*Tabella335[Pi Greco]*Tabella335[Boltzmann k]*Tabella5183445[[#This Row],[Temperatura]],1.5)*Tabella131[Total Moment of Inertia])/(Tabella6197[Simmetry Number]*POWER(Tabella335[Planck h],3))</f>
        <v>317.97164755207064</v>
      </c>
      <c r="F39">
        <f>1</f>
        <v>1</v>
      </c>
      <c r="G39" s="1">
        <f>PRODUCT(Tabella5183445[[#This Row],[Qtrasl]:[Qel]])</f>
        <v>1.6642916169318889E-3</v>
      </c>
      <c r="I39" t="s">
        <v>6</v>
      </c>
      <c r="J39" s="1">
        <f>D37</f>
        <v>2.4837414272418107E-21</v>
      </c>
      <c r="K39" s="1">
        <f>2.52847E-21</f>
        <v>2.5284699999999998E-21</v>
      </c>
      <c r="L39" s="15">
        <f>ABS(Tabella204147[[#This Row],[My value]]-Tabella204147[[#This Row],[Gaussian]])/Tabella204147[[#This Row],[Gaussian]]</f>
        <v>1.7689975660454393E-2</v>
      </c>
    </row>
    <row r="40" spans="1:12" x14ac:dyDescent="0.3">
      <c r="A40">
        <v>600</v>
      </c>
      <c r="B40" s="1" cm="1">
        <f t="array" ref="B40">(Tabella335[Boltzmann k]*Tabella5183445[[#This Row],[Temperatura]])/101325</f>
        <v>8.1755677276091782E-26</v>
      </c>
      <c r="C40" s="1" cm="1">
        <f t="array" ref="C40">POWER((2*Tabella335[Pi Greco]*Tabella335[Massa]*Tabella335[Boltzmann k]*Tabella5183445[[#This Row],[Temperatura]])/(POWER(Tabella335[Planck h],2)),1.5)*Tabella5183445[[#This Row],[Volume]]</f>
        <v>14506460.04873226</v>
      </c>
      <c r="D40" s="1">
        <f t="shared" si="0"/>
        <v>6.9059002825543426E-11</v>
      </c>
      <c r="E40" s="1" cm="1">
        <f t="array" ref="E40">(8*POWER(Tabella335[Pi Greco],2)*POWER(2*Tabella335[Pi Greco]*Tabella335[Boltzmann k]*Tabella5183445[[#This Row],[Temperatura]],1.5)*Tabella131[Total Moment of Inertia])/(Tabella6197[Simmetry Number]*POWER(Tabella335[Planck h],3))</f>
        <v>417.98458562724437</v>
      </c>
      <c r="F40">
        <f>1</f>
        <v>1</v>
      </c>
      <c r="G40" s="1">
        <f>PRODUCT(Tabella5183445[[#This Row],[Qtrasl]:[Qel]])</f>
        <v>0.41873765403220703</v>
      </c>
      <c r="I40" t="s">
        <v>7</v>
      </c>
      <c r="J40" s="1">
        <f>E37</f>
        <v>146.30453453091437</v>
      </c>
      <c r="K40" s="1">
        <f>146.386</f>
        <v>146.386</v>
      </c>
      <c r="L40" s="17">
        <f>ABS(Tabella204147[[#This Row],[My value]]-Tabella204147[[#This Row],[Gaussian]])/Tabella204147[[#This Row],[Gaussian]]</f>
        <v>5.5651134046718048E-4</v>
      </c>
    </row>
    <row r="41" spans="1:12" x14ac:dyDescent="0.3">
      <c r="A41">
        <v>700</v>
      </c>
      <c r="B41" s="1" cm="1">
        <f t="array" ref="B41">(Tabella335[Boltzmann k]*Tabella5183445[[#This Row],[Temperatura]])/101325</f>
        <v>9.5381623488773759E-26</v>
      </c>
      <c r="C41" s="1" cm="1">
        <f t="array" ref="C41">POWER((2*Tabella335[Pi Greco]*Tabella335[Massa]*Tabella335[Boltzmann k]*Tabella5183445[[#This Row],[Temperatura]])/(POWER(Tabella335[Planck h],2)),1.5)*Tabella5183445[[#This Row],[Volume]]</f>
        <v>21326933.774790563</v>
      </c>
      <c r="D41" s="1">
        <f t="shared" si="0"/>
        <v>2.238786971438191E-9</v>
      </c>
      <c r="E41" s="1" cm="1">
        <f t="array" ref="E41">(8*POWER(Tabella335[Pi Greco],2)*POWER(2*Tabella335[Pi Greco]*Tabella335[Boltzmann k]*Tabella5183445[[#This Row],[Temperatura]],1.5)*Tabella131[Total Moment of Inertia])/(Tabella6197[Simmetry Number]*POWER(Tabella335[Planck h],3))</f>
        <v>526.72077799087197</v>
      </c>
      <c r="F41">
        <f>1</f>
        <v>1</v>
      </c>
      <c r="G41" s="1">
        <f>PRODUCT(Tabella5183445[[#This Row],[Qtrasl]:[Qel]])</f>
        <v>25.149053334805718</v>
      </c>
      <c r="I41" t="s">
        <v>8</v>
      </c>
      <c r="J41">
        <f>1</f>
        <v>1</v>
      </c>
      <c r="K41">
        <v>1</v>
      </c>
      <c r="L41" s="1">
        <f>ABS(Tabella204147[[#This Row],[My value]]-Tabella204147[[#This Row],[Gaussian]])/Tabella204147[[#This Row],[Gaussian]]</f>
        <v>0</v>
      </c>
    </row>
    <row r="42" spans="1:12" x14ac:dyDescent="0.3">
      <c r="A42">
        <v>800</v>
      </c>
      <c r="B42" s="1" cm="1">
        <f t="array" ref="B42">(Tabella335[Boltzmann k]*Tabella5183445[[#This Row],[Temperatura]])/101325</f>
        <v>1.0900756970145572E-25</v>
      </c>
      <c r="C42" s="1" cm="1">
        <f t="array" ref="C42">POWER((2*Tabella335[Pi Greco]*Tabella335[Massa]*Tabella335[Boltzmann k]*Tabella5183445[[#This Row],[Temperatura]])/(POWER(Tabella335[Planck h],2)),1.5)*Tabella5183445[[#This Row],[Volume]]</f>
        <v>29778875.0724416</v>
      </c>
      <c r="D42" s="1">
        <f t="shared" si="0"/>
        <v>3.1978476620876239E-8</v>
      </c>
      <c r="E42" s="1" cm="1">
        <f t="array" ref="E42">(8*POWER(Tabella335[Pi Greco],2)*POWER(2*Tabella335[Pi Greco]*Tabella335[Boltzmann k]*Tabella5183445[[#This Row],[Temperatura]],1.5)*Tabella131[Total Moment of Inertia])/(Tabella6197[Simmetry Number]*POWER(Tabella335[Planck h],3))</f>
        <v>643.52936807734</v>
      </c>
      <c r="F42">
        <f>1</f>
        <v>1</v>
      </c>
      <c r="G42" s="1">
        <f>PRODUCT(Tabella5183445[[#This Row],[Qtrasl]:[Qel]])</f>
        <v>612.82211602565815</v>
      </c>
    </row>
    <row r="43" spans="1:12" x14ac:dyDescent="0.3">
      <c r="A43">
        <v>900</v>
      </c>
      <c r="B43" s="1" cm="1">
        <f t="array" ref="B43">(Tabella335[Boltzmann k]*Tabella5183445[[#This Row],[Temperatura]])/101325</f>
        <v>1.2263351591413768E-25</v>
      </c>
      <c r="C43" s="1" cm="1">
        <f t="array" ref="C43">POWER((2*Tabella335[Pi Greco]*Tabella335[Massa]*Tabella335[Boltzmann k]*Tabella5183445[[#This Row],[Temperatura]])/(POWER(Tabella335[Planck h],2)),1.5)*Tabella5183445[[#This Row],[Volume]]</f>
        <v>39975103.230146907</v>
      </c>
      <c r="D43" s="1">
        <f t="shared" si="0"/>
        <v>2.6524548730997214E-7</v>
      </c>
      <c r="E43" s="1" cm="1">
        <f t="array" ref="E43">(8*POWER(Tabella335[Pi Greco],2)*POWER(2*Tabella335[Pi Greco]*Tabella335[Boltzmann k]*Tabella5183445[[#This Row],[Temperatura]],1.5)*Tabella131[Total Moment of Inertia])/(Tabella6197[Simmetry Number]*POWER(Tabella335[Planck h],3))</f>
        <v>767.88671635155413</v>
      </c>
      <c r="F43">
        <f>1</f>
        <v>1</v>
      </c>
      <c r="G43" s="1">
        <f>PRODUCT(Tabella5183445[[#This Row],[Qtrasl]:[Qel]])</f>
        <v>8142.0685147040158</v>
      </c>
    </row>
    <row r="44" spans="1:12" x14ac:dyDescent="0.3">
      <c r="A44">
        <v>1000</v>
      </c>
      <c r="B44" s="1" cm="1">
        <f t="array" ref="B44">(Tabella335[Boltzmann k]*Tabella5183445[[#This Row],[Temperatura]])/101325</f>
        <v>1.3625946212681966E-25</v>
      </c>
      <c r="C44" s="1" cm="1">
        <f t="array" ref="C44">POWER((2*Tabella335[Pi Greco]*Tabella335[Massa]*Tabella335[Boltzmann k]*Tabella5183445[[#This Row],[Temperatura]])/(POWER(Tabella335[Planck h],2)),1.5)*Tabella5183445[[#This Row],[Volume]]</f>
        <v>52021553.871447526</v>
      </c>
      <c r="D44" s="1">
        <f t="shared" si="0"/>
        <v>1.5059784361290383E-6</v>
      </c>
      <c r="E44" s="1" cm="1">
        <f t="array" ref="E44">(8*POWER(Tabella335[Pi Greco],2)*POWER(2*Tabella335[Pi Greco]*Tabella335[Boltzmann k]*Tabella5183445[[#This Row],[Temperatura]],1.5)*Tabella131[Total Moment of Inertia])/(Tabella6197[Simmetry Number]*POWER(Tabella335[Planck h],3))</f>
        <v>899.35963283650176</v>
      </c>
      <c r="F44">
        <f>1</f>
        <v>1</v>
      </c>
      <c r="G44" s="1">
        <f>PRODUCT(Tabella5183445[[#This Row],[Qtrasl]:[Qel]])</f>
        <v>70458.836008538012</v>
      </c>
    </row>
    <row r="45" spans="1:12" x14ac:dyDescent="0.3">
      <c r="A45">
        <v>1100</v>
      </c>
      <c r="B45" s="1" cm="1">
        <f t="array" ref="B45">(Tabella335[Boltzmann k]*Tabella5183445[[#This Row],[Temperatura]])/101325</f>
        <v>1.4988540833950161E-25</v>
      </c>
      <c r="C45" s="1" cm="1">
        <f t="array" ref="C45">POWER((2*Tabella335[Pi Greco]*Tabella335[Massa]*Tabella335[Boltzmann k]*Tabella5183445[[#This Row],[Temperatura]])/(POWER(Tabella335[Planck h],2)),1.5)*Tabella5183445[[#This Row],[Volume]]</f>
        <v>66018405.855081007</v>
      </c>
      <c r="D45" s="1">
        <f t="shared" si="0"/>
        <v>6.4939277194396483E-6</v>
      </c>
      <c r="E45" s="1" cm="1">
        <f t="array" ref="E45">(8*POWER(Tabella335[Pi Greco],2)*POWER(2*Tabella335[Pi Greco]*Tabella335[Boltzmann k]*Tabella5183445[[#This Row],[Temperatura]],1.5)*Tabella131[Total Moment of Inertia])/(Tabella6197[Simmetry Number]*POWER(Tabella335[Planck h],3))</f>
        <v>1037.581974666587</v>
      </c>
      <c r="F45">
        <f>1</f>
        <v>1</v>
      </c>
      <c r="G45" s="1">
        <f>PRODUCT(Tabella5183445[[#This Row],[Qtrasl]:[Qel]])</f>
        <v>444830.85319417389</v>
      </c>
    </row>
    <row r="46" spans="1:12" x14ac:dyDescent="0.3">
      <c r="A46">
        <v>1200</v>
      </c>
      <c r="B46" s="1" cm="1">
        <f t="array" ref="B46">(Tabella335[Boltzmann k]*Tabella5183445[[#This Row],[Temperatura]])/101325</f>
        <v>1.6351135455218356E-25</v>
      </c>
      <c r="C46" s="1" cm="1">
        <f t="array" ref="C46">POWER((2*Tabella335[Pi Greco]*Tabella335[Massa]*Tabella335[Boltzmann k]*Tabella5183445[[#This Row],[Temperatura]])/(POWER(Tabella335[Planck h],2)),1.5)*Tabella5183445[[#This Row],[Volume]]</f>
        <v>82060930.171762764</v>
      </c>
      <c r="D46" s="1">
        <f t="shared" si="0"/>
        <v>2.2782188325505757E-5</v>
      </c>
      <c r="E46" s="1" cm="1">
        <f t="array" ref="E46">(8*POWER(Tabella335[Pi Greco],2)*POWER(2*Tabella335[Pi Greco]*Tabella335[Boltzmann k]*Tabella5183445[[#This Row],[Temperatura]],1.5)*Tabella131[Total Moment of Inertia])/(Tabella6197[Simmetry Number]*POWER(Tabella335[Planck h],3))</f>
        <v>1182.2389397138975</v>
      </c>
      <c r="F46">
        <f>1</f>
        <v>1</v>
      </c>
      <c r="G46" s="1">
        <f>PRODUCT(Tabella5183445[[#This Row],[Qtrasl]:[Qel]])</f>
        <v>2210228.2866126108</v>
      </c>
    </row>
    <row r="47" spans="1:12" x14ac:dyDescent="0.3">
      <c r="A47">
        <v>1300</v>
      </c>
      <c r="B47" s="1" cm="1">
        <f t="array" ref="B47">(Tabella335[Boltzmann k]*Tabella5183445[[#This Row],[Temperatura]])/101325</f>
        <v>1.7713730076486554E-25</v>
      </c>
      <c r="C47" s="1" cm="1">
        <f t="array" ref="C47">POWER((2*Tabella335[Pi Greco]*Tabella335[Massa]*Tabella335[Boltzmann k]*Tabella5183445[[#This Row],[Temperatura]])/(POWER(Tabella335[Planck h],2)),1.5)*Tabella5183445[[#This Row],[Volume]]</f>
        <v>100240148.4364855</v>
      </c>
      <c r="D47" s="1">
        <f t="shared" si="0"/>
        <v>6.8176042950220589E-5</v>
      </c>
      <c r="E47" s="1" cm="1">
        <f t="array" ref="E47">(8*POWER(Tabella335[Pi Greco],2)*POWER(2*Tabella335[Pi Greco]*Tabella335[Boltzmann k]*Tabella5183445[[#This Row],[Temperatura]],1.5)*Tabella131[Total Moment of Inertia])/(Tabella6197[Simmetry Number]*POWER(Tabella335[Planck h],3))</f>
        <v>1333.056077192276</v>
      </c>
      <c r="F47">
        <f>1</f>
        <v>1</v>
      </c>
      <c r="G47" s="1">
        <f>PRODUCT(Tabella5183445[[#This Row],[Qtrasl]:[Qel]])</f>
        <v>9110074.1248581763</v>
      </c>
    </row>
    <row r="48" spans="1:12" x14ac:dyDescent="0.3">
      <c r="A48">
        <v>1400</v>
      </c>
      <c r="B48" s="1" cm="1">
        <f t="array" ref="B48">(Tabella335[Boltzmann k]*Tabella5183445[[#This Row],[Temperatura]])/101325</f>
        <v>1.9076324697754752E-25</v>
      </c>
      <c r="C48" s="1" cm="1">
        <f t="array" ref="C48">POWER((2*Tabella335[Pi Greco]*Tabella335[Massa]*Tabella335[Boltzmann k]*Tabella5183445[[#This Row],[Temperatura]])/(POWER(Tabella335[Planck h],2)),1.5)*Tabella5183445[[#This Row],[Volume]]</f>
        <v>120643355.95256518</v>
      </c>
      <c r="D48" s="1">
        <f t="shared" si="0"/>
        <v>1.7997193216787909E-4</v>
      </c>
      <c r="E48" s="1" cm="1">
        <f t="array" ref="E48">(8*POWER(Tabella335[Pi Greco],2)*POWER(2*Tabella335[Pi Greco]*Tabella335[Boltzmann k]*Tabella5183445[[#This Row],[Temperatura]],1.5)*Tabella131[Total Moment of Inertia])/(Tabella6197[Simmetry Number]*POWER(Tabella335[Planck h],3))</f>
        <v>1489.7913356368028</v>
      </c>
      <c r="F48">
        <f>1</f>
        <v>1</v>
      </c>
      <c r="G48" s="1">
        <f>PRODUCT(Tabella5183445[[#This Row],[Qtrasl]:[Qel]])</f>
        <v>32346972.024411377</v>
      </c>
    </row>
    <row r="49" spans="1:7" x14ac:dyDescent="0.3">
      <c r="A49">
        <v>1500</v>
      </c>
      <c r="B49" s="1" cm="1">
        <f t="array" ref="B49">(Tabella335[Boltzmann k]*Tabella5183445[[#This Row],[Temperatura]])/101325</f>
        <v>2.0438919319022949E-25</v>
      </c>
      <c r="C49" s="1" cm="1">
        <f t="array" ref="C49">POWER((2*Tabella335[Pi Greco]*Tabella335[Massa]*Tabella335[Boltzmann k]*Tabella5183445[[#This Row],[Temperatura]])/(POWER(Tabella335[Planck h],2)),1.5)*Tabella5183445[[#This Row],[Volume]]</f>
        <v>143354545.43822351</v>
      </c>
      <c r="D49" s="1">
        <f t="shared" si="0"/>
        <v>4.2949248928408462E-4</v>
      </c>
      <c r="E49" s="1" cm="1">
        <f t="array" ref="E49">(8*POWER(Tabella335[Pi Greco],2)*POWER(2*Tabella335[Pi Greco]*Tabella335[Boltzmann k]*Tabella5183445[[#This Row],[Temperatura]],1.5)*Tabella131[Total Moment of Inertia])/(Tabella6197[Simmetry Number]*POWER(Tabella335[Planck h],3))</f>
        <v>1652.2291467797052</v>
      </c>
      <c r="F49">
        <f>1</f>
        <v>1</v>
      </c>
      <c r="G49" s="1">
        <f>PRODUCT(Tabella5183445[[#This Row],[Qtrasl]:[Qel]])</f>
        <v>101727253.84099823</v>
      </c>
    </row>
    <row r="50" spans="1:7" x14ac:dyDescent="0.3">
      <c r="A50">
        <v>1600</v>
      </c>
      <c r="B50" s="1" cm="1">
        <f t="array" ref="B50">(Tabella335[Boltzmann k]*Tabella5183445[[#This Row],[Temperatura]])/101325</f>
        <v>2.1801513940291145E-25</v>
      </c>
      <c r="C50" s="1" cm="1">
        <f t="array" ref="C50">POWER((2*Tabella335[Pi Greco]*Tabella335[Massa]*Tabella335[Boltzmann k]*Tabella5183445[[#This Row],[Temperatura]])/(POWER(Tabella335[Planck h],2)),1.5)*Tabella5183445[[#This Row],[Volume]]</f>
        <v>168454755.99864444</v>
      </c>
      <c r="D50" s="1">
        <f t="shared" si="0"/>
        <v>9.4369216188831947E-4</v>
      </c>
      <c r="E50" s="1" cm="1">
        <f t="array" ref="E50">(8*POWER(Tabella335[Pi Greco],2)*POWER(2*Tabella335[Pi Greco]*Tabella335[Boltzmann k]*Tabella5183445[[#This Row],[Temperatura]],1.5)*Tabella131[Total Moment of Inertia])/(Tabella6197[Simmetry Number]*POWER(Tabella335[Planck h],3))</f>
        <v>1820.1759202407281</v>
      </c>
      <c r="F50">
        <f>1</f>
        <v>1</v>
      </c>
      <c r="G50" s="1">
        <f>PRODUCT(Tabella5183445[[#This Row],[Qtrasl]:[Qel]])</f>
        <v>289352333.76198751</v>
      </c>
    </row>
    <row r="51" spans="1:7" x14ac:dyDescent="0.3">
      <c r="A51">
        <v>1700</v>
      </c>
      <c r="B51" s="1" cm="1">
        <f t="array" ref="B51">(Tabella335[Boltzmann k]*Tabella5183445[[#This Row],[Temperatura]])/101325</f>
        <v>2.316410856155934E-25</v>
      </c>
      <c r="C51" s="1" cm="1">
        <f t="array" ref="C51">POWER((2*Tabella335[Pi Greco]*Tabella335[Massa]*Tabella335[Boltzmann k]*Tabella5183445[[#This Row],[Temperatura]])/(POWER(Tabella335[Planck h],2)),1.5)*Tabella5183445[[#This Row],[Volume]]</f>
        <v>196022364.61200806</v>
      </c>
      <c r="D51" s="1">
        <f t="shared" si="0"/>
        <v>1.9359130591286439E-3</v>
      </c>
      <c r="E51" s="1" cm="1">
        <f t="array" ref="E51">(8*POWER(Tabella335[Pi Greco],2)*POWER(2*Tabella335[Pi Greco]*Tabella335[Boltzmann k]*Tabella5183445[[#This Row],[Temperatura]],1.5)*Tabella131[Total Moment of Inertia])/(Tabella6197[Simmetry Number]*POWER(Tabella335[Planck h],3))</f>
        <v>1993.4565437202007</v>
      </c>
      <c r="F51">
        <f>1</f>
        <v>1</v>
      </c>
      <c r="G51" s="1">
        <f>PRODUCT(Tabella5183445[[#This Row],[Qtrasl]:[Qel]])</f>
        <v>756481385.51928174</v>
      </c>
    </row>
    <row r="52" spans="1:7" x14ac:dyDescent="0.3">
      <c r="A52">
        <v>1800</v>
      </c>
      <c r="B52" s="1" cm="1">
        <f t="array" ref="B52">(Tabella335[Boltzmann k]*Tabella5183445[[#This Row],[Temperatura]])/101325</f>
        <v>2.4526703182827536E-25</v>
      </c>
      <c r="C52" s="1" cm="1">
        <f t="array" ref="C52">POWER((2*Tabella335[Pi Greco]*Tabella335[Massa]*Tabella335[Boltzmann k]*Tabella5183445[[#This Row],[Temperatura]])/(POWER(Tabella335[Planck h],2)),1.5)*Tabella5183445[[#This Row],[Volume]]</f>
        <v>226133332.58135051</v>
      </c>
      <c r="D52" s="1">
        <f t="shared" si="0"/>
        <v>3.7482032839797662E-3</v>
      </c>
      <c r="E52" s="1" cm="1">
        <f t="array" ref="E52">(8*POWER(Tabella335[Pi Greco],2)*POWER(2*Tabella335[Pi Greco]*Tabella335[Boltzmann k]*Tabella5183445[[#This Row],[Temperatura]],1.5)*Tabella131[Total Moment of Inertia])/(Tabella6197[Simmetry Number]*POWER(Tabella335[Planck h],3))</f>
        <v>2171.9116172610261</v>
      </c>
      <c r="F52">
        <f>1</f>
        <v>1</v>
      </c>
      <c r="G52" s="1">
        <f>PRODUCT(Tabella5183445[[#This Row],[Qtrasl]:[Qel]])</f>
        <v>1840898603.3100657</v>
      </c>
    </row>
    <row r="53" spans="1:7" x14ac:dyDescent="0.3">
      <c r="A53">
        <v>1900</v>
      </c>
      <c r="B53" s="1" cm="1">
        <f t="array" ref="B53">(Tabella335[Boltzmann k]*Tabella5183445[[#This Row],[Temperatura]])/101325</f>
        <v>2.5889297804095731E-25</v>
      </c>
      <c r="C53" s="1" cm="1">
        <f t="array" ref="C53">POWER((2*Tabella335[Pi Greco]*Tabella335[Massa]*Tabella335[Boltzmann k]*Tabella5183445[[#This Row],[Temperatura]])/(POWER(Tabella335[Planck h],2)),1.5)*Tabella5183445[[#This Row],[Volume]]</f>
        <v>258861416.13519424</v>
      </c>
      <c r="D53" s="1">
        <f t="shared" si="0"/>
        <v>6.9079694948771695E-3</v>
      </c>
      <c r="E53" s="1" cm="1">
        <f t="array" ref="E53">(8*POWER(Tabella335[Pi Greco],2)*POWER(2*Tabella335[Pi Greco]*Tabella335[Boltzmann k]*Tabella5183445[[#This Row],[Temperatura]],1.5)*Tabella131[Total Moment of Inertia])/(Tabella6197[Simmetry Number]*POWER(Tabella335[Planck h],3))</f>
        <v>2355.3952346892888</v>
      </c>
      <c r="F53">
        <f>1</f>
        <v>1</v>
      </c>
      <c r="G53" s="1">
        <f>PRODUCT(Tabella5183445[[#This Row],[Qtrasl]:[Qel]])</f>
        <v>4211933695.4230547</v>
      </c>
    </row>
    <row r="54" spans="1:7" x14ac:dyDescent="0.3">
      <c r="A54">
        <v>2000</v>
      </c>
      <c r="B54" s="1" cm="1">
        <f t="array" ref="B54">(Tabella335[Boltzmann k]*Tabella5183445[[#This Row],[Temperatura]])/101325</f>
        <v>2.7251892425363931E-25</v>
      </c>
      <c r="C54" s="1" cm="1">
        <f t="array" ref="C54">POWER((2*Tabella335[Pi Greco]*Tabella335[Massa]*Tabella335[Boltzmann k]*Tabella5183445[[#This Row],[Temperatura]])/(POWER(Tabella335[Planck h],2)),1.5)*Tabella5183445[[#This Row],[Volume]]</f>
        <v>294278348.08289552</v>
      </c>
      <c r="D54" s="1">
        <f t="shared" si="0"/>
        <v>1.2202120867062093E-2</v>
      </c>
      <c r="E54" s="1" cm="1">
        <f t="array" ref="E54">(8*POWER(Tabella335[Pi Greco],2)*POWER(2*Tabella335[Pi Greco]*Tabella335[Boltzmann k]*Tabella5183445[[#This Row],[Temperatura]],1.5)*Tabella131[Total Moment of Inertia])/(Tabella6197[Simmetry Number]*POWER(Tabella335[Planck h],3))</f>
        <v>2543.7731804165428</v>
      </c>
      <c r="F54">
        <f>1</f>
        <v>1</v>
      </c>
      <c r="G54" s="1">
        <f>PRODUCT(Tabella5183445[[#This Row],[Qtrasl]:[Qel]])</f>
        <v>9134231540.1390076</v>
      </c>
    </row>
    <row r="126" spans="1:1" ht="42.6" x14ac:dyDescent="0.85">
      <c r="A126" s="13"/>
    </row>
    <row r="128" spans="1:1" ht="28.8" x14ac:dyDescent="0.55000000000000004">
      <c r="A128" s="14"/>
    </row>
  </sheetData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12097-C47A-4E13-9CDF-0FE280B60ED5}">
  <sheetPr codeName="Foglio1"/>
  <dimension ref="A1:V134"/>
  <sheetViews>
    <sheetView topLeftCell="A27" zoomScale="64" zoomScaleNormal="70" workbookViewId="0">
      <selection activeCell="B38" sqref="B38"/>
    </sheetView>
  </sheetViews>
  <sheetFormatPr defaultRowHeight="14.4" x14ac:dyDescent="0.3"/>
  <cols>
    <col min="1" max="1" width="30" customWidth="1"/>
    <col min="2" max="2" width="27.44140625" customWidth="1"/>
    <col min="3" max="3" width="18.44140625" customWidth="1"/>
    <col min="4" max="4" width="16.109375" customWidth="1"/>
    <col min="5" max="5" width="23.5546875" customWidth="1"/>
    <col min="6" max="6" width="14.6640625" customWidth="1"/>
    <col min="7" max="7" width="23.77734375" customWidth="1"/>
    <col min="8" max="8" width="24.33203125" customWidth="1"/>
    <col min="9" max="9" width="20.44140625" customWidth="1"/>
    <col min="10" max="10" width="13.6640625" customWidth="1"/>
    <col min="11" max="11" width="23.6640625" customWidth="1"/>
    <col min="12" max="13" width="13.6640625" customWidth="1"/>
    <col min="14" max="14" width="11.109375" customWidth="1"/>
    <col min="15" max="15" width="13.6640625" customWidth="1"/>
    <col min="16" max="17" width="13.44140625" customWidth="1"/>
    <col min="18" max="18" width="12" customWidth="1"/>
    <col min="19" max="19" width="13" bestFit="1" customWidth="1"/>
    <col min="20" max="20" width="11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41</v>
      </c>
      <c r="H1" t="s">
        <v>43</v>
      </c>
    </row>
    <row r="2" spans="1:11" x14ac:dyDescent="0.3">
      <c r="A2">
        <v>3.1415899999999999</v>
      </c>
      <c r="B2" s="1">
        <f>15.0345*1.6605655E-27</f>
        <v>2.4965772009749998E-26</v>
      </c>
      <c r="C2" s="1">
        <v>1.3806490000000001E-23</v>
      </c>
      <c r="D2" s="1">
        <v>6.6260701499999998E-34</v>
      </c>
      <c r="E2" s="1">
        <v>8.3144620000000007</v>
      </c>
      <c r="F2" s="1">
        <v>6.0221410000000001E+23</v>
      </c>
      <c r="G2">
        <v>29979300000</v>
      </c>
      <c r="H2">
        <f>Tabella33[[#This Row],[Speed of Light '[cm/s']]]*POWER(10,-2)</f>
        <v>299793000</v>
      </c>
    </row>
    <row r="4" spans="1:11" x14ac:dyDescent="0.3">
      <c r="A4" t="s">
        <v>39</v>
      </c>
      <c r="B4" t="s">
        <v>40</v>
      </c>
      <c r="C4" t="s">
        <v>42</v>
      </c>
      <c r="D4" t="s">
        <v>44</v>
      </c>
      <c r="E4" t="s">
        <v>38</v>
      </c>
    </row>
    <row r="5" spans="1:11" x14ac:dyDescent="0.3">
      <c r="A5" s="4">
        <f>285.23645</f>
        <v>285.23644999999999</v>
      </c>
      <c r="B5" cm="1">
        <f t="array" ref="B5">((Tabella50[[#This Row],[Rotational Constants '[Ghz']]]*1000000000)/Tabella33[Speed of Light '[cm/s']])*100</f>
        <v>951.44466348447099</v>
      </c>
      <c r="C5" s="1" cm="1">
        <f t="array" ref="C5">Tabella33[Planck h]/(8*POWER(Tabella33[Pi Greco],2)*Tabella50[[#This Row],[Rotational Constant '[m^-1']]]*Tabella33[Speed of Light '[m/s']])</f>
        <v>2.9421310137861527E-47</v>
      </c>
      <c r="D5">
        <f>SQRT(PRODUCT(Tabella50[Moments of Inertia]))</f>
        <v>2.2572665411511953E-70</v>
      </c>
      <c r="E5" s="1" cm="1">
        <f t="array" ref="E5">POWER(Tabella33[Planck h],2)/(8*POWER(Tabella33[Pi Greco],2)*Tabella1[[#This Row],[Total Moment of Inertia]]*Tabella33[Boltzmann k])</f>
        <v>1.7842550444727697E+24</v>
      </c>
      <c r="F5" s="1"/>
    </row>
    <row r="6" spans="1:11" x14ac:dyDescent="0.3">
      <c r="A6">
        <f>285.17019</f>
        <v>285.17018999999999</v>
      </c>
      <c r="B6" cm="1">
        <f t="array" ref="B6">((Tabella50[[#This Row],[Rotational Constants '[Ghz']]]*1000000000)/Tabella33[Speed of Light '[cm/s']])*100</f>
        <v>951.22364431457709</v>
      </c>
      <c r="C6" s="1" cm="1">
        <f t="array" ref="C6">Tabella33[Planck h]/(8*POWER(Tabella33[Pi Greco],2)*Tabella50[[#This Row],[Rotational Constant '[m^-1']]]*Tabella33[Speed of Light '[m/s']])</f>
        <v>2.94281462521473E-47</v>
      </c>
    </row>
    <row r="7" spans="1:11" x14ac:dyDescent="0.3">
      <c r="A7">
        <f>142.60221</f>
        <v>142.60221000000001</v>
      </c>
      <c r="B7" cm="1">
        <f t="array" ref="B7">((Tabella50[[#This Row],[Rotational Constants '[Ghz']]]*1000000000)/Tabella33[Speed of Light '[cm/s']])*100</f>
        <v>475.66891154896877</v>
      </c>
      <c r="C7" s="1" cm="1">
        <f t="array" ref="C7">Tabella33[Planck h]/(8*POWER(Tabella33[Pi Greco],2)*Tabella50[[#This Row],[Rotational Constant '[m^-1']]]*Tabella33[Speed of Light '[m/s']])</f>
        <v>5.8849228620458512E-47</v>
      </c>
    </row>
    <row r="9" spans="1:11" x14ac:dyDescent="0.3">
      <c r="E9" s="1"/>
    </row>
    <row r="10" spans="1:11" x14ac:dyDescent="0.3">
      <c r="A10" t="s">
        <v>22</v>
      </c>
    </row>
    <row r="11" spans="1:11" x14ac:dyDescent="0.3">
      <c r="A11">
        <v>1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</row>
    <row r="12" spans="1:11" x14ac:dyDescent="0.3">
      <c r="E12">
        <f>B14</f>
        <v>15771836918370.002</v>
      </c>
      <c r="F12">
        <f>B15</f>
        <v>42342427551840</v>
      </c>
      <c r="G12">
        <f>B16</f>
        <v>42355192737780</v>
      </c>
      <c r="H12">
        <f>B17</f>
        <v>93688268458980</v>
      </c>
      <c r="I12">
        <f>B18</f>
        <v>99093329391810</v>
      </c>
      <c r="J12">
        <f>B19</f>
        <v>99146965357440</v>
      </c>
    </row>
    <row r="13" spans="1:11" x14ac:dyDescent="0.3">
      <c r="A13" t="s">
        <v>23</v>
      </c>
      <c r="B13" t="s">
        <v>24</v>
      </c>
      <c r="D13" t="s">
        <v>4</v>
      </c>
      <c r="E13" t="s">
        <v>17</v>
      </c>
      <c r="F13" t="s">
        <v>9</v>
      </c>
      <c r="G13" t="s">
        <v>10</v>
      </c>
      <c r="H13" t="s">
        <v>11</v>
      </c>
      <c r="I13" t="s">
        <v>12</v>
      </c>
      <c r="J13" t="s">
        <v>13</v>
      </c>
      <c r="K13" t="s">
        <v>18</v>
      </c>
    </row>
    <row r="14" spans="1:11" x14ac:dyDescent="0.3">
      <c r="A14">
        <v>526.09090000000003</v>
      </c>
      <c r="B14" cm="1">
        <f t="array" ref="B14">Tabella47[[#This Row],[Wavenumbers '[cm^-1']]]*Tabella33[Speed of Light '[cm/s']]</f>
        <v>15771836918370.002</v>
      </c>
      <c r="D14">
        <v>298</v>
      </c>
      <c r="E14" s="1" cm="1">
        <f t="array" ref="E14">(EXP(-(Tabella33[Planck h]*Tabella49[Frequency1])/(2*Tabella33[Boltzmann k]*Tabella820[[#This Row],[Temperatura]])))/(1-EXP(-(Tabella33[Planck h]*Tabella49[Frequency1])/(Tabella33[Boltzmann k]*Tabella820[[#This Row],[Temperatura]])))</f>
        <v>0.30487083553720701</v>
      </c>
      <c r="F14" s="1" cm="1">
        <f t="array" ref="F14">(EXP(-(Tabella33[Planck h]*Tabella49[Frequency2])/(2*Tabella33[Boltzmann k]*Tabella820[[#This Row],[Temperatura]])))/(1-EXP(-(Tabella33[Planck h]*Tabella49[Frequency2])/(Tabella33[Boltzmann k]*Tabella820[[#This Row],[Temperatura]])))</f>
        <v>3.3090884494151179E-2</v>
      </c>
      <c r="G14" s="1" cm="1">
        <f t="array" ref="G14">(EXP(-(Tabella33[Planck h]*Tabella49[Frequency3])/(2*Tabella33[Boltzmann k]*Tabella820[[#This Row],[Temperatura]])))/(1-EXP(-(Tabella33[Planck h]*Tabella49[Frequency3])/(Tabella33[Boltzmann k]*Tabella820[[#This Row],[Temperatura]])))</f>
        <v>3.3056813375636582E-2</v>
      </c>
      <c r="H14" s="1" cm="1">
        <f t="array" ref="H14">(EXP(-(Tabella33[Planck h]*Tabella49[Frequency4])/(2*Tabella33[Boltzmann k]*Tabella820[[#This Row],[Temperatura]])))/(1-EXP(-(Tabella33[Planck h]*Tabella49[Frequency4])/(Tabella33[Boltzmann k]*Tabella820[[#This Row],[Temperatura]])))</f>
        <v>5.2918431181285563E-4</v>
      </c>
      <c r="I14" s="1" cm="1">
        <f t="array" ref="I14">(EXP(-(Tabella33[Planck h]*Tabella49[Frequency5])/(2*Tabella33[Boltzmann k]*Tabella820[[#This Row],[Temperatura]])))/(1-EXP(-(Tabella33[Planck h]*Tabella49[Frequency5])/(Tabella33[Boltzmann k]*Tabella820[[#This Row],[Temperatura]])))</f>
        <v>3.4244064658450058E-4</v>
      </c>
      <c r="J14" s="1" cm="1">
        <f t="array" ref="J14">(EXP(-(Tabella33[Planck h]*Tabella49[Frequency6])/(2*Tabella33[Boltzmann k]*Tabella820[[#This Row],[Temperatura]])))/(1-EXP(-(Tabella33[Planck h]*Tabella49[Frequency6])/(Tabella33[Boltzmann k]*Tabella820[[#This Row],[Temperatura]])))</f>
        <v>3.4096483647716002E-4</v>
      </c>
      <c r="K14" s="1">
        <f>PRODUCT(Tabella820[[#This Row],[Qvib1]:[Qvib6]])</f>
        <v>2.0605687274281058E-14</v>
      </c>
    </row>
    <row r="15" spans="1:11" x14ac:dyDescent="0.3">
      <c r="A15">
        <v>1412.3887999999999</v>
      </c>
      <c r="B15" cm="1">
        <f t="array" ref="B15">Tabella47[[#This Row],[Wavenumbers '[cm^-1']]]*Tabella33[Speed of Light '[cm/s']]</f>
        <v>42342427551840</v>
      </c>
      <c r="D15">
        <v>400</v>
      </c>
      <c r="E15" s="1" cm="1">
        <f t="array" ref="E15">(EXP(-(Tabella33[Planck h]*Tabella49[Frequency1])/(2*Tabella33[Boltzmann k]*Tabella820[[#This Row],[Temperatura]])))/(1-EXP(-(Tabella33[Planck h]*Tabella49[Frequency1])/(Tabella33[Boltzmann k]*Tabella820[[#This Row],[Temperatura]])))</f>
        <v>0.45712748932475705</v>
      </c>
      <c r="F15" s="1" cm="1">
        <f t="array" ref="F15">(EXP(-(Tabella33[Planck h]*Tabella49[Frequency2])/(2*Tabella33[Boltzmann k]*Tabella820[[#This Row],[Temperatura]])))/(1-EXP(-(Tabella33[Planck h]*Tabella49[Frequency2])/(Tabella33[Boltzmann k]*Tabella820[[#This Row],[Temperatura]])))</f>
        <v>7.9348359328157397E-2</v>
      </c>
      <c r="G15" s="1" cm="1">
        <f t="array" ref="G15">(EXP(-(Tabella33[Planck h]*Tabella49[Frequency3])/(2*Tabella33[Boltzmann k]*Tabella820[[#This Row],[Temperatura]])))/(1-EXP(-(Tabella33[Planck h]*Tabella49[Frequency3])/(Tabella33[Boltzmann k]*Tabella820[[#This Row],[Temperatura]])))</f>
        <v>7.9286859144648156E-2</v>
      </c>
      <c r="H15" s="1" cm="1">
        <f t="array" ref="H15">(EXP(-(Tabella33[Planck h]*Tabella49[Frequency4])/(2*Tabella33[Boltzmann k]*Tabella820[[#This Row],[Temperatura]])))/(1-EXP(-(Tabella33[Planck h]*Tabella49[Frequency4])/(Tabella33[Boltzmann k]*Tabella820[[#This Row],[Temperatura]])))</f>
        <v>3.623204075571913E-3</v>
      </c>
      <c r="I15" s="1" cm="1">
        <f t="array" ref="I15">(EXP(-(Tabella33[Planck h]*Tabella49[Frequency5])/(2*Tabella33[Boltzmann k]*Tabella820[[#This Row],[Temperatura]])))/(1-EXP(-(Tabella33[Planck h]*Tabella49[Frequency5])/(Tabella33[Boltzmann k]*Tabella820[[#This Row],[Temperatura]])))</f>
        <v>2.6198051860400785E-3</v>
      </c>
      <c r="J15" s="1" cm="1">
        <f t="array" ref="J15">(EXP(-(Tabella33[Planck h]*Tabella49[Frequency6])/(2*Tabella33[Boltzmann k]*Tabella820[[#This Row],[Temperatura]])))/(1-EXP(-(Tabella33[Planck h]*Tabella49[Frequency6])/(Tabella33[Boltzmann k]*Tabella820[[#This Row],[Temperatura]])))</f>
        <v>2.611389000965436E-3</v>
      </c>
      <c r="K15" s="1">
        <f>PRODUCT(Tabella820[[#This Row],[Qvib1]:[Qvib6]])</f>
        <v>7.1286922782730874E-11</v>
      </c>
    </row>
    <row r="16" spans="1:11" x14ac:dyDescent="0.3">
      <c r="A16">
        <v>1412.8145999999999</v>
      </c>
      <c r="B16" cm="1">
        <f t="array" ref="B16">Tabella47[[#This Row],[Wavenumbers '[cm^-1']]]*Tabella33[Speed of Light '[cm/s']]</f>
        <v>42355192737780</v>
      </c>
      <c r="D16">
        <v>500</v>
      </c>
      <c r="E16" s="1" cm="1">
        <f t="array" ref="E16">(EXP(-(Tabella33[Planck h]*Tabella49[Frequency1])/(2*Tabella33[Boltzmann k]*Tabella820[[#This Row],[Temperatura]])))/(1-EXP(-(Tabella33[Planck h]*Tabella49[Frequency1])/(Tabella33[Boltzmann k]*Tabella820[[#This Row],[Temperatura]])))</f>
        <v>0.60146242043621312</v>
      </c>
      <c r="F16" s="1" cm="1">
        <f t="array" ref="F16">(EXP(-(Tabella33[Planck h]*Tabella49[Frequency2])/(2*Tabella33[Boltzmann k]*Tabella820[[#This Row],[Temperatura]])))/(1-EXP(-(Tabella33[Planck h]*Tabella49[Frequency2])/(Tabella33[Boltzmann k]*Tabella820[[#This Row],[Temperatura]])))</f>
        <v>0.13334832025644083</v>
      </c>
      <c r="G16" s="1" cm="1">
        <f t="array" ref="G16">(EXP(-(Tabella33[Planck h]*Tabella49[Frequency3])/(2*Tabella33[Boltzmann k]*Tabella820[[#This Row],[Temperatura]])))/(1-EXP(-(Tabella33[Planck h]*Tabella49[Frequency3])/(Tabella33[Boltzmann k]*Tabella820[[#This Row],[Temperatura]])))</f>
        <v>0.13326379993603399</v>
      </c>
      <c r="H16" s="1" cm="1">
        <f t="array" ref="H16">(EXP(-(Tabella33[Planck h]*Tabella49[Frequency4])/(2*Tabella33[Boltzmann k]*Tabella820[[#This Row],[Temperatura]])))/(1-EXP(-(Tabella33[Planck h]*Tabella49[Frequency4])/(Tabella33[Boltzmann k]*Tabella820[[#This Row],[Temperatura]])))</f>
        <v>1.1151253037802804E-2</v>
      </c>
      <c r="I16" s="1" cm="1">
        <f t="array" ref="I16">(EXP(-(Tabella33[Planck h]*Tabella49[Frequency5])/(2*Tabella33[Boltzmann k]*Tabella820[[#This Row],[Temperatura]])))/(1-EXP(-(Tabella33[Planck h]*Tabella49[Frequency5])/(Tabella33[Boltzmann k]*Tabella820[[#This Row],[Temperatura]])))</f>
        <v>8.6029015309560027E-3</v>
      </c>
      <c r="J16" s="1" cm="1">
        <f t="array" ref="J16">(EXP(-(Tabella33[Planck h]*Tabella49[Frequency6])/(2*Tabella33[Boltzmann k]*Tabella820[[#This Row],[Temperatura]])))/(1-EXP(-(Tabella33[Planck h]*Tabella49[Frequency6])/(Tabella33[Boltzmann k]*Tabella820[[#This Row],[Temperatura]])))</f>
        <v>8.5807818434944887E-3</v>
      </c>
      <c r="K16" s="1">
        <f>PRODUCT(Tabella820[[#This Row],[Qvib1]:[Qvib6]])</f>
        <v>8.798400421867837E-9</v>
      </c>
    </row>
    <row r="17" spans="1:11" x14ac:dyDescent="0.3">
      <c r="A17">
        <v>3125.0985999999998</v>
      </c>
      <c r="B17" cm="1">
        <f t="array" ref="B17">Tabella47[[#This Row],[Wavenumbers '[cm^-1']]]*Tabella33[Speed of Light '[cm/s']]</f>
        <v>93688268458980</v>
      </c>
      <c r="D17">
        <v>600</v>
      </c>
      <c r="E17" s="1" cm="1">
        <f t="array" ref="E17">(EXP(-(Tabella33[Planck h]*Tabella49[Frequency1])/(2*Tabella33[Boltzmann k]*Tabella820[[#This Row],[Temperatura]])))/(1-EXP(-(Tabella33[Planck h]*Tabella49[Frequency1])/(Tabella33[Boltzmann k]*Tabella820[[#This Row],[Temperatura]])))</f>
        <v>0.74245407198578839</v>
      </c>
      <c r="F17" s="1" cm="1">
        <f t="array" ref="F17">(EXP(-(Tabella33[Planck h]*Tabella49[Frequency2])/(2*Tabella33[Boltzmann k]*Tabella820[[#This Row],[Temperatura]])))/(1-EXP(-(Tabella33[Planck h]*Tabella49[Frequency2])/(Tabella33[Boltzmann k]*Tabella820[[#This Row],[Temperatura]])))</f>
        <v>0.19032343021375475</v>
      </c>
      <c r="G17" s="1" cm="1">
        <f t="array" ref="G17">(EXP(-(Tabella33[Planck h]*Tabella49[Frequency3])/(2*Tabella33[Boltzmann k]*Tabella820[[#This Row],[Temperatura]])))/(1-EXP(-(Tabella33[Planck h]*Tabella49[Frequency3])/(Tabella33[Boltzmann k]*Tabella820[[#This Row],[Temperatura]])))</f>
        <v>0.19021949575653144</v>
      </c>
      <c r="H17" s="1" cm="1">
        <f t="array" ref="H17">(EXP(-(Tabella33[Planck h]*Tabella49[Frequency4])/(2*Tabella33[Boltzmann k]*Tabella820[[#This Row],[Temperatura]])))/(1-EXP(-(Tabella33[Planck h]*Tabella49[Frequency4])/(Tabella33[Boltzmann k]*Tabella820[[#This Row],[Temperatura]])))</f>
        <v>2.360296016613276E-2</v>
      </c>
      <c r="I17" s="1" cm="1">
        <f t="array" ref="I17">(EXP(-(Tabella33[Planck h]*Tabella49[Frequency5])/(2*Tabella33[Boltzmann k]*Tabella820[[#This Row],[Temperatura]])))/(1-EXP(-(Tabella33[Planck h]*Tabella49[Frequency5])/(Tabella33[Boltzmann k]*Tabella820[[#This Row],[Temperatura]])))</f>
        <v>1.9010821545241582E-2</v>
      </c>
      <c r="J17" s="1" cm="1">
        <f t="array" ref="J17">(EXP(-(Tabella33[Planck h]*Tabella49[Frequency6])/(2*Tabella33[Boltzmann k]*Tabella820[[#This Row],[Temperatura]])))/(1-EXP(-(Tabella33[Planck h]*Tabella49[Frequency6])/(Tabella33[Boltzmann k]*Tabella820[[#This Row],[Temperatura]])))</f>
        <v>1.8970055793640948E-2</v>
      </c>
      <c r="K17" s="1">
        <f>PRODUCT(Tabella820[[#This Row],[Qvib1]:[Qvib6]])</f>
        <v>2.2879832608550541E-7</v>
      </c>
    </row>
    <row r="18" spans="1:11" x14ac:dyDescent="0.3">
      <c r="A18">
        <v>3305.3917000000001</v>
      </c>
      <c r="B18" cm="1">
        <f t="array" ref="B18">Tabella47[[#This Row],[Wavenumbers '[cm^-1']]]*Tabella33[Speed of Light '[cm/s']]</f>
        <v>99093329391810</v>
      </c>
      <c r="D18">
        <v>700</v>
      </c>
      <c r="E18" s="1" cm="1">
        <f t="array" ref="E18">(EXP(-(Tabella33[Planck h]*Tabella49[Frequency1])/(2*Tabella33[Boltzmann k]*Tabella820[[#This Row],[Temperatura]])))/(1-EXP(-(Tabella33[Planck h]*Tabella49[Frequency1])/(Tabella33[Boltzmann k]*Tabella820[[#This Row],[Temperatura]])))</f>
        <v>0.8812250476778074</v>
      </c>
      <c r="F18" s="1" cm="1">
        <f t="array" ref="F18">(EXP(-(Tabella33[Planck h]*Tabella49[Frequency2])/(2*Tabella33[Boltzmann k]*Tabella820[[#This Row],[Temperatura]])))/(1-EXP(-(Tabella33[Planck h]*Tabella49[Frequency2])/(Tabella33[Boltzmann k]*Tabella820[[#This Row],[Temperatura]])))</f>
        <v>0.24781017402703079</v>
      </c>
      <c r="G18" s="1" cm="1">
        <f t="array" ref="G18">(EXP(-(Tabella33[Planck h]*Tabella49[Frequency3])/(2*Tabella33[Boltzmann k]*Tabella820[[#This Row],[Temperatura]])))/(1-EXP(-(Tabella33[Planck h]*Tabella49[Frequency3])/(Tabella33[Boltzmann k]*Tabella820[[#This Row],[Temperatura]])))</f>
        <v>0.24768918103148083</v>
      </c>
      <c r="H18" s="1" cm="1">
        <f t="array" ref="H18">(EXP(-(Tabella33[Planck h]*Tabella49[Frequency4])/(2*Tabella33[Boltzmann k]*Tabella820[[#This Row],[Temperatura]])))/(1-EXP(-(Tabella33[Planck h]*Tabella49[Frequency4])/(Tabella33[Boltzmann k]*Tabella820[[#This Row],[Temperatura]])))</f>
        <v>4.0355075744438716E-2</v>
      </c>
      <c r="I18" s="1" cm="1">
        <f t="array" ref="I18">(EXP(-(Tabella33[Planck h]*Tabella49[Frequency5])/(2*Tabella33[Boltzmann k]*Tabella820[[#This Row],[Temperatura]])))/(1-EXP(-(Tabella33[Planck h]*Tabella49[Frequency5])/(Tabella33[Boltzmann k]*Tabella820[[#This Row],[Temperatura]])))</f>
        <v>3.3512773959347278E-2</v>
      </c>
      <c r="J18" s="1" cm="1">
        <f t="array" ref="J18">(EXP(-(Tabella33[Planck h]*Tabella49[Frequency6])/(2*Tabella33[Boltzmann k]*Tabella820[[#This Row],[Temperatura]])))/(1-EXP(-(Tabella33[Planck h]*Tabella49[Frequency6])/(Tabella33[Boltzmann k]*Tabella820[[#This Row],[Temperatura]])))</f>
        <v>3.3451074317163425E-2</v>
      </c>
      <c r="K18" s="1">
        <f>PRODUCT(Tabella820[[#This Row],[Qvib1]:[Qvib6]])</f>
        <v>2.4469867458679578E-6</v>
      </c>
    </row>
    <row r="19" spans="1:11" x14ac:dyDescent="0.3">
      <c r="A19">
        <v>3307.1808000000001</v>
      </c>
      <c r="B19" cm="1">
        <f t="array" ref="B19">Tabella47[[#This Row],[Wavenumbers '[cm^-1']]]*Tabella33[Speed of Light '[cm/s']]</f>
        <v>99146965357440</v>
      </c>
      <c r="D19">
        <v>800</v>
      </c>
      <c r="E19" s="1" cm="1">
        <f t="array" ref="E19">(EXP(-(Tabella33[Planck h]*Tabella49[Frequency1])/(2*Tabella33[Boltzmann k]*Tabella820[[#This Row],[Temperatura]])))/(1-EXP(-(Tabella33[Planck h]*Tabella49[Frequency1])/(Tabella33[Boltzmann k]*Tabella820[[#This Row],[Temperatura]])))</f>
        <v>1.0184848370473583</v>
      </c>
      <c r="F19" s="1" cm="1">
        <f t="array" ref="F19">(EXP(-(Tabella33[Planck h]*Tabella49[Frequency2])/(2*Tabella33[Boltzmann k]*Tabella820[[#This Row],[Temperatura]])))/(1-EXP(-(Tabella33[Planck h]*Tabella49[Frequency2])/(Tabella33[Boltzmann k]*Tabella820[[#This Row],[Temperatura]])))</f>
        <v>0.30485021050697642</v>
      </c>
      <c r="G19" s="1" cm="1">
        <f t="array" ref="G19">(EXP(-(Tabella33[Planck h]*Tabella49[Frequency3])/(2*Tabella33[Boltzmann k]*Tabella820[[#This Row],[Temperatura]])))/(1-EXP(-(Tabella33[Planck h]*Tabella49[Frequency3])/(Tabella33[Boltzmann k]*Tabella820[[#This Row],[Temperatura]])))</f>
        <v>0.3047135390881815</v>
      </c>
      <c r="H19" s="1" cm="1">
        <f t="array" ref="H19">(EXP(-(Tabella33[Planck h]*Tabella49[Frequency4])/(2*Tabella33[Boltzmann k]*Tabella820[[#This Row],[Temperatura]])))/(1-EXP(-(Tabella33[Planck h]*Tabella49[Frequency4])/(Tabella33[Boltzmann k]*Tabella820[[#This Row],[Temperatura]])))</f>
        <v>6.041154209150431E-2</v>
      </c>
      <c r="I19" s="1" cm="1">
        <f t="array" ref="I19">(EXP(-(Tabella33[Planck h]*Tabella49[Frequency5])/(2*Tabella33[Boltzmann k]*Tabella820[[#This Row],[Temperatura]])))/(1-EXP(-(Tabella33[Planck h]*Tabella49[Frequency5])/(Tabella33[Boltzmann k]*Tabella820[[#This Row],[Temperatura]])))</f>
        <v>5.131829990999099E-2</v>
      </c>
      <c r="J19" s="1" cm="1">
        <f t="array" ref="J19">(EXP(-(Tabella33[Planck h]*Tabella49[Frequency6])/(2*Tabella33[Boltzmann k]*Tabella820[[#This Row],[Temperatura]])))/(1-EXP(-(Tabella33[Planck h]*Tabella49[Frequency6])/(Tabella33[Boltzmann k]*Tabella820[[#This Row],[Temperatura]])))</f>
        <v>5.1235371782739972E-2</v>
      </c>
      <c r="K19" s="1">
        <f>PRODUCT(Tabella820[[#This Row],[Qvib1]:[Qvib6]])</f>
        <v>1.5027782214972769E-5</v>
      </c>
    </row>
    <row r="20" spans="1:11" x14ac:dyDescent="0.3">
      <c r="D20">
        <v>900</v>
      </c>
      <c r="E20" s="1" cm="1">
        <f t="array" ref="E20">(EXP(-(Tabella33[Planck h]*Tabella49[Frequency1])/(2*Tabella33[Boltzmann k]*Tabella820[[#This Row],[Temperatura]])))/(1-EXP(-(Tabella33[Planck h]*Tabella49[Frequency1])/(Tabella33[Boltzmann k]*Tabella820[[#This Row],[Temperatura]])))</f>
        <v>1.1546821327350485</v>
      </c>
      <c r="F20" s="1" cm="1">
        <f t="array" ref="F20">(EXP(-(Tabella33[Planck h]*Tabella49[Frequency2])/(2*Tabella33[Boltzmann k]*Tabella820[[#This Row],[Temperatura]])))/(1-EXP(-(Tabella33[Planck h]*Tabella49[Frequency2])/(Tabella33[Boltzmann k]*Tabella820[[#This Row],[Temperatura]])))</f>
        <v>0.3611351320304656</v>
      </c>
      <c r="G20" s="1" cm="1">
        <f t="array" ref="G20">(EXP(-(Tabella33[Planck h]*Tabella49[Frequency3])/(2*Tabella33[Boltzmann k]*Tabella820[[#This Row],[Temperatura]])))/(1-EXP(-(Tabella33[Planck h]*Tabella49[Frequency3])/(Tabella33[Boltzmann k]*Tabella820[[#This Row],[Temperatura]])))</f>
        <v>0.36098355423775946</v>
      </c>
      <c r="H20" s="1" cm="1">
        <f t="array" ref="H20">(EXP(-(Tabella33[Planck h]*Tabella49[Frequency4])/(2*Tabella33[Boltzmann k]*Tabella820[[#This Row],[Temperatura]])))/(1-EXP(-(Tabella33[Planck h]*Tabella49[Frequency4])/(Tabella33[Boltzmann k]*Tabella820[[#This Row],[Temperatura]])))</f>
        <v>8.28129054471686E-2</v>
      </c>
      <c r="I20" s="1" cm="1">
        <f t="array" ref="I20">(EXP(-(Tabella33[Planck h]*Tabella49[Frequency5])/(2*Tabella33[Boltzmann k]*Tabella820[[#This Row],[Temperatura]])))/(1-EXP(-(Tabella33[Planck h]*Tabella49[Frequency5])/(Tabella33[Boltzmann k]*Tabella820[[#This Row],[Temperatura]])))</f>
        <v>7.1576547465905721E-2</v>
      </c>
      <c r="J20" s="1" cm="1">
        <f t="array" ref="J20">(EXP(-(Tabella33[Planck h]*Tabella49[Frequency6])/(2*Tabella33[Boltzmann k]*Tabella820[[#This Row],[Temperatura]])))/(1-EXP(-(Tabella33[Planck h]*Tabella49[Frequency6])/(Tabella33[Boltzmann k]*Tabella820[[#This Row],[Temperatura]])))</f>
        <v>7.1473220871881821E-2</v>
      </c>
      <c r="K20" s="1">
        <f>PRODUCT(Tabella820[[#This Row],[Qvib1]:[Qvib6]])</f>
        <v>6.3772247603799441E-5</v>
      </c>
    </row>
    <row r="21" spans="1:11" x14ac:dyDescent="0.3">
      <c r="D21">
        <v>1000</v>
      </c>
      <c r="E21" s="1" cm="1">
        <f t="array" ref="E21">(EXP(-(Tabella33[Planck h]*Tabella49[Frequency1])/(2*Tabella33[Boltzmann k]*Tabella820[[#This Row],[Temperatura]])))/(1-EXP(-(Tabella33[Planck h]*Tabella49[Frequency1])/(Tabella33[Boltzmann k]*Tabella820[[#This Row],[Temperatura]])))</f>
        <v>1.2901087303865564</v>
      </c>
      <c r="F21" s="1" cm="1">
        <f t="array" ref="F21">(EXP(-(Tabella33[Planck h]*Tabella49[Frequency2])/(2*Tabella33[Boltzmann k]*Tabella820[[#This Row],[Temperatura]])))/(1-EXP(-(Tabella33[Planck h]*Tabella49[Frequency2])/(Tabella33[Boltzmann k]*Tabella820[[#This Row],[Temperatura]])))</f>
        <v>0.41662063506250796</v>
      </c>
      <c r="G21" s="1" cm="1">
        <f t="array" ref="G21">(EXP(-(Tabella33[Planck h]*Tabella49[Frequency3])/(2*Tabella33[Boltzmann k]*Tabella820[[#This Row],[Temperatura]])))/(1-EXP(-(Tabella33[Planck h]*Tabella49[Frequency3])/(Tabella33[Boltzmann k]*Tabella820[[#This Row],[Temperatura]])))</f>
        <v>0.41645456833200833</v>
      </c>
      <c r="H21" s="1" cm="1">
        <f t="array" ref="H21">(EXP(-(Tabella33[Planck h]*Tabella49[Frequency4])/(2*Tabella33[Boltzmann k]*Tabella820[[#This Row],[Temperatura]])))/(1-EXP(-(Tabella33[Planck h]*Tabella49[Frequency4])/(Tabella33[Boltzmann k]*Tabella820[[#This Row],[Temperatura]])))</f>
        <v>0.10678355167435745</v>
      </c>
      <c r="I21" s="1" cm="1">
        <f t="array" ref="I21">(EXP(-(Tabella33[Planck h]*Tabella49[Frequency5])/(2*Tabella33[Boltzmann k]*Tabella820[[#This Row],[Temperatura]])))/(1-EXP(-(Tabella33[Planck h]*Tabella49[Frequency5])/(Tabella33[Boltzmann k]*Tabella820[[#This Row],[Temperatura]])))</f>
        <v>9.3553164918383253E-2</v>
      </c>
      <c r="J21" s="1" cm="1">
        <f t="array" ref="J21">(EXP(-(Tabella33[Planck h]*Tabella49[Frequency6])/(2*Tabella33[Boltzmann k]*Tabella820[[#This Row],[Temperatura]])))/(1-EXP(-(Tabella33[Planck h]*Tabella49[Frequency6])/(Tabella33[Boltzmann k]*Tabella820[[#This Row],[Temperatura]])))</f>
        <v>9.3430749688499903E-2</v>
      </c>
      <c r="K21" s="1">
        <f>PRODUCT(Tabella820[[#This Row],[Qvib1]:[Qvib6]])</f>
        <v>2.0892355199216467E-4</v>
      </c>
    </row>
    <row r="22" spans="1:11" x14ac:dyDescent="0.3">
      <c r="D22">
        <v>1100</v>
      </c>
      <c r="E22" s="1" cm="1">
        <f t="array" ref="E22">(EXP(-(Tabella33[Planck h]*Tabella49[Frequency1])/(2*Tabella33[Boltzmann k]*Tabella820[[#This Row],[Temperatura]])))/(1-EXP(-(Tabella33[Planck h]*Tabella49[Frequency1])/(Tabella33[Boltzmann k]*Tabella820[[#This Row],[Temperatura]])))</f>
        <v>1.4249606040975269</v>
      </c>
      <c r="F22" s="1" cm="1">
        <f t="array" ref="F22">(EXP(-(Tabella33[Planck h]*Tabella49[Frequency2])/(2*Tabella33[Boltzmann k]*Tabella820[[#This Row],[Temperatura]])))/(1-EXP(-(Tabella33[Planck h]*Tabella49[Frequency2])/(Tabella33[Boltzmann k]*Tabella820[[#This Row],[Temperatura]])))</f>
        <v>0.47136172590641445</v>
      </c>
      <c r="G22" s="1" cm="1">
        <f t="array" ref="G22">(EXP(-(Tabella33[Planck h]*Tabella49[Frequency3])/(2*Tabella33[Boltzmann k]*Tabella820[[#This Row],[Temperatura]])))/(1-EXP(-(Tabella33[Planck h]*Tabella49[Frequency3])/(Tabella33[Boltzmann k]*Tabella820[[#This Row],[Temperatura]])))</f>
        <v>0.47118138510676233</v>
      </c>
      <c r="H22" s="1" cm="1">
        <f t="array" ref="H22">(EXP(-(Tabella33[Planck h]*Tabella49[Frequency4])/(2*Tabella33[Boltzmann k]*Tabella820[[#This Row],[Temperatura]])))/(1-EXP(-(Tabella33[Planck h]*Tabella49[Frequency4])/(Tabella33[Boltzmann k]*Tabella820[[#This Row],[Temperatura]])))</f>
        <v>0.13174816659644964</v>
      </c>
      <c r="I22" s="1" cm="1">
        <f t="array" ref="I22">(EXP(-(Tabella33[Planck h]*Tabella49[Frequency5])/(2*Tabella33[Boltzmann k]*Tabella820[[#This Row],[Temperatura]])))/(1-EXP(-(Tabella33[Planck h]*Tabella49[Frequency5])/(Tabella33[Boltzmann k]*Tabella820[[#This Row],[Temperatura]])))</f>
        <v>0.11667629995792642</v>
      </c>
      <c r="J22" s="1" cm="1">
        <f t="array" ref="J22">(EXP(-(Tabella33[Planck h]*Tabella49[Frequency6])/(2*Tabella33[Boltzmann k]*Tabella820[[#This Row],[Temperatura]])))/(1-EXP(-(Tabella33[Planck h]*Tabella49[Frequency6])/(Tabella33[Boltzmann k]*Tabella820[[#This Row],[Temperatura]])))</f>
        <v>0.11653620316530007</v>
      </c>
      <c r="K22" s="1">
        <f>PRODUCT(Tabella820[[#This Row],[Qvib1]:[Qvib6]])</f>
        <v>5.6693515820501633E-4</v>
      </c>
    </row>
    <row r="23" spans="1:11" x14ac:dyDescent="0.3">
      <c r="D23">
        <v>1200</v>
      </c>
      <c r="E23" s="1" cm="1">
        <f t="array" ref="E23">(EXP(-(Tabella33[Planck h]*Tabella49[Frequency1])/(2*Tabella33[Boltzmann k]*Tabella820[[#This Row],[Temperatura]])))/(1-EXP(-(Tabella33[Planck h]*Tabella49[Frequency1])/(Tabella33[Boltzmann k]*Tabella820[[#This Row],[Temperatura]])))</f>
        <v>1.5593734676304323</v>
      </c>
      <c r="F23" s="1" cm="1">
        <f t="array" ref="F23">(EXP(-(Tabella33[Planck h]*Tabella49[Frequency2])/(2*Tabella33[Boltzmann k]*Tabella820[[#This Row],[Temperatura]])))/(1-EXP(-(Tabella33[Planck h]*Tabella49[Frequency2])/(Tabella33[Boltzmann k]*Tabella820[[#This Row],[Temperatura]])))</f>
        <v>0.52544398168793094</v>
      </c>
      <c r="G23" s="1" cm="1">
        <f t="array" ref="G23">(EXP(-(Tabella33[Planck h]*Tabella49[Frequency3])/(2*Tabella33[Boltzmann k]*Tabella820[[#This Row],[Temperatura]])))/(1-EXP(-(Tabella33[Planck h]*Tabella49[Frequency3])/(Tabella33[Boltzmann k]*Tabella820[[#This Row],[Temperatura]])))</f>
        <v>0.52524946669952155</v>
      </c>
      <c r="H23" s="1" cm="1">
        <f t="array" ref="H23">(EXP(-(Tabella33[Planck h]*Tabella49[Frequency4])/(2*Tabella33[Boltzmann k]*Tabella820[[#This Row],[Temperatura]])))/(1-EXP(-(Tabella33[Planck h]*Tabella49[Frequency4])/(Tabella33[Boltzmann k]*Tabella820[[#This Row],[Temperatura]])))</f>
        <v>0.15730048758415596</v>
      </c>
      <c r="I23" s="1" cm="1">
        <f t="array" ref="I23">(EXP(-(Tabella33[Planck h]*Tabella49[Frequency5])/(2*Tabella33[Boltzmann k]*Tabella820[[#This Row],[Temperatura]])))/(1-EXP(-(Tabella33[Planck h]*Tabella49[Frequency5])/(Tabella33[Boltzmann k]*Tabella820[[#This Row],[Temperatura]])))</f>
        <v>0.1405253738902015</v>
      </c>
      <c r="J23" s="1" cm="1">
        <f t="array" ref="J23">(EXP(-(Tabella33[Planck h]*Tabella49[Frequency6])/(2*Tabella33[Boltzmann k]*Tabella820[[#This Row],[Temperatura]])))/(1-EXP(-(Tabella33[Planck h]*Tabella49[Frequency6])/(Tabella33[Boltzmann k]*Tabella820[[#This Row],[Temperatura]])))</f>
        <v>0.1403689073852131</v>
      </c>
      <c r="K23" s="1">
        <f>PRODUCT(Tabella820[[#This Row],[Qvib1]:[Qvib6]])</f>
        <v>1.3353586392031371E-3</v>
      </c>
    </row>
    <row r="24" spans="1:11" x14ac:dyDescent="0.3">
      <c r="D24">
        <v>1300</v>
      </c>
      <c r="E24" s="1" cm="1">
        <f t="array" ref="E24">(EXP(-(Tabella33[Planck h]*Tabella49[Frequency1])/(2*Tabella33[Boltzmann k]*Tabella820[[#This Row],[Temperatura]])))/(1-EXP(-(Tabella33[Planck h]*Tabella49[Frequency1])/(Tabella33[Boltzmann k]*Tabella820[[#This Row],[Temperatura]])))</f>
        <v>1.6934439354346726</v>
      </c>
      <c r="F24" s="1" cm="1">
        <f t="array" ref="F24">(EXP(-(Tabella33[Planck h]*Tabella49[Frequency2])/(2*Tabella33[Boltzmann k]*Tabella820[[#This Row],[Temperatura]])))/(1-EXP(-(Tabella33[Planck h]*Tabella49[Frequency2])/(Tabella33[Boltzmann k]*Tabella820[[#This Row],[Temperatura]])))</f>
        <v>0.57895580171117877</v>
      </c>
      <c r="G24" s="1" cm="1">
        <f t="array" ref="G24">(EXP(-(Tabella33[Planck h]*Tabella49[Frequency3])/(2*Tabella33[Boltzmann k]*Tabella820[[#This Row],[Temperatura]])))/(1-EXP(-(Tabella33[Planck h]*Tabella49[Frequency3])/(Tabella33[Boltzmann k]*Tabella820[[#This Row],[Temperatura]])))</f>
        <v>0.57874714746363032</v>
      </c>
      <c r="H24" s="1" cm="1">
        <f t="array" ref="H24">(EXP(-(Tabella33[Planck h]*Tabella49[Frequency4])/(2*Tabella33[Boltzmann k]*Tabella820[[#This Row],[Temperatura]])))/(1-EXP(-(Tabella33[Planck h]*Tabella49[Frequency4])/(Tabella33[Boltzmann k]*Tabella820[[#This Row],[Temperatura]])))</f>
        <v>0.18316264047630065</v>
      </c>
      <c r="I24" s="1" cm="1">
        <f t="array" ref="I24">(EXP(-(Tabella33[Planck h]*Tabella49[Frequency5])/(2*Tabella33[Boltzmann k]*Tabella820[[#This Row],[Temperatura]])))/(1-EXP(-(Tabella33[Planck h]*Tabella49[Frequency5])/(Tabella33[Boltzmann k]*Tabella820[[#This Row],[Temperatura]])))</f>
        <v>0.16480187665318594</v>
      </c>
      <c r="J24" s="1" cm="1">
        <f t="array" ref="J24">(EXP(-(Tabella33[Planck h]*Tabella49[Frequency6])/(2*Tabella33[Boltzmann k]*Tabella820[[#This Row],[Temperatura]])))/(1-EXP(-(Tabella33[Planck h]*Tabella49[Frequency6])/(Tabella33[Boltzmann k]*Tabella820[[#This Row],[Temperatura]])))</f>
        <v>0.16463017907818586</v>
      </c>
      <c r="K24" s="1">
        <f>PRODUCT(Tabella820[[#This Row],[Qvib1]:[Qvib6]])</f>
        <v>2.8197694180697825E-3</v>
      </c>
    </row>
    <row r="25" spans="1:11" x14ac:dyDescent="0.3">
      <c r="D25">
        <v>1400</v>
      </c>
      <c r="E25" s="1" cm="1">
        <f t="array" ref="E25">(EXP(-(Tabella33[Planck h]*Tabella49[Frequency1])/(2*Tabella33[Boltzmann k]*Tabella820[[#This Row],[Temperatura]])))/(1-EXP(-(Tabella33[Planck h]*Tabella49[Frequency1])/(Tabella33[Boltzmann k]*Tabella820[[#This Row],[Temperatura]])))</f>
        <v>1.8272424907415676</v>
      </c>
      <c r="F25" s="1" cm="1">
        <f t="array" ref="F25">(EXP(-(Tabella33[Planck h]*Tabella49[Frequency2])/(2*Tabella33[Boltzmann k]*Tabella820[[#This Row],[Temperatura]])))/(1-EXP(-(Tabella33[Planck h]*Tabella49[Frequency2])/(Tabella33[Boltzmann k]*Tabella820[[#This Row],[Temperatura]])))</f>
        <v>0.63197808088065177</v>
      </c>
      <c r="G25" s="1" cm="1">
        <f t="array" ref="G25">(EXP(-(Tabella33[Planck h]*Tabella49[Frequency3])/(2*Tabella33[Boltzmann k]*Tabella820[[#This Row],[Temperatura]])))/(1-EXP(-(Tabella33[Planck h]*Tabella49[Frequency3])/(Tabella33[Boltzmann k]*Tabella820[[#This Row],[Temperatura]])))</f>
        <v>0.63175528604217435</v>
      </c>
      <c r="H25" s="1" cm="1">
        <f t="array" ref="H25">(EXP(-(Tabella33[Planck h]*Tabella49[Frequency4])/(2*Tabella33[Boltzmann k]*Tabella820[[#This Row],[Temperatura]])))/(1-EXP(-(Tabella33[Planck h]*Tabella49[Frequency4])/(Tabella33[Boltzmann k]*Tabella820[[#This Row],[Temperatura]])))</f>
        <v>0.20914914711350499</v>
      </c>
      <c r="I25" s="1" cm="1">
        <f t="array" ref="I25">(EXP(-(Tabella33[Planck h]*Tabella49[Frequency5])/(2*Tabella33[Boltzmann k]*Tabella820[[#This Row],[Temperatura]])))/(1-EXP(-(Tabella33[Planck h]*Tabella49[Frequency5])/(Tabella33[Boltzmann k]*Tabella820[[#This Row],[Temperatura]])))</f>
        <v>0.18929917706650021</v>
      </c>
      <c r="J25" s="1" cm="1">
        <f t="array" ref="J25">(EXP(-(Tabella33[Planck h]*Tabella49[Frequency6])/(2*Tabella33[Boltzmann k]*Tabella820[[#This Row],[Temperatura]])))/(1-EXP(-(Tabella33[Planck h]*Tabella49[Frequency6])/(Tabella33[Boltzmann k]*Tabella820[[#This Row],[Temperatura]])))</f>
        <v>0.18911319697855336</v>
      </c>
      <c r="K25" s="1">
        <f>PRODUCT(Tabella820[[#This Row],[Qvib1]:[Qvib6]])</f>
        <v>5.4622773307018155E-3</v>
      </c>
    </row>
    <row r="26" spans="1:11" x14ac:dyDescent="0.3">
      <c r="D26">
        <v>1500</v>
      </c>
      <c r="E26" s="1" cm="1">
        <f t="array" ref="E26">(EXP(-(Tabella33[Planck h]*Tabella49[Frequency1])/(2*Tabella33[Boltzmann k]*Tabella820[[#This Row],[Temperatura]])))/(1-EXP(-(Tabella33[Planck h]*Tabella49[Frequency1])/(Tabella33[Boltzmann k]*Tabella820[[#This Row],[Temperatura]])))</f>
        <v>1.9608216752815169</v>
      </c>
      <c r="F26" s="1" cm="1">
        <f t="array" ref="F26">(EXP(-(Tabella33[Planck h]*Tabella49[Frequency2])/(2*Tabella33[Boltzmann k]*Tabella820[[#This Row],[Temperatura]])))/(1-EXP(-(Tabella33[Planck h]*Tabella49[Frequency2])/(Tabella33[Boltzmann k]*Tabella820[[#This Row],[Temperatura]])))</f>
        <v>0.68458120917252141</v>
      </c>
      <c r="G26" s="1" cm="1">
        <f t="array" ref="G26">(EXP(-(Tabella33[Planck h]*Tabella49[Frequency3])/(2*Tabella33[Boltzmann k]*Tabella820[[#This Row],[Temperatura]])))/(1-EXP(-(Tabella33[Planck h]*Tabella49[Frequency3])/(Tabella33[Boltzmann k]*Tabella820[[#This Row],[Temperatura]])))</f>
        <v>0.6843442527079947</v>
      </c>
      <c r="H26" s="1" cm="1">
        <f t="array" ref="H26">(EXP(-(Tabella33[Planck h]*Tabella49[Frequency4])/(2*Tabella33[Boltzmann k]*Tabella820[[#This Row],[Temperatura]])))/(1-EXP(-(Tabella33[Planck h]*Tabella49[Frequency4])/(Tabella33[Boltzmann k]*Tabella820[[#This Row],[Temperatura]])))</f>
        <v>0.23513903740741313</v>
      </c>
      <c r="I26" s="1" cm="1">
        <f t="array" ref="I26">(EXP(-(Tabella33[Planck h]*Tabella49[Frequency5])/(2*Tabella33[Boltzmann k]*Tabella820[[#This Row],[Temperatura]])))/(1-EXP(-(Tabella33[Planck h]*Tabella49[Frequency5])/(Tabella33[Boltzmann k]*Tabella820[[#This Row],[Temperatura]])))</f>
        <v>0.21387718778400985</v>
      </c>
      <c r="J26" s="1" cm="1">
        <f t="array" ref="J26">(EXP(-(Tabella33[Planck h]*Tabella49[Frequency6])/(2*Tabella33[Boltzmann k]*Tabella820[[#This Row],[Temperatura]])))/(1-EXP(-(Tabella33[Planck h]*Tabella49[Frequency6])/(Tabella33[Boltzmann k]*Tabella820[[#This Row],[Temperatura]])))</f>
        <v>0.21367769569515502</v>
      </c>
      <c r="K26" s="1">
        <f>PRODUCT(Tabella820[[#This Row],[Qvib1]:[Qvib6]])</f>
        <v>9.8715668325700719E-3</v>
      </c>
    </row>
    <row r="27" spans="1:11" x14ac:dyDescent="0.3">
      <c r="D27">
        <v>1600</v>
      </c>
      <c r="E27" s="1" cm="1">
        <f t="array" ref="E27">(EXP(-(Tabella33[Planck h]*Tabella49[Frequency1])/(2*Tabella33[Boltzmann k]*Tabella820[[#This Row],[Temperatura]])))/(1-EXP(-(Tabella33[Planck h]*Tabella49[Frequency1])/(Tabella33[Boltzmann k]*Tabella820[[#This Row],[Temperatura]])))</f>
        <v>2.0942214102964201</v>
      </c>
      <c r="F27" s="1" cm="1">
        <f t="array" ref="F27">(EXP(-(Tabella33[Planck h]*Tabella49[Frequency2])/(2*Tabella33[Boltzmann k]*Tabella820[[#This Row],[Temperatura]])))/(1-EXP(-(Tabella33[Planck h]*Tabella49[Frequency2])/(Tabella33[Boltzmann k]*Tabella820[[#This Row],[Temperatura]])))</f>
        <v>0.73682504239221736</v>
      </c>
      <c r="G27" s="1" cm="1">
        <f t="array" ref="G27">(EXP(-(Tabella33[Planck h]*Tabella49[Frequency3])/(2*Tabella33[Boltzmann k]*Tabella820[[#This Row],[Temperatura]])))/(1-EXP(-(Tabella33[Planck h]*Tabella49[Frequency3])/(Tabella33[Boltzmann k]*Tabella820[[#This Row],[Temperatura]])))</f>
        <v>0.73657389317028354</v>
      </c>
      <c r="H27" s="1" cm="1">
        <f t="array" ref="H27">(EXP(-(Tabella33[Planck h]*Tabella49[Frequency4])/(2*Tabella33[Boltzmann k]*Tabella820[[#This Row],[Temperatura]])))/(1-EXP(-(Tabella33[Planck h]*Tabella49[Frequency4])/(Tabella33[Boltzmann k]*Tabella820[[#This Row],[Temperatura]])))</f>
        <v>0.26105555676048015</v>
      </c>
      <c r="I27" s="1" cm="1">
        <f t="array" ref="I27">(EXP(-(Tabella33[Planck h]*Tabella49[Frequency5])/(2*Tabella33[Boltzmann k]*Tabella820[[#This Row],[Temperatura]])))/(1-EXP(-(Tabella33[Planck h]*Tabella49[Frequency5])/(Tabella33[Boltzmann k]*Tabella820[[#This Row],[Temperatura]])))</f>
        <v>0.23844292408635531</v>
      </c>
      <c r="J27" s="1" cm="1">
        <f t="array" ref="J27">(EXP(-(Tabella33[Planck h]*Tabella49[Frequency6])/(2*Tabella33[Boltzmann k]*Tabella820[[#This Row],[Temperatura]])))/(1-EXP(-(Tabella33[Planck h]*Tabella49[Frequency6])/(Tabella33[Boltzmann k]*Tabella820[[#This Row],[Temperatura]])))</f>
        <v>0.23823053578035788</v>
      </c>
      <c r="K27" s="1">
        <f>PRODUCT(Tabella820[[#This Row],[Qvib1]:[Qvib6]])</f>
        <v>1.6854586540983693E-2</v>
      </c>
    </row>
    <row r="28" spans="1:11" x14ac:dyDescent="0.3">
      <c r="D28">
        <v>1700</v>
      </c>
      <c r="E28" s="1" cm="1">
        <f t="array" ref="E28">(EXP(-(Tabella33[Planck h]*Tabella49[Frequency1])/(2*Tabella33[Boltzmann k]*Tabella820[[#This Row],[Temperatura]])))/(1-EXP(-(Tabella33[Planck h]*Tabella49[Frequency1])/(Tabella33[Boltzmann k]*Tabella820[[#This Row],[Temperatura]])))</f>
        <v>2.2274725450007584</v>
      </c>
      <c r="F28" s="1" cm="1">
        <f t="array" ref="F28">(EXP(-(Tabella33[Planck h]*Tabella49[Frequency2])/(2*Tabella33[Boltzmann k]*Tabella820[[#This Row],[Temperatura]])))/(1-EXP(-(Tabella33[Planck h]*Tabella49[Frequency2])/(Tabella33[Boltzmann k]*Tabella820[[#This Row],[Temperatura]])))</f>
        <v>0.78875996340797372</v>
      </c>
      <c r="G28" s="1" cm="1">
        <f t="array" ref="G28">(EXP(-(Tabella33[Planck h]*Tabella49[Frequency3])/(2*Tabella33[Boltzmann k]*Tabella820[[#This Row],[Temperatura]])))/(1-EXP(-(Tabella33[Planck h]*Tabella49[Frequency3])/(Tabella33[Boltzmann k]*Tabella820[[#This Row],[Temperatura]])))</f>
        <v>0.78849458578065623</v>
      </c>
      <c r="H28" s="1" cm="1">
        <f t="array" ref="H28">(EXP(-(Tabella33[Planck h]*Tabella49[Frequency4])/(2*Tabella33[Boltzmann k]*Tabella820[[#This Row],[Temperatura]])))/(1-EXP(-(Tabella33[Planck h]*Tabella49[Frequency4])/(Tabella33[Boltzmann k]*Tabella820[[#This Row],[Temperatura]])))</f>
        <v>0.28685188255975408</v>
      </c>
      <c r="I28" s="1" cm="1">
        <f t="array" ref="I28">(EXP(-(Tabella33[Planck h]*Tabella49[Frequency5])/(2*Tabella33[Boltzmann k]*Tabella820[[#This Row],[Temperatura]])))/(1-EXP(-(Tabella33[Planck h]*Tabella49[Frequency5])/(Tabella33[Boltzmann k]*Tabella820[[#This Row],[Temperatura]])))</f>
        <v>0.26293625784723762</v>
      </c>
      <c r="J28" s="1" cm="1">
        <f t="array" ref="J28">(EXP(-(Tabella33[Planck h]*Tabella49[Frequency6])/(2*Tabella33[Boltzmann k]*Tabella820[[#This Row],[Temperatura]])))/(1-EXP(-(Tabella33[Planck h]*Tabella49[Frequency6])/(Tabella33[Boltzmann k]*Tabella820[[#This Row],[Temperatura]])))</f>
        <v>0.26271146006917639</v>
      </c>
      <c r="K28" s="1">
        <f>PRODUCT(Tabella820[[#This Row],[Qvib1]:[Qvib6]])</f>
        <v>2.7450049616113796E-2</v>
      </c>
    </row>
    <row r="29" spans="1:11" x14ac:dyDescent="0.3">
      <c r="D29">
        <v>1800</v>
      </c>
      <c r="E29" s="1" cm="1">
        <f t="array" ref="E29">(EXP(-(Tabella33[Planck h]*Tabella49[Frequency1])/(2*Tabella33[Boltzmann k]*Tabella820[[#This Row],[Temperatura]])))/(1-EXP(-(Tabella33[Planck h]*Tabella49[Frequency1])/(Tabella33[Boltzmann k]*Tabella820[[#This Row],[Temperatura]])))</f>
        <v>2.3605992796244606</v>
      </c>
      <c r="F29" s="1" cm="1">
        <f t="array" ref="F29">(EXP(-(Tabella33[Planck h]*Tabella49[Frequency2])/(2*Tabella33[Boltzmann k]*Tabella820[[#This Row],[Temperatura]])))/(1-EXP(-(Tabella33[Planck h]*Tabella49[Frequency2])/(Tabella33[Boltzmann k]*Tabella820[[#This Row],[Temperatura]])))</f>
        <v>0.84042823313439785</v>
      </c>
      <c r="G29" s="1" cm="1">
        <f t="array" ref="G29">(EXP(-(Tabella33[Planck h]*Tabella49[Frequency3])/(2*Tabella33[Boltzmann k]*Tabella820[[#This Row],[Temperatura]])))/(1-EXP(-(Tabella33[Planck h]*Tabella49[Frequency3])/(Tabella33[Boltzmann k]*Tabella820[[#This Row],[Temperatura]])))</f>
        <v>0.84014859015721055</v>
      </c>
      <c r="H29" s="1" cm="1">
        <f t="array" ref="H29">(EXP(-(Tabella33[Planck h]*Tabella49[Frequency4])/(2*Tabella33[Boltzmann k]*Tabella820[[#This Row],[Temperatura]])))/(1-EXP(-(Tabella33[Planck h]*Tabella49[Frequency4])/(Tabella33[Boltzmann k]*Tabella820[[#This Row],[Temperatura]])))</f>
        <v>0.31250125355607555</v>
      </c>
      <c r="I29" s="1" cm="1">
        <f t="array" ref="I29">(EXP(-(Tabella33[Planck h]*Tabella49[Frequency5])/(2*Tabella33[Boltzmann k]*Tabella820[[#This Row],[Temperatura]])))/(1-EXP(-(Tabella33[Planck h]*Tabella49[Frequency5])/(Tabella33[Boltzmann k]*Tabella820[[#This Row],[Temperatura]])))</f>
        <v>0.28731974288053375</v>
      </c>
      <c r="J29" s="1" cm="1">
        <f t="array" ref="J29">(EXP(-(Tabella33[Planck h]*Tabella49[Frequency6])/(2*Tabella33[Boltzmann k]*Tabella820[[#This Row],[Temperatura]])))/(1-EXP(-(Tabella33[Planck h]*Tabella49[Frequency6])/(Tabella33[Boltzmann k]*Tabella820[[#This Row],[Temperatura]])))</f>
        <v>0.28708291734267744</v>
      </c>
      <c r="K29" s="1">
        <f>PRODUCT(Tabella820[[#This Row],[Qvib1]:[Qvib6]])</f>
        <v>4.2963889462500418E-2</v>
      </c>
    </row>
    <row r="30" spans="1:11" x14ac:dyDescent="0.3">
      <c r="D30">
        <v>1900</v>
      </c>
      <c r="E30" s="1" cm="1">
        <f t="array" ref="E30">(EXP(-(Tabella33[Planck h]*Tabella49[Frequency1])/(2*Tabella33[Boltzmann k]*Tabella820[[#This Row],[Temperatura]])))/(1-EXP(-(Tabella33[Planck h]*Tabella49[Frequency1])/(Tabella33[Boltzmann k]*Tabella820[[#This Row],[Temperatura]])))</f>
        <v>2.493620855755871</v>
      </c>
      <c r="F30" s="1" cm="1">
        <f t="array" ref="F30">(EXP(-(Tabella33[Planck h]*Tabella49[Frequency2])/(2*Tabella33[Boltzmann k]*Tabella820[[#This Row],[Temperatura]])))/(1-EXP(-(Tabella33[Planck h]*Tabella49[Frequency2])/(Tabella33[Boltzmann k]*Tabella820[[#This Row],[Temperatura]])))</f>
        <v>0.8918653059763989</v>
      </c>
      <c r="G30" s="1" cm="1">
        <f t="array" ref="G30">(EXP(-(Tabella33[Planck h]*Tabella49[Frequency3])/(2*Tabella33[Boltzmann k]*Tabella820[[#This Row],[Temperatura]])))/(1-EXP(-(Tabella33[Planck h]*Tabella49[Frequency3])/(Tabella33[Boltzmann k]*Tabella820[[#This Row],[Temperatura]])))</f>
        <v>0.89157136123332648</v>
      </c>
      <c r="H30" s="1" cm="1">
        <f t="array" ref="H30">(EXP(-(Tabella33[Planck h]*Tabella49[Frequency4])/(2*Tabella33[Boltzmann k]*Tabella820[[#This Row],[Temperatura]])))/(1-EXP(-(Tabella33[Planck h]*Tabella49[Frequency4])/(Tabella33[Boltzmann k]*Tabella820[[#This Row],[Temperatura]])))</f>
        <v>0.33799021935415902</v>
      </c>
      <c r="I30" s="1" cm="1">
        <f t="array" ref="I30">(EXP(-(Tabella33[Planck h]*Tabella49[Frequency5])/(2*Tabella33[Boltzmann k]*Tabella820[[#This Row],[Temperatura]])))/(1-EXP(-(Tabella33[Planck h]*Tabella49[Frequency5])/(Tabella33[Boltzmann k]*Tabella820[[#This Row],[Temperatura]])))</f>
        <v>0.31157145453766127</v>
      </c>
      <c r="J30" s="1" cm="1">
        <f t="array" ref="J30">(EXP(-(Tabella33[Planck h]*Tabella49[Frequency6])/(2*Tabella33[Boltzmann k]*Tabella820[[#This Row],[Temperatura]])))/(1-EXP(-(Tabella33[Planck h]*Tabella49[Frequency6])/(Tabella33[Boltzmann k]*Tabella820[[#This Row],[Temperatura]])))</f>
        <v>0.31132289871257063</v>
      </c>
      <c r="K30" s="1">
        <f>PRODUCT(Tabella820[[#This Row],[Qvib1]:[Qvib6]])</f>
        <v>6.5006781049736978E-2</v>
      </c>
    </row>
    <row r="31" spans="1:11" x14ac:dyDescent="0.3">
      <c r="D31">
        <v>2000</v>
      </c>
      <c r="E31" s="1" cm="1">
        <f t="array" ref="E31">(EXP(-(Tabella33[Planck h]*Tabella49[Frequency1])/(2*Tabella33[Boltzmann k]*Tabella820[[#This Row],[Temperatura]])))/(1-EXP(-(Tabella33[Planck h]*Tabella49[Frequency1])/(Tabella33[Boltzmann k]*Tabella820[[#This Row],[Temperatura]])))</f>
        <v>2.6265527585840718</v>
      </c>
      <c r="F31" s="1" cm="1">
        <f t="array" ref="F31">(EXP(-(Tabella33[Planck h]*Tabella49[Frequency2])/(2*Tabella33[Boltzmann k]*Tabella820[[#This Row],[Temperatura]])))/(1-EXP(-(Tabella33[Planck h]*Tabella49[Frequency2])/(Tabella33[Boltzmann k]*Tabella820[[#This Row],[Temperatura]])))</f>
        <v>0.94310099319551188</v>
      </c>
      <c r="G31" s="1" cm="1">
        <f t="array" ref="G31">(EXP(-(Tabella33[Planck h]*Tabella49[Frequency3])/(2*Tabella33[Boltzmann k]*Tabella820[[#This Row],[Temperatura]])))/(1-EXP(-(Tabella33[Planck h]*Tabella49[Frequency3])/(Tabella33[Boltzmann k]*Tabella820[[#This Row],[Temperatura]])))</f>
        <v>0.94279271179399937</v>
      </c>
      <c r="H31" s="1" cm="1">
        <f t="array" ref="H31">(EXP(-(Tabella33[Planck h]*Tabella49[Frequency4])/(2*Tabella33[Boltzmann k]*Tabella820[[#This Row],[Temperatura]])))/(1-EXP(-(Tabella33[Planck h]*Tabella49[Frequency4])/(Tabella33[Boltzmann k]*Tabella820[[#This Row],[Temperatura]])))</f>
        <v>0.36331405170093245</v>
      </c>
      <c r="I31" s="1" cm="1">
        <f t="array" ref="I31">(EXP(-(Tabella33[Planck h]*Tabella49[Frequency5])/(2*Tabella33[Boltzmann k]*Tabella820[[#This Row],[Temperatura]])))/(1-EXP(-(Tabella33[Planck h]*Tabella49[Frequency5])/(Tabella33[Boltzmann k]*Tabella820[[#This Row],[Temperatura]])))</f>
        <v>0.33567999386481678</v>
      </c>
      <c r="J31" s="1" cm="1">
        <f t="array" ref="J31">(EXP(-(Tabella33[Planck h]*Tabella49[Frequency6])/(2*Tabella33[Boltzmann k]*Tabella820[[#This Row],[Temperatura]])))/(1-EXP(-(Tabella33[Planck h]*Tabella49[Frequency6])/(Tabella33[Boltzmann k]*Tabella820[[#This Row],[Temperatura]])))</f>
        <v>0.3354199382705686</v>
      </c>
      <c r="K31" s="1">
        <f>PRODUCT(Tabella820[[#This Row],[Qvib1]:[Qvib6]])</f>
        <v>9.5533805090806626E-2</v>
      </c>
    </row>
    <row r="37" spans="1:12" x14ac:dyDescent="0.3">
      <c r="A37" t="s">
        <v>4</v>
      </c>
      <c r="B37" t="s">
        <v>19</v>
      </c>
      <c r="C37" t="s">
        <v>5</v>
      </c>
      <c r="D37" t="s">
        <v>6</v>
      </c>
      <c r="E37" t="s">
        <v>7</v>
      </c>
      <c r="F37" t="s">
        <v>8</v>
      </c>
      <c r="G37" t="s">
        <v>48</v>
      </c>
    </row>
    <row r="38" spans="1:12" x14ac:dyDescent="0.3">
      <c r="A38">
        <v>298</v>
      </c>
      <c r="B38" s="1" cm="1">
        <f t="array" ref="B38">(Tabella33[Boltzmann k]*Tabella518[[#This Row],[Temperatura]])/101325</f>
        <v>4.0605319713792254E-26</v>
      </c>
      <c r="C38" s="1" cm="1">
        <f t="array" ref="C38">POWER((2*Tabella33[Pi Greco]*Tabella33[Massa]*Tabella33[Boltzmann k]*Tabella518[[#This Row],[Temperatura]])/(POWER(Tabella33[Planck h],2)),1.5)*Tabella518[[#This Row],[Volume]]</f>
        <v>2288500.0102851908</v>
      </c>
      <c r="D38">
        <f t="shared" ref="D38:D55" si="0">PRODUCT(E14:J14)</f>
        <v>2.0605687274281058E-14</v>
      </c>
      <c r="E38" s="1" cm="1">
        <f t="array" ref="E38">(8*POWER(Tabella33[Pi Greco],2)*POWER(2*Tabella33[Pi Greco]*Tabella33[Boltzmann k]*Tabella518[[#This Row],[Temperatura]],1.5)*Tabella1[Total Moment of Inertia])/(Tabella619[Simmetry Number]*POWER(Tabella33[Planck h],3))</f>
        <v>254.63747962552907</v>
      </c>
      <c r="F38">
        <f>2</f>
        <v>2</v>
      </c>
      <c r="G38" s="1">
        <f>PRODUCT(Tabella518[[#This Row],[Qtrasl]:[Qel]])</f>
        <v>2.4015428819626394E-5</v>
      </c>
    </row>
    <row r="39" spans="1:12" x14ac:dyDescent="0.3">
      <c r="A39">
        <v>400</v>
      </c>
      <c r="B39" s="1" cm="1">
        <f t="array" ref="B39">(Tabella33[Boltzmann k]*Tabella518[[#This Row],[Temperatura]])/101325</f>
        <v>5.4503784850727862E-26</v>
      </c>
      <c r="C39" s="1" cm="1">
        <f t="array" ref="C39">POWER((2*Tabella33[Pi Greco]*Tabella33[Massa]*Tabella33[Boltzmann k]*Tabella518[[#This Row],[Temperatura]])/(POWER(Tabella33[Planck h],2)),1.5)*Tabella518[[#This Row],[Volume]]</f>
        <v>4777054.94873532</v>
      </c>
      <c r="D39">
        <f t="shared" si="0"/>
        <v>7.1286922782730874E-11</v>
      </c>
      <c r="E39" s="1" cm="1">
        <f t="array" ref="E39">(8*POWER(Tabella33[Pi Greco],2)*POWER(2*Tabella33[Pi Greco]*Tabella33[Boltzmann k]*Tabella518[[#This Row],[Temperatura]],1.5)*Tabella1[Total Moment of Inertia])/(Tabella619[Simmetry Number]*POWER(Tabella33[Planck h],3))</f>
        <v>395.9933729081086</v>
      </c>
      <c r="F39">
        <f>2</f>
        <v>2</v>
      </c>
      <c r="G39" s="1">
        <f>PRODUCT(Tabella518[[#This Row],[Qtrasl]:[Qel]])</f>
        <v>0.26970439182915784</v>
      </c>
      <c r="I39" t="s">
        <v>34</v>
      </c>
      <c r="J39" t="s">
        <v>35</v>
      </c>
      <c r="K39" t="s">
        <v>36</v>
      </c>
      <c r="L39" s="16" t="s">
        <v>37</v>
      </c>
    </row>
    <row r="40" spans="1:12" x14ac:dyDescent="0.3">
      <c r="A40">
        <v>500</v>
      </c>
      <c r="B40" s="1" cm="1">
        <f t="array" ref="B40">(Tabella33[Boltzmann k]*Tabella518[[#This Row],[Temperatura]])/101325</f>
        <v>6.8129731063409828E-26</v>
      </c>
      <c r="C40" s="1" cm="1">
        <f t="array" ref="C40">POWER((2*Tabella33[Pi Greco]*Tabella33[Massa]*Tabella33[Boltzmann k]*Tabella518[[#This Row],[Temperatura]])/(POWER(Tabella33[Planck h],2)),1.5)*Tabella518[[#This Row],[Volume]]</f>
        <v>8345171.5606436394</v>
      </c>
      <c r="D40">
        <f t="shared" si="0"/>
        <v>8.798400421867837E-9</v>
      </c>
      <c r="E40" s="1" cm="1">
        <f t="array" ref="E40">(8*POWER(Tabella33[Pi Greco],2)*POWER(2*Tabella33[Pi Greco]*Tabella33[Boltzmann k]*Tabella518[[#This Row],[Temperatura]],1.5)*Tabella1[Total Moment of Inertia])/(Tabella619[Simmetry Number]*POWER(Tabella33[Planck h],3))</f>
        <v>553.41756278871685</v>
      </c>
      <c r="F40">
        <f>2</f>
        <v>2</v>
      </c>
      <c r="G40" s="1">
        <f>PRODUCT(Tabella518[[#This Row],[Qtrasl]:[Qel]])</f>
        <v>81.268440438413251</v>
      </c>
      <c r="I40" t="s">
        <v>5</v>
      </c>
      <c r="J40" s="1">
        <f>C38</f>
        <v>2288500.0102851908</v>
      </c>
      <c r="K40" s="1">
        <v>2288820</v>
      </c>
      <c r="L40" s="17">
        <f>ABS(Tabella20[[#This Row],[My value]]-Tabella20[[#This Row],[Gaussian]])/Tabella20[[#This Row],[Gaussian]]</f>
        <v>1.3980553945230632E-4</v>
      </c>
    </row>
    <row r="41" spans="1:12" x14ac:dyDescent="0.3">
      <c r="A41">
        <v>600</v>
      </c>
      <c r="B41" s="1" cm="1">
        <f t="array" ref="B41">(Tabella33[Boltzmann k]*Tabella518[[#This Row],[Temperatura]])/101325</f>
        <v>8.1755677276091782E-26</v>
      </c>
      <c r="C41" s="1" cm="1">
        <f t="array" ref="C41">POWER((2*Tabella33[Pi Greco]*Tabella33[Massa]*Tabella33[Boltzmann k]*Tabella518[[#This Row],[Temperatura]])/(POWER(Tabella33[Planck h],2)),1.5)*Tabella518[[#This Row],[Volume]]</f>
        <v>13164015.484843737</v>
      </c>
      <c r="D41">
        <f t="shared" si="0"/>
        <v>2.2879832608550541E-7</v>
      </c>
      <c r="E41" s="1" cm="1">
        <f t="array" ref="E41">(8*POWER(Tabella33[Pi Greco],2)*POWER(2*Tabella33[Pi Greco]*Tabella33[Boltzmann k]*Tabella518[[#This Row],[Temperatura]],1.5)*Tabella1[Total Moment of Inertia])/(Tabella619[Simmetry Number]*POWER(Tabella33[Planck h],3))</f>
        <v>727.48627886139002</v>
      </c>
      <c r="F41">
        <f>2</f>
        <v>2</v>
      </c>
      <c r="G41" s="1">
        <f>PRODUCT(Tabella518[[#This Row],[Qtrasl]:[Qel]])</f>
        <v>4382.23869588262</v>
      </c>
      <c r="I41" t="s">
        <v>6</v>
      </c>
      <c r="J41">
        <f>D38</f>
        <v>2.0605687274281058E-14</v>
      </c>
      <c r="K41" s="1">
        <v>2.09403E-14</v>
      </c>
      <c r="L41" s="15">
        <f>ABS(Tabella20[[#This Row],[My value]]-Tabella20[[#This Row],[Gaussian]])/Tabella20[[#This Row],[Gaussian]]</f>
        <v>1.5979366375789335E-2</v>
      </c>
    </row>
    <row r="42" spans="1:12" x14ac:dyDescent="0.3">
      <c r="A42">
        <v>700</v>
      </c>
      <c r="B42" s="1" cm="1">
        <f t="array" ref="B42">(Tabella33[Boltzmann k]*Tabella518[[#This Row],[Temperatura]])/101325</f>
        <v>9.5381623488773759E-26</v>
      </c>
      <c r="C42" s="1" cm="1">
        <f t="array" ref="C42">POWER((2*Tabella33[Pi Greco]*Tabella33[Massa]*Tabella33[Boltzmann k]*Tabella518[[#This Row],[Temperatura]])/(POWER(Tabella33[Planck h],2)),1.5)*Tabella518[[#This Row],[Volume]]</f>
        <v>19353314.696517352</v>
      </c>
      <c r="D42">
        <f t="shared" si="0"/>
        <v>2.4469867458679578E-6</v>
      </c>
      <c r="E42" s="1" cm="1">
        <f t="array" ref="E42">(8*POWER(Tabella33[Pi Greco],2)*POWER(2*Tabella33[Pi Greco]*Tabella33[Boltzmann k]*Tabella518[[#This Row],[Temperatura]],1.5)*Tabella1[Total Moment of Inertia])/(Tabella619[Simmetry Number]*POWER(Tabella33[Planck h],3))</f>
        <v>916.73748735144727</v>
      </c>
      <c r="F42">
        <f>2</f>
        <v>2</v>
      </c>
      <c r="G42" s="1">
        <f>PRODUCT(Tabella518[[#This Row],[Qtrasl]:[Qel]])</f>
        <v>86828.432763622783</v>
      </c>
      <c r="I42" t="s">
        <v>7</v>
      </c>
      <c r="J42" s="1">
        <f>E38</f>
        <v>254.63747962552907</v>
      </c>
      <c r="K42" s="1">
        <v>254.83</v>
      </c>
      <c r="L42" s="17">
        <f>ABS(Tabella20[[#This Row],[My value]]-Tabella20[[#This Row],[Gaussian]])/Tabella20[[#This Row],[Gaussian]]</f>
        <v>7.5548551768216045E-4</v>
      </c>
    </row>
    <row r="43" spans="1:12" x14ac:dyDescent="0.3">
      <c r="A43">
        <v>800</v>
      </c>
      <c r="B43" s="1" cm="1">
        <f t="array" ref="B43">(Tabella33[Boltzmann k]*Tabella518[[#This Row],[Temperatura]])/101325</f>
        <v>1.0900756970145572E-25</v>
      </c>
      <c r="C43" s="1" cm="1">
        <f t="array" ref="C43">POWER((2*Tabella33[Pi Greco]*Tabella33[Massa]*Tabella33[Boltzmann k]*Tabella518[[#This Row],[Temperatura]])/(POWER(Tabella33[Planck h],2)),1.5)*Tabella518[[#This Row],[Volume]]</f>
        <v>27023103.586812075</v>
      </c>
      <c r="D43">
        <f t="shared" si="0"/>
        <v>1.5027782214972769E-5</v>
      </c>
      <c r="E43" s="1" cm="1">
        <f t="array" ref="E43">(8*POWER(Tabella33[Pi Greco],2)*POWER(2*Tabella33[Pi Greco]*Tabella33[Boltzmann k]*Tabella518[[#This Row],[Temperatura]],1.5)*Tabella1[Total Moment of Inertia])/(Tabella619[Simmetry Number]*POWER(Tabella33[Planck h],3))</f>
        <v>1120.0383971530148</v>
      </c>
      <c r="F43">
        <f>2</f>
        <v>2</v>
      </c>
      <c r="G43" s="1">
        <f>PRODUCT(Tabella518[[#This Row],[Qtrasl]:[Qel]])</f>
        <v>909689.17262610781</v>
      </c>
      <c r="I43" t="s">
        <v>8</v>
      </c>
      <c r="J43">
        <f>F38</f>
        <v>2</v>
      </c>
      <c r="K43">
        <v>2</v>
      </c>
      <c r="L43" s="1">
        <f>ABS(Tabella20[[#This Row],[My value]]-Tabella20[[#This Row],[Gaussian]])/Tabella20[[#This Row],[Gaussian]]</f>
        <v>0</v>
      </c>
    </row>
    <row r="44" spans="1:12" x14ac:dyDescent="0.3">
      <c r="A44">
        <v>900</v>
      </c>
      <c r="B44" s="1" cm="1">
        <f t="array" ref="B44">(Tabella33[Boltzmann k]*Tabella518[[#This Row],[Temperatura]])/101325</f>
        <v>1.2263351591413768E-25</v>
      </c>
      <c r="C44" s="1" cm="1">
        <f t="array" ref="C44">POWER((2*Tabella33[Pi Greco]*Tabella33[Massa]*Tabella33[Boltzmann k]*Tabella518[[#This Row],[Temperatura]])/(POWER(Tabella33[Planck h],2)),1.5)*Tabella518[[#This Row],[Volume]]</f>
        <v>36275761.016958892</v>
      </c>
      <c r="D44">
        <f t="shared" si="0"/>
        <v>6.3772247603799441E-5</v>
      </c>
      <c r="E44" s="1" cm="1">
        <f t="array" ref="E44">(8*POWER(Tabella33[Pi Greco],2)*POWER(2*Tabella33[Pi Greco]*Tabella33[Boltzmann k]*Tabella518[[#This Row],[Temperatura]],1.5)*Tabella1[Total Moment of Inertia])/(Tabella619[Simmetry Number]*POWER(Tabella33[Planck h],3))</f>
        <v>1336.4776335648498</v>
      </c>
      <c r="F44">
        <f>2</f>
        <v>2</v>
      </c>
      <c r="G44" s="1">
        <f>PRODUCT(Tabella518[[#This Row],[Qtrasl]:[Qel]])</f>
        <v>6183579.468293136</v>
      </c>
    </row>
    <row r="45" spans="1:12" x14ac:dyDescent="0.3">
      <c r="A45">
        <v>1000</v>
      </c>
      <c r="B45" s="1" cm="1">
        <f t="array" ref="B45">(Tabella33[Boltzmann k]*Tabella518[[#This Row],[Temperatura]])/101325</f>
        <v>1.3625946212681966E-25</v>
      </c>
      <c r="C45" s="1" cm="1">
        <f t="array" ref="C45">POWER((2*Tabella33[Pi Greco]*Tabella33[Massa]*Tabella33[Boltzmann k]*Tabella518[[#This Row],[Temperatura]])/(POWER(Tabella33[Planck h],2)),1.5)*Tabella518[[#This Row],[Volume]]</f>
        <v>47207419.205570064</v>
      </c>
      <c r="D45">
        <f t="shared" si="0"/>
        <v>2.0892355199216467E-4</v>
      </c>
      <c r="E45" s="1" cm="1">
        <f t="array" ref="E45">(8*POWER(Tabella33[Pi Greco],2)*POWER(2*Tabella33[Pi Greco]*Tabella33[Boltzmann k]*Tabella518[[#This Row],[Temperatura]],1.5)*Tabella1[Total Moment of Inertia])/(Tabella619[Simmetry Number]*POWER(Tabella33[Planck h],3))</f>
        <v>1565.3012459025167</v>
      </c>
      <c r="F45">
        <f>2</f>
        <v>2</v>
      </c>
      <c r="G45" s="1">
        <f>PRODUCT(Tabella518[[#This Row],[Qtrasl]:[Qel]])</f>
        <v>30876323.744587798</v>
      </c>
    </row>
    <row r="46" spans="1:12" x14ac:dyDescent="0.3">
      <c r="A46">
        <v>1100</v>
      </c>
      <c r="B46" s="1" cm="1">
        <f t="array" ref="B46">(Tabella33[Boltzmann k]*Tabella518[[#This Row],[Temperatura]])/101325</f>
        <v>1.4988540833950161E-25</v>
      </c>
      <c r="C46" s="1" cm="1">
        <f t="array" ref="C46">POWER((2*Tabella33[Pi Greco]*Tabella33[Massa]*Tabella33[Boltzmann k]*Tabella518[[#This Row],[Temperatura]])/(POWER(Tabella33[Planck h],2)),1.5)*Tabella518[[#This Row],[Volume]]</f>
        <v>59908986.344115637</v>
      </c>
      <c r="D46">
        <f t="shared" si="0"/>
        <v>5.6693515820501633E-4</v>
      </c>
      <c r="E46" s="1" cm="1">
        <f t="array" ref="E46">(8*POWER(Tabella33[Pi Greco],2)*POWER(2*Tabella33[Pi Greco]*Tabella33[Boltzmann k]*Tabella518[[#This Row],[Temperatura]],1.5)*Tabella1[Total Moment of Inertia])/(Tabella619[Simmetry Number]*POWER(Tabella33[Planck h],3))</f>
        <v>1805.8719764297659</v>
      </c>
      <c r="F46">
        <f>2</f>
        <v>2</v>
      </c>
      <c r="G46" s="1">
        <f>PRODUCT(Tabella518[[#This Row],[Qtrasl]:[Qel]])</f>
        <v>122671115.9552334</v>
      </c>
    </row>
    <row r="47" spans="1:12" x14ac:dyDescent="0.3">
      <c r="A47">
        <v>1200</v>
      </c>
      <c r="B47" s="1" cm="1">
        <f t="array" ref="B47">(Tabella33[Boltzmann k]*Tabella518[[#This Row],[Temperatura]])/101325</f>
        <v>1.6351135455218356E-25</v>
      </c>
      <c r="C47" s="1" cm="1">
        <f t="array" ref="C47">POWER((2*Tabella33[Pi Greco]*Tabella33[Massa]*Tabella33[Boltzmann k]*Tabella518[[#This Row],[Temperatura]])/(POWER(Tabella33[Planck h],2)),1.5)*Tabella518[[#This Row],[Volume]]</f>
        <v>74466916.93582201</v>
      </c>
      <c r="D47">
        <f t="shared" si="0"/>
        <v>1.3353586392031371E-3</v>
      </c>
      <c r="E47" s="1" cm="1">
        <f t="array" ref="E47">(8*POWER(Tabella33[Pi Greco],2)*POWER(2*Tabella33[Pi Greco]*Tabella33[Boltzmann k]*Tabella518[[#This Row],[Temperatura]],1.5)*Tabella1[Total Moment of Inertia])/(Tabella619[Simmetry Number]*POWER(Tabella33[Planck h],3))</f>
        <v>2057.6419240122323</v>
      </c>
      <c r="F47">
        <f>2</f>
        <v>2</v>
      </c>
      <c r="G47" s="1">
        <f>PRODUCT(Tabella518[[#This Row],[Qtrasl]:[Qel]])</f>
        <v>409223994.01892483</v>
      </c>
    </row>
    <row r="48" spans="1:12" x14ac:dyDescent="0.3">
      <c r="A48">
        <v>1300</v>
      </c>
      <c r="B48" s="1" cm="1">
        <f t="array" ref="B48">(Tabella33[Boltzmann k]*Tabella518[[#This Row],[Temperatura]])/101325</f>
        <v>1.7713730076486554E-25</v>
      </c>
      <c r="C48" s="1" cm="1">
        <f t="array" ref="C48">POWER((2*Tabella33[Pi Greco]*Tabella33[Massa]*Tabella33[Boltzmann k]*Tabella518[[#This Row],[Temperatura]])/(POWER(Tabella33[Planck h],2)),1.5)*Tabella518[[#This Row],[Volume]]</f>
        <v>90963809.350319713</v>
      </c>
      <c r="D48">
        <f t="shared" si="0"/>
        <v>2.8197694180697825E-3</v>
      </c>
      <c r="E48" s="1" cm="1">
        <f t="array" ref="E48">(8*POWER(Tabella33[Pi Greco],2)*POWER(2*Tabella33[Pi Greco]*Tabella33[Boltzmann k]*Tabella518[[#This Row],[Temperatura]],1.5)*Tabella1[Total Moment of Inertia])/(Tabella619[Simmetry Number]*POWER(Tabella33[Planck h],3))</f>
        <v>2320.1334174916528</v>
      </c>
      <c r="F48">
        <f>2</f>
        <v>2</v>
      </c>
      <c r="G48" s="1">
        <f>PRODUCT(Tabella518[[#This Row],[Qtrasl]:[Qel]])</f>
        <v>1190214372.7573395</v>
      </c>
    </row>
    <row r="49" spans="1:7" x14ac:dyDescent="0.3">
      <c r="A49">
        <v>1400</v>
      </c>
      <c r="B49" s="1" cm="1">
        <f t="array" ref="B49">(Tabella33[Boltzmann k]*Tabella518[[#This Row],[Temperatura]])/101325</f>
        <v>1.9076324697754752E-25</v>
      </c>
      <c r="C49" s="1" cm="1">
        <f t="array" ref="C49">POWER((2*Tabella33[Pi Greco]*Tabella33[Massa]*Tabella33[Boltzmann k]*Tabella518[[#This Row],[Temperatura]])/(POWER(Tabella33[Planck h],2)),1.5)*Tabella518[[#This Row],[Volume]]</f>
        <v>109478880.48275782</v>
      </c>
      <c r="D49">
        <f t="shared" si="0"/>
        <v>5.4622773307018155E-3</v>
      </c>
      <c r="E49" s="1" cm="1">
        <f t="array" ref="E49">(8*POWER(Tabella33[Pi Greco],2)*POWER(2*Tabella33[Pi Greco]*Tabella33[Boltzmann k]*Tabella518[[#This Row],[Temperatura]],1.5)*Tabella1[Total Moment of Inertia])/(Tabella619[Simmetry Number]*POWER(Tabella33[Planck h],3))</f>
        <v>2592.9251754965085</v>
      </c>
      <c r="F49">
        <f>2</f>
        <v>2</v>
      </c>
      <c r="G49" s="1">
        <f>PRODUCT(Tabella518[[#This Row],[Qtrasl]:[Qel]])</f>
        <v>3101159289.8636746</v>
      </c>
    </row>
    <row r="50" spans="1:7" x14ac:dyDescent="0.3">
      <c r="A50">
        <v>1500</v>
      </c>
      <c r="B50" s="1" cm="1">
        <f t="array" ref="B50">(Tabella33[Boltzmann k]*Tabella518[[#This Row],[Temperatura]])/101325</f>
        <v>2.0438919319022949E-25</v>
      </c>
      <c r="C50" s="1" cm="1">
        <f t="array" ref="C50">POWER((2*Tabella33[Pi Greco]*Tabella33[Massa]*Tabella33[Boltzmann k]*Tabella518[[#This Row],[Temperatura]])/(POWER(Tabella33[Planck h],2)),1.5)*Tabella518[[#This Row],[Volume]]</f>
        <v>130088350.26822418</v>
      </c>
      <c r="D50">
        <f t="shared" si="0"/>
        <v>9.8715668325700719E-3</v>
      </c>
      <c r="E50" s="1" cm="1">
        <f t="array" ref="E50">(8*POWER(Tabella33[Pi Greco],2)*POWER(2*Tabella33[Pi Greco]*Tabella33[Boltzmann k]*Tabella518[[#This Row],[Temperatura]],1.5)*Tabella1[Total Moment of Inertia])/(Tabella619[Simmetry Number]*POWER(Tabella33[Planck h],3))</f>
        <v>2875.6420096529805</v>
      </c>
      <c r="F50">
        <f>2</f>
        <v>2</v>
      </c>
      <c r="G50" s="1">
        <f>PRODUCT(Tabella518[[#This Row],[Qtrasl]:[Qel]])</f>
        <v>7385660008.4921713</v>
      </c>
    </row>
    <row r="51" spans="1:7" x14ac:dyDescent="0.3">
      <c r="A51">
        <v>1600</v>
      </c>
      <c r="B51" s="1" cm="1">
        <f t="array" ref="B51">(Tabella33[Boltzmann k]*Tabella518[[#This Row],[Temperatura]])/101325</f>
        <v>2.1801513940291145E-25</v>
      </c>
      <c r="C51" s="1" cm="1">
        <f t="array" ref="C51">POWER((2*Tabella33[Pi Greco]*Tabella33[Massa]*Tabella33[Boltzmann k]*Tabella518[[#This Row],[Temperatura]])/(POWER(Tabella33[Planck h],2)),1.5)*Tabella518[[#This Row],[Volume]]</f>
        <v>152865758.35953107</v>
      </c>
      <c r="D51">
        <f t="shared" si="0"/>
        <v>1.6854586540983693E-2</v>
      </c>
      <c r="E51" s="1" cm="1">
        <f t="array" ref="E51">(8*POWER(Tabella33[Pi Greco],2)*POWER(2*Tabella33[Pi Greco]*Tabella33[Boltzmann k]*Tabella518[[#This Row],[Temperatura]],1.5)*Tabella1[Total Moment of Inertia])/(Tabella619[Simmetry Number]*POWER(Tabella33[Planck h],3))</f>
        <v>3167.9469832648419</v>
      </c>
      <c r="F51">
        <f>2</f>
        <v>2</v>
      </c>
      <c r="G51" s="1">
        <f>PRODUCT(Tabella518[[#This Row],[Qtrasl]:[Qel]])</f>
        <v>16324362082.007141</v>
      </c>
    </row>
    <row r="52" spans="1:7" x14ac:dyDescent="0.3">
      <c r="A52">
        <v>1700</v>
      </c>
      <c r="B52" s="1" cm="1">
        <f t="array" ref="B52">(Tabella33[Boltzmann k]*Tabella518[[#This Row],[Temperatura]])/101325</f>
        <v>2.316410856155934E-25</v>
      </c>
      <c r="C52" s="1" cm="1">
        <f t="array" ref="C52">POWER((2*Tabella33[Pi Greco]*Tabella33[Massa]*Tabella33[Boltzmann k]*Tabella518[[#This Row],[Temperatura]])/(POWER(Tabella33[Planck h],2)),1.5)*Tabella518[[#This Row],[Volume]]</f>
        <v>177882228.63879403</v>
      </c>
      <c r="D52">
        <f t="shared" si="0"/>
        <v>2.7450049616113796E-2</v>
      </c>
      <c r="E52" s="1" cm="1">
        <f t="array" ref="E52">(8*POWER(Tabella33[Pi Greco],2)*POWER(2*Tabella33[Pi Greco]*Tabella33[Boltzmann k]*Tabella518[[#This Row],[Temperatura]],1.5)*Tabella1[Total Moment of Inertia])/(Tabella619[Simmetry Number]*POWER(Tabella33[Planck h],3))</f>
        <v>3469.5353200325562</v>
      </c>
      <c r="F52">
        <f>2</f>
        <v>2</v>
      </c>
      <c r="G52" s="1">
        <f>PRODUCT(Tabella518[[#This Row],[Qtrasl]:[Qel]])</f>
        <v>33882621504.277733</v>
      </c>
    </row>
    <row r="53" spans="1:7" x14ac:dyDescent="0.3">
      <c r="A53">
        <v>1800</v>
      </c>
      <c r="B53" s="1" cm="1">
        <f t="array" ref="B53">(Tabella33[Boltzmann k]*Tabella518[[#This Row],[Temperatura]])/101325</f>
        <v>2.4526703182827536E-25</v>
      </c>
      <c r="C53" s="1" cm="1">
        <f t="array" ref="C53">POWER((2*Tabella33[Pi Greco]*Tabella33[Massa]*Tabella33[Boltzmann k]*Tabella518[[#This Row],[Temperatura]])/(POWER(Tabella33[Planck h],2)),1.5)*Tabella518[[#This Row],[Volume]]</f>
        <v>205206692.86235452</v>
      </c>
      <c r="D53">
        <f t="shared" si="0"/>
        <v>4.2963889462500418E-2</v>
      </c>
      <c r="E53" s="1" cm="1">
        <f t="array" ref="E53">(8*POWER(Tabella33[Pi Greco],2)*POWER(2*Tabella33[Pi Greco]*Tabella33[Boltzmann k]*Tabella518[[#This Row],[Temperatura]],1.5)*Tabella1[Total Moment of Inertia])/(Tabella619[Simmetry Number]*POWER(Tabella33[Planck h],3))</f>
        <v>3780.1295903914311</v>
      </c>
      <c r="F53">
        <f>2</f>
        <v>2</v>
      </c>
      <c r="G53" s="1">
        <f>PRODUCT(Tabella518[[#This Row],[Qtrasl]:[Qel]])</f>
        <v>66654856240.006622</v>
      </c>
    </row>
    <row r="54" spans="1:7" x14ac:dyDescent="0.3">
      <c r="A54">
        <v>1900</v>
      </c>
      <c r="B54" s="1" cm="1">
        <f t="array" ref="B54">(Tabella33[Boltzmann k]*Tabella518[[#This Row],[Temperatura]])/101325</f>
        <v>2.5889297804095731E-25</v>
      </c>
      <c r="C54" s="1" cm="1">
        <f t="array" ref="C54">POWER((2*Tabella33[Pi Greco]*Tabella33[Massa]*Tabella33[Boltzmann k]*Tabella518[[#This Row],[Temperatura]])/(POWER(Tabella33[Planck h],2)),1.5)*Tabella518[[#This Row],[Volume]]</f>
        <v>234906081.77216735</v>
      </c>
      <c r="D54">
        <f t="shared" si="0"/>
        <v>6.5006781049736978E-2</v>
      </c>
      <c r="E54" s="1" cm="1">
        <f t="array" ref="E54">(8*POWER(Tabella33[Pi Greco],2)*POWER(2*Tabella33[Pi Greco]*Tabella33[Boltzmann k]*Tabella518[[#This Row],[Temperatura]],1.5)*Tabella1[Total Moment of Inertia])/(Tabella619[Simmetry Number]*POWER(Tabella33[Planck h],3))</f>
        <v>4099.4758501933466</v>
      </c>
      <c r="F54">
        <f>2</f>
        <v>2</v>
      </c>
      <c r="G54" s="1">
        <f>PRODUCT(Tabella518[[#This Row],[Qtrasl]:[Qel]])</f>
        <v>125201995398.22084</v>
      </c>
    </row>
    <row r="55" spans="1:7" x14ac:dyDescent="0.3">
      <c r="A55">
        <v>2000</v>
      </c>
      <c r="B55" s="1" cm="1">
        <f t="array" ref="B55">(Tabella33[Boltzmann k]*Tabella518[[#This Row],[Temperatura]])/101325</f>
        <v>2.7251892425363931E-25</v>
      </c>
      <c r="C55" s="1" cm="1">
        <f t="array" ref="C55">POWER((2*Tabella33[Pi Greco]*Tabella33[Massa]*Tabella33[Boltzmann k]*Tabella518[[#This Row],[Temperatura]])/(POWER(Tabella33[Planck h],2)),1.5)*Tabella518[[#This Row],[Volume]]</f>
        <v>267045489.94059795</v>
      </c>
      <c r="D55">
        <f t="shared" si="0"/>
        <v>9.5533805090806626E-2</v>
      </c>
      <c r="E55" s="1" cm="1">
        <f t="array" ref="E55">(8*POWER(Tabella33[Pi Greco],2)*POWER(2*Tabella33[Pi Greco]*Tabella33[Boltzmann k]*Tabella518[[#This Row],[Temperatura]],1.5)*Tabella1[Total Moment of Inertia])/(Tabella619[Simmetry Number]*POWER(Tabella33[Planck h],3))</f>
        <v>4427.3405023096966</v>
      </c>
      <c r="F55">
        <f>2</f>
        <v>2</v>
      </c>
      <c r="G55" s="1">
        <f>PRODUCT(Tabella518[[#This Row],[Qtrasl]:[Qel]])</f>
        <v>225899486499.00314</v>
      </c>
    </row>
    <row r="64" spans="1:7" x14ac:dyDescent="0.3">
      <c r="A64" s="5"/>
      <c r="B64" s="5"/>
      <c r="C64" s="5"/>
      <c r="D64" s="5"/>
      <c r="F64" s="5"/>
      <c r="G64" s="5"/>
    </row>
    <row r="65" spans="1:22" x14ac:dyDescent="0.3">
      <c r="A65" s="3"/>
      <c r="C65" s="1"/>
      <c r="D65" s="1"/>
      <c r="F65" s="3"/>
      <c r="G65" s="18"/>
      <c r="I65" s="2"/>
      <c r="J65" s="8"/>
      <c r="M65" s="8"/>
      <c r="N65" s="8"/>
      <c r="O65" s="1"/>
      <c r="P65" s="1"/>
      <c r="Q65" s="1"/>
      <c r="R65" s="1"/>
      <c r="S65" s="1"/>
      <c r="T65" s="1"/>
      <c r="U65" s="1"/>
    </row>
    <row r="66" spans="1:22" x14ac:dyDescent="0.3">
      <c r="A66" s="3"/>
      <c r="C66" s="1"/>
      <c r="D66" s="1"/>
      <c r="F66" s="3"/>
      <c r="G66" s="18"/>
      <c r="I66" s="2"/>
      <c r="J66" s="6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1:22" x14ac:dyDescent="0.3">
      <c r="A67" s="3"/>
      <c r="C67" s="1"/>
      <c r="D67" s="1"/>
      <c r="F67" s="3"/>
      <c r="G67" s="18"/>
      <c r="I67" s="2"/>
      <c r="J67" s="6"/>
      <c r="L67" s="9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3">
      <c r="A68" s="3"/>
      <c r="C68" s="1"/>
      <c r="D68" s="1"/>
      <c r="F68" s="3"/>
      <c r="G68" s="18"/>
      <c r="I68" s="2"/>
      <c r="J68" s="6"/>
      <c r="L68" s="9"/>
      <c r="M68" s="1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3">
      <c r="A69" s="3"/>
      <c r="C69" s="1"/>
      <c r="D69" s="1"/>
      <c r="F69" s="3"/>
      <c r="G69" s="18"/>
      <c r="I69" s="2"/>
      <c r="J69" s="6"/>
      <c r="L69" s="9"/>
      <c r="M69" s="1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3">
      <c r="A70" s="3"/>
      <c r="C70" s="1"/>
      <c r="D70" s="1"/>
      <c r="F70" s="3"/>
      <c r="G70" s="18"/>
      <c r="I70" s="2"/>
      <c r="J70" s="6"/>
      <c r="L70" s="9"/>
      <c r="M70" s="1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3">
      <c r="A71" s="3"/>
      <c r="C71" s="1"/>
      <c r="D71" s="1"/>
      <c r="F71" s="3"/>
      <c r="G71" s="18"/>
      <c r="I71" s="2"/>
      <c r="J71" s="6"/>
      <c r="L71" s="9"/>
      <c r="M71" s="1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3">
      <c r="A72" s="3"/>
      <c r="C72" s="1"/>
      <c r="D72" s="1"/>
      <c r="F72" s="3"/>
      <c r="G72" s="18"/>
      <c r="I72" s="2"/>
      <c r="J72" s="6"/>
      <c r="L72" s="9"/>
      <c r="M72" s="1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3">
      <c r="A73" s="3"/>
      <c r="C73" s="1"/>
      <c r="D73" s="1"/>
      <c r="F73" s="3"/>
      <c r="G73" s="18"/>
      <c r="I73" s="2"/>
      <c r="J73" s="7"/>
      <c r="L73" s="9"/>
      <c r="M73" s="1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3">
      <c r="A74" s="3"/>
      <c r="C74" s="1"/>
      <c r="D74" s="1"/>
      <c r="F74" s="3"/>
      <c r="G74" s="18"/>
      <c r="L74" s="9"/>
      <c r="M74" s="1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3">
      <c r="A75" s="3"/>
      <c r="C75" s="1"/>
      <c r="D75" s="1"/>
      <c r="F75" s="3"/>
      <c r="G75" s="18"/>
      <c r="L75" s="9"/>
      <c r="M75" s="1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3">
      <c r="A76" s="3"/>
      <c r="C76" s="1"/>
      <c r="D76" s="1"/>
      <c r="F76" s="3"/>
      <c r="G76" s="18"/>
      <c r="L76" s="9"/>
      <c r="M76" s="1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3">
      <c r="A77" s="3"/>
      <c r="C77" s="1"/>
      <c r="D77" s="1"/>
      <c r="F77" s="3"/>
      <c r="G77" s="18"/>
      <c r="L77" s="9"/>
      <c r="M77" s="1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3">
      <c r="A78" s="3"/>
      <c r="C78" s="1"/>
      <c r="D78" s="1"/>
      <c r="F78" s="3"/>
      <c r="G78" s="18"/>
      <c r="L78" s="9"/>
      <c r="M78" s="1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3">
      <c r="A79" s="3"/>
      <c r="C79" s="1"/>
      <c r="D79" s="1"/>
      <c r="F79" s="3"/>
      <c r="G79" s="18"/>
      <c r="L79" s="9"/>
      <c r="M79" s="1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3">
      <c r="A80" s="3"/>
      <c r="C80" s="1"/>
      <c r="D80" s="1"/>
      <c r="F80" s="3"/>
      <c r="G80" s="18"/>
      <c r="L80" s="9"/>
      <c r="M80" s="1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3">
      <c r="A81" s="3"/>
      <c r="C81" s="1"/>
      <c r="D81" s="1"/>
      <c r="F81" s="3"/>
      <c r="G81" s="18"/>
      <c r="L81" s="9"/>
      <c r="M81" s="1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3">
      <c r="A82" s="3"/>
      <c r="B82" s="3"/>
      <c r="C82" s="1"/>
      <c r="D82" s="1"/>
      <c r="F82" s="3"/>
      <c r="G82" s="18"/>
      <c r="L82" s="9"/>
      <c r="M82" s="1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3">
      <c r="L83" s="9"/>
      <c r="M83" s="1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3">
      <c r="L84" s="9"/>
      <c r="M84" s="11"/>
      <c r="N84" s="1"/>
      <c r="O84" s="1"/>
      <c r="P84" s="1"/>
      <c r="Q84" s="1"/>
      <c r="R84" s="1"/>
      <c r="S84" s="1"/>
      <c r="T84" s="1"/>
      <c r="U84" s="1"/>
      <c r="V84" s="1"/>
    </row>
    <row r="100" spans="1:16" ht="13.8" customHeight="1" x14ac:dyDescent="0.3"/>
    <row r="102" spans="1:16" x14ac:dyDescent="0.3">
      <c r="A102" s="5"/>
      <c r="B102" s="5"/>
      <c r="C102" s="5"/>
    </row>
    <row r="103" spans="1:16" x14ac:dyDescent="0.3">
      <c r="A103" s="3"/>
      <c r="B103" s="1"/>
      <c r="C103" s="1"/>
      <c r="G103" s="8"/>
      <c r="H103" s="8"/>
      <c r="I103" s="8"/>
      <c r="J103" s="8"/>
      <c r="K103" s="8"/>
      <c r="L103" s="8"/>
      <c r="M103" s="8"/>
      <c r="N103" s="8"/>
      <c r="O103" s="8"/>
    </row>
    <row r="104" spans="1:16" x14ac:dyDescent="0.3">
      <c r="A104" s="3"/>
      <c r="B104" s="1"/>
      <c r="C104" s="1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</row>
    <row r="105" spans="1:16" x14ac:dyDescent="0.3">
      <c r="A105" s="3"/>
      <c r="B105" s="1"/>
      <c r="C105" s="1"/>
      <c r="F105" s="3"/>
      <c r="G105" s="12"/>
      <c r="H105" s="12"/>
      <c r="I105" s="12"/>
      <c r="J105" s="12"/>
      <c r="K105" s="12"/>
      <c r="L105" s="12"/>
      <c r="M105" s="12"/>
      <c r="N105" s="12"/>
      <c r="O105" s="12"/>
      <c r="P105" s="1"/>
    </row>
    <row r="106" spans="1:16" x14ac:dyDescent="0.3">
      <c r="A106" s="3"/>
      <c r="B106" s="1"/>
      <c r="C106" s="1"/>
      <c r="F106" s="3"/>
      <c r="G106" s="12"/>
      <c r="H106" s="1"/>
      <c r="I106" s="1"/>
      <c r="J106" s="12"/>
      <c r="K106" s="12"/>
      <c r="L106" s="12"/>
      <c r="M106" s="12"/>
      <c r="N106" s="12"/>
      <c r="O106" s="12"/>
      <c r="P106" s="1"/>
    </row>
    <row r="107" spans="1:16" x14ac:dyDescent="0.3">
      <c r="A107" s="3"/>
      <c r="B107" s="1"/>
      <c r="C107" s="1"/>
      <c r="F107" s="3"/>
      <c r="G107" s="12"/>
      <c r="H107" s="1"/>
      <c r="I107" s="1"/>
      <c r="J107" s="12"/>
      <c r="K107" s="12"/>
      <c r="L107" s="12"/>
      <c r="M107" s="12"/>
      <c r="N107" s="12"/>
      <c r="O107" s="12"/>
      <c r="P107" s="1"/>
    </row>
    <row r="108" spans="1:16" x14ac:dyDescent="0.3">
      <c r="A108" s="3"/>
      <c r="B108" s="1"/>
      <c r="C108" s="1"/>
      <c r="F108" s="3"/>
      <c r="G108" s="12"/>
      <c r="H108" s="1"/>
      <c r="I108" s="1"/>
      <c r="J108" s="12"/>
      <c r="K108" s="12"/>
      <c r="L108" s="12"/>
      <c r="M108" s="12"/>
      <c r="N108" s="12"/>
      <c r="O108" s="12"/>
      <c r="P108" s="1"/>
    </row>
    <row r="109" spans="1:16" x14ac:dyDescent="0.3">
      <c r="A109" s="3"/>
      <c r="B109" s="1"/>
      <c r="C109" s="1"/>
      <c r="F109" s="3"/>
      <c r="G109" s="12"/>
      <c r="H109" s="1"/>
      <c r="I109" s="1"/>
      <c r="J109" s="12"/>
      <c r="K109" s="12"/>
      <c r="L109" s="12"/>
      <c r="M109" s="12"/>
      <c r="N109" s="12"/>
      <c r="O109" s="12"/>
      <c r="P109" s="1"/>
    </row>
    <row r="110" spans="1:16" x14ac:dyDescent="0.3">
      <c r="A110" s="3"/>
      <c r="B110" s="1"/>
      <c r="C110" s="1"/>
      <c r="F110" s="3"/>
      <c r="G110" s="12"/>
      <c r="H110" s="1"/>
      <c r="I110" s="1"/>
      <c r="J110" s="12"/>
      <c r="K110" s="12"/>
      <c r="L110" s="12"/>
      <c r="M110" s="12"/>
      <c r="N110" s="12"/>
      <c r="O110" s="12"/>
      <c r="P110" s="1"/>
    </row>
    <row r="111" spans="1:16" x14ac:dyDescent="0.3">
      <c r="A111" s="3"/>
      <c r="B111" s="1"/>
      <c r="C111" s="1"/>
      <c r="F111" s="3"/>
      <c r="G111" s="12"/>
      <c r="H111" s="1"/>
      <c r="I111" s="1"/>
      <c r="J111" s="12"/>
      <c r="K111" s="12"/>
      <c r="L111" s="12"/>
      <c r="M111" s="12"/>
      <c r="N111" s="12"/>
      <c r="O111" s="12"/>
      <c r="P111" s="1"/>
    </row>
    <row r="112" spans="1:16" x14ac:dyDescent="0.3">
      <c r="A112" s="3"/>
      <c r="B112" s="1"/>
      <c r="C112" s="1"/>
      <c r="F112" s="3"/>
      <c r="G112" s="12"/>
      <c r="H112" s="1"/>
      <c r="I112" s="1"/>
      <c r="J112" s="12"/>
      <c r="K112" s="12"/>
      <c r="L112" s="12"/>
      <c r="M112" s="12"/>
      <c r="N112" s="12"/>
      <c r="O112" s="12"/>
      <c r="P112" s="1"/>
    </row>
    <row r="113" spans="1:16" x14ac:dyDescent="0.3">
      <c r="A113" s="3"/>
      <c r="B113" s="1"/>
      <c r="C113" s="1"/>
      <c r="F113" s="3"/>
      <c r="G113" s="12"/>
      <c r="H113" s="1"/>
      <c r="I113" s="1"/>
      <c r="J113" s="12"/>
      <c r="K113" s="12"/>
      <c r="L113" s="12"/>
      <c r="M113" s="12"/>
      <c r="N113" s="12"/>
      <c r="O113" s="12"/>
      <c r="P113" s="1"/>
    </row>
    <row r="114" spans="1:16" x14ac:dyDescent="0.3">
      <c r="A114" s="3"/>
      <c r="B114" s="1"/>
      <c r="C114" s="1"/>
      <c r="F114" s="3"/>
      <c r="G114" s="12"/>
      <c r="H114" s="1"/>
      <c r="I114" s="1"/>
      <c r="J114" s="12"/>
      <c r="K114" s="12"/>
      <c r="L114" s="12"/>
      <c r="M114" s="12"/>
      <c r="N114" s="12"/>
      <c r="O114" s="12"/>
      <c r="P114" s="1"/>
    </row>
    <row r="115" spans="1:16" x14ac:dyDescent="0.3">
      <c r="A115" s="3"/>
      <c r="B115" s="1"/>
      <c r="C115" s="1"/>
      <c r="F115" s="3"/>
      <c r="G115" s="12"/>
      <c r="H115" s="1"/>
      <c r="I115" s="1"/>
      <c r="J115" s="12"/>
      <c r="K115" s="12"/>
      <c r="L115" s="12"/>
      <c r="M115" s="12"/>
      <c r="N115" s="12"/>
      <c r="O115" s="12"/>
      <c r="P115" s="1"/>
    </row>
    <row r="116" spans="1:16" x14ac:dyDescent="0.3">
      <c r="A116" s="3"/>
      <c r="B116" s="1"/>
      <c r="C116" s="1"/>
      <c r="F116" s="3"/>
      <c r="G116" s="12"/>
      <c r="H116" s="1"/>
      <c r="I116" s="1"/>
      <c r="J116" s="12"/>
      <c r="K116" s="12"/>
      <c r="L116" s="12"/>
      <c r="M116" s="12"/>
      <c r="N116" s="12"/>
      <c r="O116" s="12"/>
      <c r="P116" s="1"/>
    </row>
    <row r="117" spans="1:16" x14ac:dyDescent="0.3">
      <c r="A117" s="3"/>
      <c r="B117" s="1"/>
      <c r="C117" s="1"/>
      <c r="F117" s="3"/>
      <c r="G117" s="12"/>
      <c r="H117" s="1"/>
      <c r="I117" s="1"/>
      <c r="J117" s="12"/>
      <c r="K117" s="12"/>
      <c r="L117" s="12"/>
      <c r="M117" s="12"/>
      <c r="N117" s="12"/>
      <c r="O117" s="12"/>
      <c r="P117" s="1"/>
    </row>
    <row r="118" spans="1:16" x14ac:dyDescent="0.3">
      <c r="A118" s="3"/>
      <c r="B118" s="1"/>
      <c r="C118" s="1"/>
      <c r="F118" s="3"/>
      <c r="G118" s="12"/>
      <c r="H118" s="1"/>
      <c r="I118" s="1"/>
      <c r="J118" s="12"/>
      <c r="K118" s="12"/>
      <c r="L118" s="12"/>
      <c r="M118" s="12"/>
      <c r="N118" s="12"/>
      <c r="O118" s="12"/>
      <c r="P118" s="1"/>
    </row>
    <row r="119" spans="1:16" x14ac:dyDescent="0.3">
      <c r="A119" s="3"/>
      <c r="B119" s="1"/>
      <c r="C119" s="1"/>
      <c r="F119" s="3"/>
      <c r="G119" s="12"/>
      <c r="H119" s="1"/>
      <c r="I119" s="1"/>
      <c r="J119" s="12"/>
      <c r="K119" s="12"/>
      <c r="L119" s="12"/>
      <c r="M119" s="12"/>
      <c r="N119" s="12"/>
      <c r="O119" s="12"/>
      <c r="P119" s="1"/>
    </row>
    <row r="120" spans="1:16" x14ac:dyDescent="0.3">
      <c r="A120" s="3"/>
      <c r="B120" s="1"/>
      <c r="C120" s="1"/>
      <c r="F120" s="3"/>
      <c r="G120" s="12"/>
      <c r="H120" s="1"/>
      <c r="I120" s="1"/>
      <c r="J120" s="12"/>
      <c r="K120" s="12"/>
      <c r="L120" s="12"/>
      <c r="M120" s="12"/>
      <c r="N120" s="12"/>
      <c r="O120" s="12"/>
      <c r="P120" s="1"/>
    </row>
    <row r="121" spans="1:16" x14ac:dyDescent="0.3">
      <c r="F121" s="3"/>
      <c r="G121" s="12"/>
      <c r="H121" s="1"/>
      <c r="I121" s="1"/>
      <c r="J121" s="12"/>
      <c r="K121" s="12"/>
      <c r="L121" s="12"/>
      <c r="M121" s="12"/>
      <c r="N121" s="12"/>
      <c r="O121" s="12"/>
      <c r="P121" s="1"/>
    </row>
    <row r="122" spans="1:16" x14ac:dyDescent="0.3">
      <c r="F122" s="3"/>
      <c r="G122" s="12"/>
      <c r="H122" s="1"/>
      <c r="I122" s="1"/>
      <c r="J122" s="12"/>
      <c r="K122" s="12"/>
      <c r="L122" s="12"/>
      <c r="M122" s="12"/>
      <c r="N122" s="12"/>
      <c r="O122" s="12"/>
      <c r="P122" s="1"/>
    </row>
    <row r="126" spans="1:16" ht="42.6" x14ac:dyDescent="0.85">
      <c r="A126" s="13"/>
    </row>
    <row r="128" spans="1:16" ht="28.8" x14ac:dyDescent="0.55000000000000004">
      <c r="A128" s="14"/>
    </row>
    <row r="132" spans="2:4" x14ac:dyDescent="0.3">
      <c r="B132" s="1"/>
      <c r="C132" s="1"/>
      <c r="D132" s="17"/>
    </row>
    <row r="133" spans="2:4" x14ac:dyDescent="0.3">
      <c r="B133" s="1"/>
      <c r="C133" s="1"/>
      <c r="D133" s="17"/>
    </row>
    <row r="134" spans="2:4" x14ac:dyDescent="0.3">
      <c r="B134" s="1"/>
      <c r="C134" s="1"/>
      <c r="D134" s="17"/>
    </row>
  </sheetData>
  <phoneticPr fontId="1" type="noConversion"/>
  <pageMargins left="0.7" right="0.7" top="0.75" bottom="0.75" header="0.3" footer="0.3"/>
  <drawing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7702F-2D68-4A07-9AEA-6DC8EDC48298}">
  <dimension ref="A1:V134"/>
  <sheetViews>
    <sheetView topLeftCell="A13" zoomScale="92" zoomScaleNormal="70" workbookViewId="0">
      <selection activeCell="G18" sqref="G18"/>
    </sheetView>
  </sheetViews>
  <sheetFormatPr defaultRowHeight="14.4" x14ac:dyDescent="0.3"/>
  <cols>
    <col min="1" max="1" width="30" customWidth="1"/>
    <col min="2" max="2" width="27.44140625" customWidth="1"/>
    <col min="3" max="3" width="18.44140625" customWidth="1"/>
    <col min="4" max="4" width="16.109375" customWidth="1"/>
    <col min="5" max="5" width="23.5546875" customWidth="1"/>
    <col min="6" max="6" width="14.6640625" customWidth="1"/>
    <col min="7" max="7" width="23.77734375" customWidth="1"/>
    <col min="8" max="8" width="24.33203125" customWidth="1"/>
    <col min="9" max="9" width="20.44140625" customWidth="1"/>
    <col min="10" max="10" width="13.6640625" customWidth="1"/>
    <col min="11" max="11" width="23.6640625" customWidth="1"/>
    <col min="12" max="13" width="13.6640625" customWidth="1"/>
    <col min="14" max="14" width="11.109375" customWidth="1"/>
    <col min="15" max="15" width="13.6640625" customWidth="1"/>
    <col min="16" max="17" width="13.44140625" customWidth="1"/>
    <col min="18" max="18" width="12" customWidth="1"/>
    <col min="19" max="19" width="13" bestFit="1" customWidth="1"/>
    <col min="20" max="20" width="11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41</v>
      </c>
      <c r="H1" t="s">
        <v>43</v>
      </c>
    </row>
    <row r="2" spans="1:11" x14ac:dyDescent="0.3">
      <c r="A2">
        <v>3.1415899999999999</v>
      </c>
      <c r="B2" s="1">
        <f>1.00784*1.6605655E-27</f>
        <v>1.6735843335200001E-27</v>
      </c>
      <c r="C2" s="1">
        <v>1.3806490000000001E-23</v>
      </c>
      <c r="D2" s="1">
        <v>6.6260701499999998E-34</v>
      </c>
      <c r="E2" s="1">
        <v>8.3144620000000007</v>
      </c>
      <c r="F2" s="1">
        <v>6.0221410000000001E+23</v>
      </c>
      <c r="G2">
        <v>29979300000</v>
      </c>
      <c r="H2">
        <f>Tabella3333[[#This Row],[Speed of Light '[cm/s']]]*POWER(10,-2)</f>
        <v>299793000</v>
      </c>
    </row>
    <row r="5" spans="1:11" x14ac:dyDescent="0.3">
      <c r="A5" s="4"/>
      <c r="C5" s="1"/>
      <c r="E5" s="1"/>
      <c r="F5" s="1"/>
    </row>
    <row r="6" spans="1:11" x14ac:dyDescent="0.3">
      <c r="C6" s="1"/>
    </row>
    <row r="7" spans="1:11" x14ac:dyDescent="0.3">
      <c r="C7" s="1"/>
    </row>
    <row r="9" spans="1:11" x14ac:dyDescent="0.3">
      <c r="E9" s="1"/>
    </row>
    <row r="10" spans="1:11" x14ac:dyDescent="0.3">
      <c r="E10" s="1"/>
      <c r="F10" s="1"/>
      <c r="G10" s="1"/>
      <c r="H10" s="1"/>
      <c r="I10" s="1"/>
      <c r="J10" s="1"/>
      <c r="K10" s="1"/>
    </row>
    <row r="11" spans="1:11" x14ac:dyDescent="0.3">
      <c r="E11" s="1"/>
      <c r="F11" s="1"/>
      <c r="G11" s="1"/>
      <c r="H11" s="1"/>
      <c r="I11" s="1"/>
      <c r="J11" s="1"/>
      <c r="K11" s="1"/>
    </row>
    <row r="17" spans="1:12" x14ac:dyDescent="0.3">
      <c r="A17" t="s">
        <v>4</v>
      </c>
      <c r="B17" t="s">
        <v>19</v>
      </c>
      <c r="C17" t="s">
        <v>5</v>
      </c>
      <c r="D17" t="s">
        <v>6</v>
      </c>
      <c r="E17" t="s">
        <v>7</v>
      </c>
      <c r="F17" t="s">
        <v>8</v>
      </c>
      <c r="G17" t="s">
        <v>48</v>
      </c>
    </row>
    <row r="18" spans="1:12" x14ac:dyDescent="0.3">
      <c r="A18">
        <v>298</v>
      </c>
      <c r="B18" s="1" cm="1">
        <f t="array" ref="B18">(Tabella3333[Boltzmann k]*Tabella51834[[#This Row],[Temperatura]])/101325</f>
        <v>4.0605319713792254E-26</v>
      </c>
      <c r="C18" s="1" cm="1">
        <f t="array" ref="C18">POWER((2*Tabella3333[Pi Greco]*Tabella3333[Massa]*Tabella3333[Boltzmann k]*Tabella51834[[#This Row],[Temperatura]])/(POWER(Tabella3333[Planck h],2)),1.5)*Tabella51834[[#This Row],[Volume]]</f>
        <v>39719.595871786223</v>
      </c>
      <c r="D18">
        <f>1</f>
        <v>1</v>
      </c>
      <c r="E18" s="1">
        <f>1</f>
        <v>1</v>
      </c>
      <c r="F18">
        <f>2</f>
        <v>2</v>
      </c>
      <c r="G18" s="1">
        <f>PRODUCT(Tabella51834[[#This Row],[Qtrasl]:[Qel]])</f>
        <v>79439.191743572446</v>
      </c>
    </row>
    <row r="19" spans="1:12" x14ac:dyDescent="0.3">
      <c r="A19">
        <v>400</v>
      </c>
      <c r="B19" s="1" cm="1">
        <f t="array" ref="B19">(Tabella3333[Boltzmann k]*Tabella51834[[#This Row],[Temperatura]])/101325</f>
        <v>5.4503784850727862E-26</v>
      </c>
      <c r="C19" s="1" cm="1">
        <f t="array" ref="C19">POWER((2*Tabella3333[Pi Greco]*Tabella3333[Massa]*Tabella3333[Boltzmann k]*Tabella51834[[#This Row],[Temperatura]])/(POWER(Tabella3333[Planck h],2)),1.5)*Tabella51834[[#This Row],[Volume]]</f>
        <v>82911.379142810285</v>
      </c>
      <c r="D19">
        <f>1</f>
        <v>1</v>
      </c>
      <c r="E19" s="1">
        <f>1</f>
        <v>1</v>
      </c>
      <c r="F19">
        <f>2</f>
        <v>2</v>
      </c>
      <c r="G19" s="1">
        <f>PRODUCT(Tabella51834[[#This Row],[Qtrasl]:[Qel]])</f>
        <v>165822.75828562057</v>
      </c>
      <c r="I19" t="s">
        <v>34</v>
      </c>
      <c r="J19" t="s">
        <v>35</v>
      </c>
      <c r="K19" t="s">
        <v>36</v>
      </c>
      <c r="L19" s="16" t="s">
        <v>37</v>
      </c>
    </row>
    <row r="20" spans="1:12" x14ac:dyDescent="0.3">
      <c r="A20">
        <v>500</v>
      </c>
      <c r="B20" s="1" cm="1">
        <f t="array" ref="B20">(Tabella3333[Boltzmann k]*Tabella51834[[#This Row],[Temperatura]])/101325</f>
        <v>6.8129731063409828E-26</v>
      </c>
      <c r="C20" s="1" cm="1">
        <f t="array" ref="C20">POWER((2*Tabella3333[Pi Greco]*Tabella3333[Massa]*Tabella3333[Boltzmann k]*Tabella51834[[#This Row],[Temperatura]])/(POWER(Tabella3333[Planck h],2)),1.5)*Tabella51834[[#This Row],[Volume]]</f>
        <v>144840.21864967429</v>
      </c>
      <c r="D20">
        <f>1</f>
        <v>1</v>
      </c>
      <c r="E20" s="1">
        <f>1</f>
        <v>1</v>
      </c>
      <c r="F20">
        <f>2</f>
        <v>2</v>
      </c>
      <c r="G20" s="1">
        <f>PRODUCT(Tabella51834[[#This Row],[Qtrasl]:[Qel]])</f>
        <v>289680.43729934859</v>
      </c>
      <c r="I20" t="s">
        <v>5</v>
      </c>
      <c r="J20" s="1">
        <f>C18</f>
        <v>39719.595871786223</v>
      </c>
      <c r="K20" s="1">
        <v>39767.9</v>
      </c>
      <c r="L20" s="17">
        <f>ABS(Tabella2041[[#This Row],[My value]]-Tabella2041[[#This Row],[Gaussian]])/Tabella2041[[#This Row],[Gaussian]]</f>
        <v>1.2146512190429545E-3</v>
      </c>
    </row>
    <row r="21" spans="1:12" x14ac:dyDescent="0.3">
      <c r="A21">
        <v>600</v>
      </c>
      <c r="B21" s="1" cm="1">
        <f t="array" ref="B21">(Tabella3333[Boltzmann k]*Tabella51834[[#This Row],[Temperatura]])/101325</f>
        <v>8.1755677276091782E-26</v>
      </c>
      <c r="C21" s="1" cm="1">
        <f t="array" ref="C21">POWER((2*Tabella3333[Pi Greco]*Tabella3333[Massa]*Tabella3333[Boltzmann k]*Tabella51834[[#This Row],[Temperatura]])/(POWER(Tabella3333[Planck h],2)),1.5)*Tabella51834[[#This Row],[Volume]]</f>
        <v>228476.89436660954</v>
      </c>
      <c r="D21">
        <f>1</f>
        <v>1</v>
      </c>
      <c r="E21" s="1">
        <f>1</f>
        <v>1</v>
      </c>
      <c r="F21">
        <f>2</f>
        <v>2</v>
      </c>
      <c r="G21" s="1">
        <f>PRODUCT(Tabella51834[[#This Row],[Qtrasl]:[Qel]])</f>
        <v>456953.78873321909</v>
      </c>
      <c r="I21" t="s">
        <v>6</v>
      </c>
      <c r="J21">
        <f>D18</f>
        <v>1</v>
      </c>
      <c r="K21" s="1">
        <v>1</v>
      </c>
      <c r="L21" s="15">
        <f>ABS(Tabella2041[[#This Row],[My value]]-Tabella2041[[#This Row],[Gaussian]])/Tabella2041[[#This Row],[Gaussian]]</f>
        <v>0</v>
      </c>
    </row>
    <row r="22" spans="1:12" x14ac:dyDescent="0.3">
      <c r="A22">
        <v>700</v>
      </c>
      <c r="B22" s="1" cm="1">
        <f t="array" ref="B22">(Tabella3333[Boltzmann k]*Tabella51834[[#This Row],[Temperatura]])/101325</f>
        <v>9.5381623488773759E-26</v>
      </c>
      <c r="C22" s="1" cm="1">
        <f t="array" ref="C22">POWER((2*Tabella3333[Pi Greco]*Tabella3333[Massa]*Tabella3333[Boltzmann k]*Tabella51834[[#This Row],[Temperatura]])/(POWER(Tabella3333[Planck h],2)),1.5)*Tabella51834[[#This Row],[Volume]]</f>
        <v>335899.42541856266</v>
      </c>
      <c r="D22">
        <f>1</f>
        <v>1</v>
      </c>
      <c r="E22" s="1">
        <f>1</f>
        <v>1</v>
      </c>
      <c r="F22">
        <f>2</f>
        <v>2</v>
      </c>
      <c r="G22" s="1">
        <f>PRODUCT(Tabella51834[[#This Row],[Qtrasl]:[Qel]])</f>
        <v>671798.85083712533</v>
      </c>
      <c r="I22" t="s">
        <v>7</v>
      </c>
      <c r="J22" s="1">
        <f>E18</f>
        <v>1</v>
      </c>
      <c r="K22" s="1">
        <v>1</v>
      </c>
      <c r="L22" s="17">
        <f>ABS(Tabella2041[[#This Row],[My value]]-Tabella2041[[#This Row],[Gaussian]])/Tabella2041[[#This Row],[Gaussian]]</f>
        <v>0</v>
      </c>
    </row>
    <row r="23" spans="1:12" x14ac:dyDescent="0.3">
      <c r="A23">
        <v>800</v>
      </c>
      <c r="B23" s="1" cm="1">
        <f t="array" ref="B23">(Tabella3333[Boltzmann k]*Tabella51834[[#This Row],[Temperatura]])/101325</f>
        <v>1.0900756970145572E-25</v>
      </c>
      <c r="C23" s="1" cm="1">
        <f t="array" ref="C23">POWER((2*Tabella3333[Pi Greco]*Tabella3333[Massa]*Tabella3333[Boltzmann k]*Tabella51834[[#This Row],[Temperatura]])/(POWER(Tabella3333[Planck h],2)),1.5)*Tabella51834[[#This Row],[Volume]]</f>
        <v>469017.58743528154</v>
      </c>
      <c r="D23">
        <f>1</f>
        <v>1</v>
      </c>
      <c r="E23" s="1">
        <f>1</f>
        <v>1</v>
      </c>
      <c r="F23">
        <f>2</f>
        <v>2</v>
      </c>
      <c r="G23" s="1">
        <f>PRODUCT(Tabella51834[[#This Row],[Qtrasl]:[Qel]])</f>
        <v>938035.17487056309</v>
      </c>
      <c r="I23" t="s">
        <v>8</v>
      </c>
      <c r="J23">
        <f>F18</f>
        <v>2</v>
      </c>
      <c r="K23">
        <v>2</v>
      </c>
      <c r="L23" s="1">
        <f>ABS(Tabella2041[[#This Row],[My value]]-Tabella2041[[#This Row],[Gaussian]])/Tabella2041[[#This Row],[Gaussian]]</f>
        <v>0</v>
      </c>
    </row>
    <row r="24" spans="1:12" x14ac:dyDescent="0.3">
      <c r="A24">
        <v>900</v>
      </c>
      <c r="B24" s="1" cm="1">
        <f t="array" ref="B24">(Tabella3333[Boltzmann k]*Tabella51834[[#This Row],[Temperatura]])/101325</f>
        <v>1.2263351591413768E-25</v>
      </c>
      <c r="C24" s="1" cm="1">
        <f t="array" ref="C24">POWER((2*Tabella3333[Pi Greco]*Tabella3333[Massa]*Tabella3333[Boltzmann k]*Tabella51834[[#This Row],[Temperatura]])/(POWER(Tabella3333[Planck h],2)),1.5)*Tabella51834[[#This Row],[Volume]]</f>
        <v>629608.28536571655</v>
      </c>
      <c r="D24">
        <f>1</f>
        <v>1</v>
      </c>
      <c r="E24" s="1">
        <f>1</f>
        <v>1</v>
      </c>
      <c r="F24">
        <f>2</f>
        <v>2</v>
      </c>
      <c r="G24" s="1">
        <f>PRODUCT(Tabella51834[[#This Row],[Qtrasl]:[Qel]])</f>
        <v>1259216.5707314331</v>
      </c>
    </row>
    <row r="25" spans="1:12" x14ac:dyDescent="0.3">
      <c r="A25">
        <v>1000</v>
      </c>
      <c r="B25" s="1" cm="1">
        <f t="array" ref="B25">(Tabella3333[Boltzmann k]*Tabella51834[[#This Row],[Temperatura]])/101325</f>
        <v>1.3625946212681966E-25</v>
      </c>
      <c r="C25" s="1" cm="1">
        <f t="array" ref="C25">POWER((2*Tabella3333[Pi Greco]*Tabella3333[Massa]*Tabella3333[Boltzmann k]*Tabella51834[[#This Row],[Temperatura]])/(POWER(Tabella3333[Planck h],2)),1.5)*Tabella51834[[#This Row],[Volume]]</f>
        <v>819340.00636581786</v>
      </c>
      <c r="D25">
        <f>1</f>
        <v>1</v>
      </c>
      <c r="E25" s="1">
        <f>1</f>
        <v>1</v>
      </c>
      <c r="F25">
        <f>2</f>
        <v>2</v>
      </c>
      <c r="G25" s="1">
        <f>PRODUCT(Tabella51834[[#This Row],[Qtrasl]:[Qel]])</f>
        <v>1638680.0127316357</v>
      </c>
    </row>
    <row r="26" spans="1:12" x14ac:dyDescent="0.3">
      <c r="A26">
        <v>1100</v>
      </c>
      <c r="B26" s="1" cm="1">
        <f t="array" ref="B26">(Tabella3333[Boltzmann k]*Tabella51834[[#This Row],[Temperatura]])/101325</f>
        <v>1.4988540833950161E-25</v>
      </c>
      <c r="C26" s="1" cm="1">
        <f t="array" ref="C26">POWER((2*Tabella3333[Pi Greco]*Tabella3333[Massa]*Tabella3333[Boltzmann k]*Tabella51834[[#This Row],[Temperatura]])/(POWER(Tabella3333[Planck h],2)),1.5)*Tabella51834[[#This Row],[Volume]]</f>
        <v>1039790.5684868642</v>
      </c>
      <c r="D26">
        <f>1</f>
        <v>1</v>
      </c>
      <c r="E26" s="1">
        <f>1</f>
        <v>1</v>
      </c>
      <c r="F26">
        <f>2</f>
        <v>2</v>
      </c>
      <c r="G26" s="1">
        <f>PRODUCT(Tabella51834[[#This Row],[Qtrasl]:[Qel]])</f>
        <v>2079581.1369737284</v>
      </c>
    </row>
    <row r="27" spans="1:12" x14ac:dyDescent="0.3">
      <c r="A27">
        <v>1200</v>
      </c>
      <c r="B27" s="1" cm="1">
        <f t="array" ref="B27">(Tabella3333[Boltzmann k]*Tabella51834[[#This Row],[Temperatura]])/101325</f>
        <v>1.6351135455218356E-25</v>
      </c>
      <c r="C27" s="1" cm="1">
        <f t="array" ref="C27">POWER((2*Tabella3333[Pi Greco]*Tabella3333[Massa]*Tabella3333[Boltzmann k]*Tabella51834[[#This Row],[Temperatura]])/(POWER(Tabella3333[Planck h],2)),1.5)*Tabella51834[[#This Row],[Volume]]</f>
        <v>1292460.4908085805</v>
      </c>
      <c r="D27">
        <f>1</f>
        <v>1</v>
      </c>
      <c r="E27" s="1">
        <f>1</f>
        <v>1</v>
      </c>
      <c r="F27">
        <f>2</f>
        <v>2</v>
      </c>
      <c r="G27" s="1">
        <f>PRODUCT(Tabella51834[[#This Row],[Qtrasl]:[Qel]])</f>
        <v>2584920.9816171611</v>
      </c>
    </row>
    <row r="28" spans="1:12" x14ac:dyDescent="0.3">
      <c r="A28">
        <v>1300</v>
      </c>
      <c r="B28" s="1" cm="1">
        <f t="array" ref="B28">(Tabella3333[Boltzmann k]*Tabella51834[[#This Row],[Temperatura]])/101325</f>
        <v>1.7713730076486554E-25</v>
      </c>
      <c r="C28" s="1" cm="1">
        <f t="array" ref="C28">POWER((2*Tabella3333[Pi Greco]*Tabella3333[Massa]*Tabella3333[Boltzmann k]*Tabella51834[[#This Row],[Temperatura]])/(POWER(Tabella3333[Planck h],2)),1.5)*Tabella51834[[#This Row],[Volume]]</f>
        <v>1578783.3646994841</v>
      </c>
      <c r="D28">
        <f>1</f>
        <v>1</v>
      </c>
      <c r="E28" s="1">
        <f>1</f>
        <v>1</v>
      </c>
      <c r="F28">
        <f>2</f>
        <v>2</v>
      </c>
      <c r="G28" s="1">
        <f>PRODUCT(Tabella51834[[#This Row],[Qtrasl]:[Qel]])</f>
        <v>3157566.7293989682</v>
      </c>
      <c r="K28" s="19"/>
    </row>
    <row r="29" spans="1:12" x14ac:dyDescent="0.3">
      <c r="A29">
        <v>1400</v>
      </c>
      <c r="B29" s="1" cm="1">
        <f t="array" ref="B29">(Tabella3333[Boltzmann k]*Tabella51834[[#This Row],[Temperatura]])/101325</f>
        <v>1.9076324697754752E-25</v>
      </c>
      <c r="C29" s="1" cm="1">
        <f t="array" ref="C29">POWER((2*Tabella3333[Pi Greco]*Tabella3333[Massa]*Tabella3333[Boltzmann k]*Tabella51834[[#This Row],[Temperatura]])/(POWER(Tabella3333[Planck h],2)),1.5)*Tabella51834[[#This Row],[Volume]]</f>
        <v>1900134.0920810504</v>
      </c>
      <c r="D29">
        <f>1</f>
        <v>1</v>
      </c>
      <c r="E29" s="1">
        <f>1</f>
        <v>1</v>
      </c>
      <c r="F29">
        <f>2</f>
        <v>2</v>
      </c>
      <c r="G29" s="1">
        <f>PRODUCT(Tabella51834[[#This Row],[Qtrasl]:[Qel]])</f>
        <v>3800268.1841621008</v>
      </c>
    </row>
    <row r="30" spans="1:12" x14ac:dyDescent="0.3">
      <c r="A30">
        <v>1500</v>
      </c>
      <c r="B30" s="1" cm="1">
        <f t="array" ref="B30">(Tabella3333[Boltzmann k]*Tabella51834[[#This Row],[Temperatura]])/101325</f>
        <v>2.0438919319022949E-25</v>
      </c>
      <c r="C30" s="1" cm="1">
        <f t="array" ref="C30">POWER((2*Tabella3333[Pi Greco]*Tabella3333[Massa]*Tabella3333[Boltzmann k]*Tabella51834[[#This Row],[Temperatura]])/(POWER(Tabella3333[Planck h],2)),1.5)*Tabella51834[[#This Row],[Volume]]</f>
        <v>2257835.5591255822</v>
      </c>
      <c r="D30">
        <f>1</f>
        <v>1</v>
      </c>
      <c r="E30" s="1">
        <f>1</f>
        <v>1</v>
      </c>
      <c r="F30">
        <f>2</f>
        <v>2</v>
      </c>
      <c r="G30" s="1">
        <f>PRODUCT(Tabella51834[[#This Row],[Qtrasl]:[Qel]])</f>
        <v>4515671.1182511644</v>
      </c>
    </row>
    <row r="31" spans="1:12" x14ac:dyDescent="0.3">
      <c r="A31">
        <v>1600</v>
      </c>
      <c r="B31" s="1" cm="1">
        <f t="array" ref="B31">(Tabella3333[Boltzmann k]*Tabella51834[[#This Row],[Temperatura]])/101325</f>
        <v>2.1801513940291145E-25</v>
      </c>
      <c r="C31" s="1" cm="1">
        <f t="array" ref="C31">POWER((2*Tabella3333[Pi Greco]*Tabella3333[Massa]*Tabella3333[Boltzmann k]*Tabella51834[[#This Row],[Temperatura]])/(POWER(Tabella3333[Planck h],2)),1.5)*Tabella51834[[#This Row],[Volume]]</f>
        <v>2653164.1325699063</v>
      </c>
      <c r="D31">
        <f>1</f>
        <v>1</v>
      </c>
      <c r="E31" s="1">
        <f>1</f>
        <v>1</v>
      </c>
      <c r="F31">
        <f>2</f>
        <v>2</v>
      </c>
      <c r="G31" s="1">
        <f>PRODUCT(Tabella51834[[#This Row],[Qtrasl]:[Qel]])</f>
        <v>5306328.2651398126</v>
      </c>
    </row>
    <row r="32" spans="1:12" x14ac:dyDescent="0.3">
      <c r="A32">
        <v>1700</v>
      </c>
      <c r="B32" s="1" cm="1">
        <f t="array" ref="B32">(Tabella3333[Boltzmann k]*Tabella51834[[#This Row],[Temperatura]])/101325</f>
        <v>2.316410856155934E-25</v>
      </c>
      <c r="C32" s="1" cm="1">
        <f t="array" ref="C32">POWER((2*Tabella3333[Pi Greco]*Tabella3333[Massa]*Tabella3333[Boltzmann k]*Tabella51834[[#This Row],[Temperatura]])/(POWER(Tabella3333[Planck h],2)),1.5)*Tabella51834[[#This Row],[Volume]]</f>
        <v>3087354.2506233114</v>
      </c>
      <c r="D32">
        <f>1</f>
        <v>1</v>
      </c>
      <c r="E32" s="1">
        <f>1</f>
        <v>1</v>
      </c>
      <c r="F32">
        <f>2</f>
        <v>2</v>
      </c>
      <c r="G32" s="1">
        <f>PRODUCT(Tabella51834[[#This Row],[Qtrasl]:[Qel]])</f>
        <v>6174708.5012466228</v>
      </c>
    </row>
    <row r="33" spans="1:7" x14ac:dyDescent="0.3">
      <c r="A33">
        <v>1800</v>
      </c>
      <c r="B33" s="1" cm="1">
        <f t="array" ref="B33">(Tabella3333[Boltzmann k]*Tabella51834[[#This Row],[Temperatura]])/101325</f>
        <v>2.4526703182827536E-25</v>
      </c>
      <c r="C33" s="1" cm="1">
        <f t="array" ref="C33">POWER((2*Tabella3333[Pi Greco]*Tabella3333[Massa]*Tabella3333[Boltzmann k]*Tabella51834[[#This Row],[Temperatura]])/(POWER(Tabella3333[Planck h],2)),1.5)*Tabella51834[[#This Row],[Volume]]</f>
        <v>3561602.3045866746</v>
      </c>
      <c r="D33">
        <f>1</f>
        <v>1</v>
      </c>
      <c r="E33" s="1">
        <f>1</f>
        <v>1</v>
      </c>
      <c r="F33">
        <f>2</f>
        <v>2</v>
      </c>
      <c r="G33" s="1">
        <f>PRODUCT(Tabella51834[[#This Row],[Qtrasl]:[Qel]])</f>
        <v>7123204.6091733491</v>
      </c>
    </row>
    <row r="34" spans="1:7" x14ac:dyDescent="0.3">
      <c r="A34">
        <v>1900</v>
      </c>
      <c r="B34" s="1" cm="1">
        <f t="array" ref="B34">(Tabella3333[Boltzmann k]*Tabella51834[[#This Row],[Temperatura]])/101325</f>
        <v>2.5889297804095731E-25</v>
      </c>
      <c r="C34" s="1" cm="1">
        <f t="array" ref="C34">POWER((2*Tabella3333[Pi Greco]*Tabella3333[Massa]*Tabella3333[Boltzmann k]*Tabella51834[[#This Row],[Temperatura]])/(POWER(Tabella3333[Planck h],2)),1.5)*Tabella51834[[#This Row],[Volume]]</f>
        <v>4077069.9558146438</v>
      </c>
      <c r="D34">
        <f>1</f>
        <v>1</v>
      </c>
      <c r="E34" s="1">
        <f>1</f>
        <v>1</v>
      </c>
      <c r="F34">
        <f>2</f>
        <v>2</v>
      </c>
      <c r="G34" s="1">
        <f>PRODUCT(Tabella51834[[#This Row],[Qtrasl]:[Qel]])</f>
        <v>8154139.9116292875</v>
      </c>
    </row>
    <row r="35" spans="1:7" x14ac:dyDescent="0.3">
      <c r="A35">
        <v>2000</v>
      </c>
      <c r="B35" s="1" cm="1">
        <f t="array" ref="B35">(Tabella3333[Boltzmann k]*Tabella51834[[#This Row],[Temperatura]])/101325</f>
        <v>2.7251892425363931E-25</v>
      </c>
      <c r="C35" s="1" cm="1">
        <f t="array" ref="C35">POWER((2*Tabella3333[Pi Greco]*Tabella3333[Massa]*Tabella3333[Boltzmann k]*Tabella51834[[#This Row],[Temperatura]])/(POWER(Tabella3333[Planck h],2)),1.5)*Tabella51834[[#This Row],[Volume]]</f>
        <v>4634886.9967895374</v>
      </c>
      <c r="D35">
        <f>1</f>
        <v>1</v>
      </c>
      <c r="E35" s="1">
        <f>1</f>
        <v>1</v>
      </c>
      <c r="F35">
        <f>2</f>
        <v>2</v>
      </c>
      <c r="G35" s="1">
        <f>PRODUCT(Tabella51834[[#This Row],[Qtrasl]:[Qel]])</f>
        <v>9269773.9935790747</v>
      </c>
    </row>
    <row r="64" spans="1:7" x14ac:dyDescent="0.3">
      <c r="A64" s="5"/>
      <c r="B64" s="5"/>
      <c r="C64" s="5"/>
      <c r="D64" s="5"/>
      <c r="F64" s="5"/>
      <c r="G64" s="5"/>
    </row>
    <row r="65" spans="1:22" x14ac:dyDescent="0.3">
      <c r="A65" s="3"/>
      <c r="C65" s="1"/>
      <c r="D65" s="1"/>
      <c r="F65" s="3"/>
      <c r="G65" s="18"/>
      <c r="I65" s="2"/>
      <c r="J65" s="8"/>
      <c r="M65" s="8"/>
      <c r="N65" s="8"/>
      <c r="O65" s="1"/>
      <c r="P65" s="1"/>
      <c r="Q65" s="1"/>
      <c r="R65" s="1"/>
      <c r="S65" s="1"/>
      <c r="T65" s="1"/>
      <c r="U65" s="1"/>
    </row>
    <row r="66" spans="1:22" x14ac:dyDescent="0.3">
      <c r="A66" s="3"/>
      <c r="C66" s="1"/>
      <c r="D66" s="1"/>
      <c r="F66" s="3"/>
      <c r="G66" s="18"/>
      <c r="I66" s="2"/>
      <c r="J66" s="6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1:22" x14ac:dyDescent="0.3">
      <c r="A67" s="3"/>
      <c r="C67" s="1"/>
      <c r="D67" s="1"/>
      <c r="F67" s="3"/>
      <c r="G67" s="18"/>
      <c r="I67" s="2"/>
      <c r="J67" s="6"/>
      <c r="L67" s="9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3">
      <c r="A68" s="3"/>
      <c r="C68" s="1"/>
      <c r="D68" s="1"/>
      <c r="F68" s="3"/>
      <c r="G68" s="18"/>
      <c r="I68" s="2"/>
      <c r="J68" s="6"/>
      <c r="L68" s="9"/>
      <c r="M68" s="1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3">
      <c r="A69" s="3"/>
      <c r="C69" s="1"/>
      <c r="D69" s="1"/>
      <c r="F69" s="3"/>
      <c r="G69" s="18"/>
      <c r="I69" s="2"/>
      <c r="J69" s="6"/>
      <c r="L69" s="9"/>
      <c r="M69" s="1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3">
      <c r="A70" s="3"/>
      <c r="C70" s="1"/>
      <c r="D70" s="1"/>
      <c r="F70" s="3"/>
      <c r="G70" s="18"/>
      <c r="I70" s="2"/>
      <c r="J70" s="6"/>
      <c r="L70" s="9"/>
      <c r="M70" s="1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3">
      <c r="A71" s="3"/>
      <c r="C71" s="1"/>
      <c r="D71" s="1"/>
      <c r="F71" s="3"/>
      <c r="G71" s="18"/>
      <c r="I71" s="2"/>
      <c r="J71" s="6"/>
      <c r="L71" s="9"/>
      <c r="M71" s="1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3">
      <c r="A72" s="3"/>
      <c r="C72" s="1"/>
      <c r="D72" s="1"/>
      <c r="F72" s="3"/>
      <c r="G72" s="18"/>
      <c r="I72" s="2"/>
      <c r="J72" s="6"/>
      <c r="L72" s="9"/>
      <c r="M72" s="1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3">
      <c r="A73" s="3"/>
      <c r="C73" s="1"/>
      <c r="D73" s="1"/>
      <c r="F73" s="3"/>
      <c r="G73" s="18"/>
      <c r="I73" s="2"/>
      <c r="J73" s="7"/>
      <c r="L73" s="9"/>
      <c r="M73" s="1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3">
      <c r="A74" s="3"/>
      <c r="C74" s="1"/>
      <c r="D74" s="1"/>
      <c r="F74" s="3"/>
      <c r="G74" s="18"/>
      <c r="L74" s="9"/>
      <c r="M74" s="1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3">
      <c r="A75" s="3"/>
      <c r="C75" s="1"/>
      <c r="D75" s="1"/>
      <c r="F75" s="3"/>
      <c r="G75" s="18"/>
      <c r="L75" s="9"/>
      <c r="M75" s="1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3">
      <c r="A76" s="3"/>
      <c r="C76" s="1"/>
      <c r="D76" s="1"/>
      <c r="F76" s="3"/>
      <c r="G76" s="18"/>
      <c r="L76" s="9"/>
      <c r="M76" s="1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3">
      <c r="A77" s="3"/>
      <c r="C77" s="1"/>
      <c r="D77" s="1"/>
      <c r="F77" s="3"/>
      <c r="G77" s="18"/>
      <c r="L77" s="9"/>
      <c r="M77" s="1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3">
      <c r="A78" s="3"/>
      <c r="C78" s="1"/>
      <c r="D78" s="1"/>
      <c r="F78" s="3"/>
      <c r="G78" s="18"/>
      <c r="L78" s="9"/>
      <c r="M78" s="1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3">
      <c r="A79" s="3"/>
      <c r="C79" s="1"/>
      <c r="D79" s="1"/>
      <c r="F79" s="3"/>
      <c r="G79" s="18"/>
      <c r="L79" s="9"/>
      <c r="M79" s="1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3">
      <c r="A80" s="3"/>
      <c r="C80" s="1"/>
      <c r="D80" s="1"/>
      <c r="F80" s="3"/>
      <c r="G80" s="18"/>
      <c r="L80" s="9"/>
      <c r="M80" s="1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3">
      <c r="A81" s="3"/>
      <c r="C81" s="1"/>
      <c r="D81" s="1"/>
      <c r="F81" s="3"/>
      <c r="G81" s="18"/>
      <c r="L81" s="9"/>
      <c r="M81" s="1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3">
      <c r="A82" s="3"/>
      <c r="B82" s="3"/>
      <c r="C82" s="1"/>
      <c r="D82" s="1"/>
      <c r="F82" s="3"/>
      <c r="G82" s="18"/>
      <c r="L82" s="9"/>
      <c r="M82" s="1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3">
      <c r="L83" s="9"/>
      <c r="M83" s="1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3">
      <c r="L84" s="9"/>
      <c r="M84" s="11"/>
      <c r="N84" s="1"/>
      <c r="O84" s="1"/>
      <c r="P84" s="1"/>
      <c r="Q84" s="1"/>
      <c r="R84" s="1"/>
      <c r="S84" s="1"/>
      <c r="T84" s="1"/>
      <c r="U84" s="1"/>
      <c r="V84" s="1"/>
    </row>
    <row r="100" spans="1:16" ht="13.8" customHeight="1" x14ac:dyDescent="0.3"/>
    <row r="102" spans="1:16" x14ac:dyDescent="0.3">
      <c r="A102" s="5"/>
      <c r="B102" s="5"/>
      <c r="C102" s="5"/>
    </row>
    <row r="103" spans="1:16" x14ac:dyDescent="0.3">
      <c r="A103" s="3"/>
      <c r="B103" s="1"/>
      <c r="C103" s="1"/>
      <c r="G103" s="8"/>
      <c r="H103" s="8"/>
      <c r="I103" s="8"/>
      <c r="J103" s="8"/>
      <c r="K103" s="8"/>
      <c r="L103" s="8"/>
      <c r="M103" s="8"/>
      <c r="N103" s="8"/>
      <c r="O103" s="8"/>
    </row>
    <row r="104" spans="1:16" x14ac:dyDescent="0.3">
      <c r="A104" s="3"/>
      <c r="B104" s="1"/>
      <c r="C104" s="1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</row>
    <row r="105" spans="1:16" x14ac:dyDescent="0.3">
      <c r="A105" s="3"/>
      <c r="B105" s="1"/>
      <c r="C105" s="1"/>
      <c r="F105" s="3"/>
      <c r="G105" s="12"/>
      <c r="H105" s="12"/>
      <c r="I105" s="12"/>
      <c r="J105" s="12"/>
      <c r="K105" s="12"/>
      <c r="L105" s="12"/>
      <c r="M105" s="12"/>
      <c r="N105" s="12"/>
      <c r="O105" s="12"/>
      <c r="P105" s="1"/>
    </row>
    <row r="106" spans="1:16" x14ac:dyDescent="0.3">
      <c r="A106" s="3"/>
      <c r="B106" s="1"/>
      <c r="C106" s="1"/>
      <c r="F106" s="3"/>
      <c r="G106" s="12"/>
      <c r="H106" s="1"/>
      <c r="I106" s="1"/>
      <c r="J106" s="12"/>
      <c r="K106" s="12"/>
      <c r="L106" s="12"/>
      <c r="M106" s="12"/>
      <c r="N106" s="12"/>
      <c r="O106" s="12"/>
      <c r="P106" s="1"/>
    </row>
    <row r="107" spans="1:16" x14ac:dyDescent="0.3">
      <c r="A107" s="3"/>
      <c r="B107" s="1"/>
      <c r="C107" s="1"/>
      <c r="F107" s="3"/>
      <c r="G107" s="12"/>
      <c r="H107" s="1"/>
      <c r="I107" s="1"/>
      <c r="J107" s="12"/>
      <c r="K107" s="12"/>
      <c r="L107" s="12"/>
      <c r="M107" s="12"/>
      <c r="N107" s="12"/>
      <c r="O107" s="12"/>
      <c r="P107" s="1"/>
    </row>
    <row r="108" spans="1:16" x14ac:dyDescent="0.3">
      <c r="A108" s="3"/>
      <c r="B108" s="1"/>
      <c r="C108" s="1"/>
      <c r="F108" s="3"/>
      <c r="G108" s="12"/>
      <c r="H108" s="1"/>
      <c r="I108" s="1"/>
      <c r="J108" s="12"/>
      <c r="K108" s="12"/>
      <c r="L108" s="12"/>
      <c r="M108" s="12"/>
      <c r="N108" s="12"/>
      <c r="O108" s="12"/>
      <c r="P108" s="1"/>
    </row>
    <row r="109" spans="1:16" x14ac:dyDescent="0.3">
      <c r="A109" s="3"/>
      <c r="B109" s="1"/>
      <c r="C109" s="1"/>
      <c r="F109" s="3"/>
      <c r="G109" s="12"/>
      <c r="H109" s="1"/>
      <c r="I109" s="1"/>
      <c r="J109" s="12"/>
      <c r="K109" s="12"/>
      <c r="L109" s="12"/>
      <c r="M109" s="12"/>
      <c r="N109" s="12"/>
      <c r="O109" s="12"/>
      <c r="P109" s="1"/>
    </row>
    <row r="110" spans="1:16" x14ac:dyDescent="0.3">
      <c r="A110" s="3"/>
      <c r="B110" s="1"/>
      <c r="C110" s="1"/>
      <c r="F110" s="3"/>
      <c r="G110" s="12"/>
      <c r="H110" s="1"/>
      <c r="I110" s="1"/>
      <c r="J110" s="12"/>
      <c r="K110" s="12"/>
      <c r="L110" s="12"/>
      <c r="M110" s="12"/>
      <c r="N110" s="12"/>
      <c r="O110" s="12"/>
      <c r="P110" s="1"/>
    </row>
    <row r="111" spans="1:16" x14ac:dyDescent="0.3">
      <c r="A111" s="3"/>
      <c r="B111" s="1"/>
      <c r="C111" s="1"/>
      <c r="F111" s="3"/>
      <c r="G111" s="12"/>
      <c r="H111" s="1"/>
      <c r="I111" s="1"/>
      <c r="J111" s="12"/>
      <c r="K111" s="12"/>
      <c r="L111" s="12"/>
      <c r="M111" s="12"/>
      <c r="N111" s="12"/>
      <c r="O111" s="12"/>
      <c r="P111" s="1"/>
    </row>
    <row r="112" spans="1:16" x14ac:dyDescent="0.3">
      <c r="A112" s="3"/>
      <c r="B112" s="1"/>
      <c r="C112" s="1"/>
      <c r="F112" s="3"/>
      <c r="G112" s="12"/>
      <c r="H112" s="1"/>
      <c r="I112" s="1"/>
      <c r="J112" s="12"/>
      <c r="K112" s="12"/>
      <c r="L112" s="12"/>
      <c r="M112" s="12"/>
      <c r="N112" s="12"/>
      <c r="O112" s="12"/>
      <c r="P112" s="1"/>
    </row>
    <row r="113" spans="1:16" x14ac:dyDescent="0.3">
      <c r="A113" s="3"/>
      <c r="B113" s="1"/>
      <c r="C113" s="1"/>
      <c r="F113" s="3"/>
      <c r="G113" s="12"/>
      <c r="H113" s="1"/>
      <c r="I113" s="1"/>
      <c r="J113" s="12"/>
      <c r="K113" s="12"/>
      <c r="L113" s="12"/>
      <c r="M113" s="12"/>
      <c r="N113" s="12"/>
      <c r="O113" s="12"/>
      <c r="P113" s="1"/>
    </row>
    <row r="114" spans="1:16" x14ac:dyDescent="0.3">
      <c r="A114" s="3"/>
      <c r="B114" s="1"/>
      <c r="C114" s="1"/>
      <c r="F114" s="3"/>
      <c r="G114" s="12"/>
      <c r="H114" s="1"/>
      <c r="I114" s="1"/>
      <c r="J114" s="12"/>
      <c r="K114" s="12"/>
      <c r="L114" s="12"/>
      <c r="M114" s="12"/>
      <c r="N114" s="12"/>
      <c r="O114" s="12"/>
      <c r="P114" s="1"/>
    </row>
    <row r="115" spans="1:16" x14ac:dyDescent="0.3">
      <c r="A115" s="3"/>
      <c r="B115" s="1"/>
      <c r="C115" s="1"/>
      <c r="F115" s="3"/>
      <c r="G115" s="12"/>
      <c r="H115" s="1"/>
      <c r="I115" s="1"/>
      <c r="J115" s="12"/>
      <c r="K115" s="12"/>
      <c r="L115" s="12"/>
      <c r="M115" s="12"/>
      <c r="N115" s="12"/>
      <c r="O115" s="12"/>
      <c r="P115" s="1"/>
    </row>
    <row r="116" spans="1:16" x14ac:dyDescent="0.3">
      <c r="A116" s="3"/>
      <c r="B116" s="1"/>
      <c r="C116" s="1"/>
      <c r="F116" s="3"/>
      <c r="G116" s="12"/>
      <c r="H116" s="1"/>
      <c r="I116" s="1"/>
      <c r="J116" s="12"/>
      <c r="K116" s="12"/>
      <c r="L116" s="12"/>
      <c r="M116" s="12"/>
      <c r="N116" s="12"/>
      <c r="O116" s="12"/>
      <c r="P116" s="1"/>
    </row>
    <row r="117" spans="1:16" x14ac:dyDescent="0.3">
      <c r="A117" s="3"/>
      <c r="B117" s="1"/>
      <c r="C117" s="1"/>
      <c r="F117" s="3"/>
      <c r="G117" s="12"/>
      <c r="H117" s="1"/>
      <c r="I117" s="1"/>
      <c r="J117" s="12"/>
      <c r="K117" s="12"/>
      <c r="L117" s="12"/>
      <c r="M117" s="12"/>
      <c r="N117" s="12"/>
      <c r="O117" s="12"/>
      <c r="P117" s="1"/>
    </row>
    <row r="118" spans="1:16" x14ac:dyDescent="0.3">
      <c r="A118" s="3"/>
      <c r="B118" s="1"/>
      <c r="C118" s="1"/>
      <c r="F118" s="3"/>
      <c r="G118" s="12"/>
      <c r="H118" s="1"/>
      <c r="I118" s="1"/>
      <c r="J118" s="12"/>
      <c r="K118" s="12"/>
      <c r="L118" s="12"/>
      <c r="M118" s="12"/>
      <c r="N118" s="12"/>
      <c r="O118" s="12"/>
      <c r="P118" s="1"/>
    </row>
    <row r="119" spans="1:16" x14ac:dyDescent="0.3">
      <c r="A119" s="3"/>
      <c r="B119" s="1"/>
      <c r="C119" s="1"/>
      <c r="F119" s="3"/>
      <c r="G119" s="12"/>
      <c r="H119" s="1"/>
      <c r="I119" s="1"/>
      <c r="J119" s="12"/>
      <c r="K119" s="12"/>
      <c r="L119" s="12"/>
      <c r="M119" s="12"/>
      <c r="N119" s="12"/>
      <c r="O119" s="12"/>
      <c r="P119" s="1"/>
    </row>
    <row r="120" spans="1:16" x14ac:dyDescent="0.3">
      <c r="A120" s="3"/>
      <c r="B120" s="1"/>
      <c r="C120" s="1"/>
      <c r="F120" s="3"/>
      <c r="G120" s="12"/>
      <c r="H120" s="1"/>
      <c r="I120" s="1"/>
      <c r="J120" s="12"/>
      <c r="K120" s="12"/>
      <c r="L120" s="12"/>
      <c r="M120" s="12"/>
      <c r="N120" s="12"/>
      <c r="O120" s="12"/>
      <c r="P120" s="1"/>
    </row>
    <row r="121" spans="1:16" x14ac:dyDescent="0.3">
      <c r="F121" s="3"/>
      <c r="G121" s="12"/>
      <c r="H121" s="1"/>
      <c r="I121" s="1"/>
      <c r="J121" s="12"/>
      <c r="K121" s="12"/>
      <c r="L121" s="12"/>
      <c r="M121" s="12"/>
      <c r="N121" s="12"/>
      <c r="O121" s="12"/>
      <c r="P121" s="1"/>
    </row>
    <row r="122" spans="1:16" x14ac:dyDescent="0.3">
      <c r="F122" s="3"/>
      <c r="G122" s="12"/>
      <c r="H122" s="1"/>
      <c r="I122" s="1"/>
      <c r="J122" s="12"/>
      <c r="K122" s="12"/>
      <c r="L122" s="12"/>
      <c r="M122" s="12"/>
      <c r="N122" s="12"/>
      <c r="O122" s="12"/>
      <c r="P122" s="1"/>
    </row>
    <row r="126" spans="1:16" ht="42.6" x14ac:dyDescent="0.85">
      <c r="A126" s="13"/>
    </row>
    <row r="128" spans="1:16" ht="28.8" x14ac:dyDescent="0.55000000000000004">
      <c r="A128" s="14"/>
    </row>
    <row r="132" spans="2:4" x14ac:dyDescent="0.3">
      <c r="B132" s="1"/>
      <c r="C132" s="1"/>
      <c r="D132" s="17"/>
    </row>
    <row r="133" spans="2:4" x14ac:dyDescent="0.3">
      <c r="B133" s="1"/>
      <c r="C133" s="1"/>
      <c r="D133" s="17"/>
    </row>
    <row r="134" spans="2:4" x14ac:dyDescent="0.3">
      <c r="B134" s="1"/>
      <c r="C134" s="1"/>
      <c r="D134" s="17"/>
    </row>
  </sheetData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F14A6-CF76-4A1B-91B5-306A27360B60}">
  <dimension ref="A1:N65"/>
  <sheetViews>
    <sheetView tabSelected="1" topLeftCell="A46" zoomScale="85" zoomScaleNormal="85" workbookViewId="0">
      <selection activeCell="Q59" sqref="Q59"/>
    </sheetView>
  </sheetViews>
  <sheetFormatPr defaultRowHeight="14.4" x14ac:dyDescent="0.3"/>
  <cols>
    <col min="1" max="1" width="14.44140625" customWidth="1"/>
    <col min="2" max="3" width="13.88671875" customWidth="1"/>
    <col min="4" max="4" width="15.77734375" customWidth="1"/>
    <col min="5" max="5" width="14.44140625" customWidth="1"/>
    <col min="6" max="6" width="12.109375" customWidth="1"/>
    <col min="7" max="7" width="12.5546875" customWidth="1"/>
    <col min="8" max="8" width="12.88671875" customWidth="1"/>
    <col min="9" max="9" width="13.21875" customWidth="1"/>
    <col min="10" max="10" width="15.21875" customWidth="1"/>
    <col min="11" max="11" width="12" customWidth="1"/>
    <col min="12" max="12" width="12.109375" customWidth="1"/>
    <col min="14" max="14" width="17.77734375" customWidth="1"/>
  </cols>
  <sheetData>
    <row r="1" spans="1:14" x14ac:dyDescent="0.3">
      <c r="A1" t="s">
        <v>59</v>
      </c>
      <c r="B1" t="s">
        <v>60</v>
      </c>
      <c r="C1" t="s">
        <v>20</v>
      </c>
    </row>
    <row r="2" spans="1:14" x14ac:dyDescent="0.3">
      <c r="A2" s="1">
        <v>6.0221410000000001E+23</v>
      </c>
      <c r="B2">
        <v>101325</v>
      </c>
      <c r="C2">
        <v>8.3144620000000007</v>
      </c>
    </row>
    <row r="6" spans="1:14" x14ac:dyDescent="0.3">
      <c r="A6" t="s">
        <v>4</v>
      </c>
      <c r="B6" t="s">
        <v>45</v>
      </c>
      <c r="C6" t="s">
        <v>49</v>
      </c>
      <c r="D6" t="s">
        <v>51</v>
      </c>
      <c r="E6" t="s">
        <v>55</v>
      </c>
      <c r="F6" t="s">
        <v>46</v>
      </c>
      <c r="G6" t="s">
        <v>53</v>
      </c>
      <c r="H6" t="s">
        <v>52</v>
      </c>
      <c r="I6" t="s">
        <v>56</v>
      </c>
      <c r="J6" t="s">
        <v>47</v>
      </c>
      <c r="K6" t="s">
        <v>50</v>
      </c>
      <c r="L6" t="s">
        <v>54</v>
      </c>
      <c r="M6" t="s">
        <v>57</v>
      </c>
      <c r="N6" t="s">
        <v>58</v>
      </c>
    </row>
    <row r="7" spans="1:14" x14ac:dyDescent="0.3">
      <c r="A7">
        <v>298</v>
      </c>
      <c r="B7" s="1">
        <f>'CH4'!G37</f>
        <v>9.1640647355149438E-13</v>
      </c>
      <c r="C7" s="1">
        <f>'CH4'!B37</f>
        <v>4.0605319713792254E-26</v>
      </c>
      <c r="D7" s="1" cm="1">
        <f t="array" ref="D7">Tabella5[Numero Avogadro]*((Tabella5[Pressione Rif]*Tabella43[[#This Row],[V Metano]])/(Tabella43[[#This Row],[Temperatura]]*Tabella5[Rydberg R]))</f>
        <v>1.0000001141996919</v>
      </c>
      <c r="E7">
        <f>1</f>
        <v>1</v>
      </c>
      <c r="F7" s="1">
        <f>'CH3'!G38</f>
        <v>2.4015428819626394E-5</v>
      </c>
      <c r="G7" s="1">
        <f>'CH3'!B38</f>
        <v>4.0605319713792254E-26</v>
      </c>
      <c r="H7" s="1" cm="1">
        <f t="array" ref="H7">Tabella5[Numero Avogadro]*((Tabella5[Pressione Rif]*Tabella43[[#This Row],[V Metile]])/(Tabella5[Rydberg R]*Tabella43[[#This Row],[Temperatura]]))</f>
        <v>1.0000001141996919</v>
      </c>
      <c r="I7">
        <f t="shared" ref="I7:I24" si="0">-1</f>
        <v>-1</v>
      </c>
      <c r="J7" s="1">
        <f>H!G18</f>
        <v>79439.191743572446</v>
      </c>
      <c r="K7" s="1">
        <f>H!B18</f>
        <v>4.0605319713792254E-26</v>
      </c>
      <c r="L7" s="1" cm="1">
        <f t="array" ref="L7">Tabella5[Numero Avogadro]*((Tabella5[Pressione Rif]*Tabella43[[#This Row],[V Idrogeno]])/(Tabella5[Rydberg R]*Tabella43[[#This Row],[Temperatura]]))</f>
        <v>1.0000001141996919</v>
      </c>
      <c r="M7">
        <f t="shared" ref="M7:M24" si="1">-1</f>
        <v>-1</v>
      </c>
      <c r="N7" s="1">
        <f>POWER(Tabella43[[#This Row],[Q Metano]]/Tabella43[[#This Row],[N Metano]],Tabella43[[#This Row],[Ni Metano ]])*POWER(Tabella43[[#This Row],[Q Metile]]/Tabella43[[#This Row],[N Metile]],Tabella43[[#This Row],[Ni Metile]])*POWER(Tabella43[[#This Row],[Q Idrogeno]]/Tabella43[[#This Row],[N Idrogeno]],Tabella43[[#This Row],[Ni Idrogeno]])</f>
        <v>4.8035579615481779E-13</v>
      </c>
    </row>
    <row r="8" spans="1:14" x14ac:dyDescent="0.3">
      <c r="A8">
        <v>400</v>
      </c>
      <c r="B8" s="1">
        <f>'CH4'!G38</f>
        <v>5.4872299562558848E-7</v>
      </c>
      <c r="C8" s="1">
        <f>'CH4'!B38</f>
        <v>5.4503784850727862E-26</v>
      </c>
      <c r="D8" s="1" cm="1">
        <f t="array" ref="D8">Tabella5[Numero Avogadro]*((Tabella5[Pressione Rif]*Tabella43[[#This Row],[V Metano]])/(Tabella43[[#This Row],[Temperatura]]*Tabella5[Rydberg R]))</f>
        <v>1.0000001141996921</v>
      </c>
      <c r="E8">
        <f>1</f>
        <v>1</v>
      </c>
      <c r="F8" s="1">
        <f>'CH3'!G39</f>
        <v>0.26970439182915784</v>
      </c>
      <c r="G8" s="1">
        <f>'CH3'!B39</f>
        <v>5.4503784850727862E-26</v>
      </c>
      <c r="H8" s="1" cm="1">
        <f t="array" ref="H8">Tabella5[Numero Avogadro]*((Tabella5[Pressione Rif]*Tabella43[[#This Row],[V Metile]])/(Tabella5[Rydberg R]*Tabella43[[#This Row],[Temperatura]]))</f>
        <v>1.0000001141996921</v>
      </c>
      <c r="I8">
        <f t="shared" si="0"/>
        <v>-1</v>
      </c>
      <c r="J8" s="1">
        <f>H!G19</f>
        <v>165822.75828562057</v>
      </c>
      <c r="K8" s="1">
        <f>H!B19</f>
        <v>5.4503784850727862E-26</v>
      </c>
      <c r="L8" s="1" cm="1">
        <f t="array" ref="L8">Tabella5[Numero Avogadro]*((Tabella5[Pressione Rif]*Tabella43[[#This Row],[V Idrogeno]])/(Tabella5[Rydberg R]*Tabella43[[#This Row],[Temperatura]]))</f>
        <v>1.0000001141996921</v>
      </c>
      <c r="M8">
        <f t="shared" si="1"/>
        <v>-1</v>
      </c>
      <c r="N8" s="1">
        <f>POWER(Tabella43[[#This Row],[Q Metano]]/Tabella43[[#This Row],[N Metano]],Tabella43[[#This Row],[Ni Metano ]])*POWER(Tabella43[[#This Row],[Q Metile]]/Tabella43[[#This Row],[N Metile]],Tabella43[[#This Row],[Ni Metile]])*POWER(Tabella43[[#This Row],[Q Idrogeno]]/Tabella43[[#This Row],[N Idrogeno]],Tabella43[[#This Row],[Ni Idrogeno]])</f>
        <v>1.2269335916818729E-11</v>
      </c>
    </row>
    <row r="9" spans="1:14" x14ac:dyDescent="0.3">
      <c r="A9">
        <v>500</v>
      </c>
      <c r="B9" s="1">
        <f>'CH4'!G39</f>
        <v>1.6642916169318889E-3</v>
      </c>
      <c r="C9" s="1">
        <f>'CH4'!B39</f>
        <v>6.8129731063409828E-26</v>
      </c>
      <c r="D9" s="1" cm="1">
        <f t="array" ref="D9">Tabella5[Numero Avogadro]*((Tabella5[Pressione Rif]*Tabella43[[#This Row],[V Metano]])/(Tabella43[[#This Row],[Temperatura]]*Tabella5[Rydberg R]))</f>
        <v>1.0000001141996919</v>
      </c>
      <c r="E9">
        <f>1</f>
        <v>1</v>
      </c>
      <c r="F9" s="1">
        <f>'CH3'!G40</f>
        <v>81.268440438413251</v>
      </c>
      <c r="G9" s="1">
        <f>'CH3'!B40</f>
        <v>6.8129731063409828E-26</v>
      </c>
      <c r="H9" s="1" cm="1">
        <f t="array" ref="H9">Tabella5[Numero Avogadro]*((Tabella5[Pressione Rif]*Tabella43[[#This Row],[V Metile]])/(Tabella5[Rydberg R]*Tabella43[[#This Row],[Temperatura]]))</f>
        <v>1.0000001141996919</v>
      </c>
      <c r="I9">
        <f t="shared" si="0"/>
        <v>-1</v>
      </c>
      <c r="J9" s="1">
        <f>H!G20</f>
        <v>289680.43729934859</v>
      </c>
      <c r="K9" s="1">
        <f>H!B20</f>
        <v>6.8129731063409828E-26</v>
      </c>
      <c r="L9" s="1" cm="1">
        <f t="array" ref="L9">Tabella5[Numero Avogadro]*((Tabella5[Pressione Rif]*Tabella43[[#This Row],[V Idrogeno]])/(Tabella5[Rydberg R]*Tabella43[[#This Row],[Temperatura]]))</f>
        <v>1.0000001141996919</v>
      </c>
      <c r="M9">
        <f t="shared" si="1"/>
        <v>-1</v>
      </c>
      <c r="N9" s="1">
        <f>POWER(Tabella43[[#This Row],[Q Metano]]/Tabella43[[#This Row],[N Metano]],Tabella43[[#This Row],[Ni Metano ]])*POWER(Tabella43[[#This Row],[Q Metile]]/Tabella43[[#This Row],[N Metile]],Tabella43[[#This Row],[Ni Metile]])*POWER(Tabella43[[#This Row],[Q Idrogeno]]/Tabella43[[#This Row],[N Idrogeno]],Tabella43[[#This Row],[Ni Idrogeno]])</f>
        <v>7.069494846147754E-11</v>
      </c>
    </row>
    <row r="10" spans="1:14" x14ac:dyDescent="0.3">
      <c r="A10">
        <v>600</v>
      </c>
      <c r="B10" s="1">
        <f>'CH4'!G40</f>
        <v>0.41873765403220703</v>
      </c>
      <c r="C10" s="1">
        <f>'CH4'!B40</f>
        <v>8.1755677276091782E-26</v>
      </c>
      <c r="D10" s="1" cm="1">
        <f t="array" ref="D10">Tabella5[Numero Avogadro]*((Tabella5[Pressione Rif]*Tabella43[[#This Row],[V Metano]])/(Tabella43[[#This Row],[Temperatura]]*Tabella5[Rydberg R]))</f>
        <v>1.0000001141996921</v>
      </c>
      <c r="E10">
        <f>1</f>
        <v>1</v>
      </c>
      <c r="F10" s="1">
        <f>'CH3'!G41</f>
        <v>4382.23869588262</v>
      </c>
      <c r="G10" s="1">
        <f>'CH3'!B41</f>
        <v>8.1755677276091782E-26</v>
      </c>
      <c r="H10" s="1" cm="1">
        <f t="array" ref="H10">Tabella5[Numero Avogadro]*((Tabella5[Pressione Rif]*Tabella43[[#This Row],[V Metile]])/(Tabella5[Rydberg R]*Tabella43[[#This Row],[Temperatura]]))</f>
        <v>1.0000001141996921</v>
      </c>
      <c r="I10">
        <f t="shared" si="0"/>
        <v>-1</v>
      </c>
      <c r="J10" s="1">
        <f>H!G21</f>
        <v>456953.78873321909</v>
      </c>
      <c r="K10" s="1">
        <f>H!B21</f>
        <v>8.1755677276091782E-26</v>
      </c>
      <c r="L10" s="1" cm="1">
        <f t="array" ref="L10">Tabella5[Numero Avogadro]*((Tabella5[Pressione Rif]*Tabella43[[#This Row],[V Idrogeno]])/(Tabella5[Rydberg R]*Tabella43[[#This Row],[Temperatura]]))</f>
        <v>1.0000001141996921</v>
      </c>
      <c r="M10">
        <f t="shared" si="1"/>
        <v>-1</v>
      </c>
      <c r="N10" s="1">
        <f>POWER(Tabella43[[#This Row],[Q Metano]]/Tabella43[[#This Row],[N Metano]],Tabella43[[#This Row],[Ni Metano ]])*POWER(Tabella43[[#This Row],[Q Metile]]/Tabella43[[#This Row],[N Metile]],Tabella43[[#This Row],[Ni Metile]])*POWER(Tabella43[[#This Row],[Q Idrogeno]]/Tabella43[[#This Row],[N Idrogeno]],Tabella43[[#This Row],[Ni Idrogeno]])</f>
        <v>2.0910949501049001E-10</v>
      </c>
    </row>
    <row r="11" spans="1:14" x14ac:dyDescent="0.3">
      <c r="A11">
        <v>700</v>
      </c>
      <c r="B11" s="1">
        <f>'CH4'!G41</f>
        <v>25.149053334805718</v>
      </c>
      <c r="C11" s="1">
        <f>'CH4'!B41</f>
        <v>9.5381623488773759E-26</v>
      </c>
      <c r="D11" s="1" cm="1">
        <f t="array" ref="D11">Tabella5[Numero Avogadro]*((Tabella5[Pressione Rif]*Tabella43[[#This Row],[V Metano]])/(Tabella43[[#This Row],[Temperatura]]*Tabella5[Rydberg R]))</f>
        <v>1.0000001141996921</v>
      </c>
      <c r="E11">
        <f>1</f>
        <v>1</v>
      </c>
      <c r="F11" s="1">
        <f>'CH3'!G42</f>
        <v>86828.432763622783</v>
      </c>
      <c r="G11" s="1">
        <f>'CH3'!B42</f>
        <v>9.5381623488773759E-26</v>
      </c>
      <c r="H11" s="1" cm="1">
        <f t="array" ref="H11">Tabella5[Numero Avogadro]*((Tabella5[Pressione Rif]*Tabella43[[#This Row],[V Metile]])/(Tabella5[Rydberg R]*Tabella43[[#This Row],[Temperatura]]))</f>
        <v>1.0000001141996921</v>
      </c>
      <c r="I11">
        <f t="shared" si="0"/>
        <v>-1</v>
      </c>
      <c r="J11" s="1">
        <f>H!G22</f>
        <v>671798.85083712533</v>
      </c>
      <c r="K11" s="1">
        <f>H!B22</f>
        <v>9.5381623488773759E-26</v>
      </c>
      <c r="L11" s="1" cm="1">
        <f t="array" ref="L11">Tabella5[Numero Avogadro]*((Tabella5[Pressione Rif]*Tabella43[[#This Row],[V Idrogeno]])/(Tabella5[Rydberg R]*Tabella43[[#This Row],[Temperatura]]))</f>
        <v>1.0000001141996921</v>
      </c>
      <c r="M11">
        <f t="shared" si="1"/>
        <v>-1</v>
      </c>
      <c r="N11" s="1">
        <f>POWER(Tabella43[[#This Row],[Q Metano]]/Tabella43[[#This Row],[N Metano]],Tabella43[[#This Row],[Ni Metano ]])*POWER(Tabella43[[#This Row],[Q Metile]]/Tabella43[[#This Row],[N Metile]],Tabella43[[#This Row],[Ni Metile]])*POWER(Tabella43[[#This Row],[Q Idrogeno]]/Tabella43[[#This Row],[N Idrogeno]],Tabella43[[#This Row],[Ni Idrogeno]])</f>
        <v>4.3114213969261471E-10</v>
      </c>
    </row>
    <row r="12" spans="1:14" x14ac:dyDescent="0.3">
      <c r="A12">
        <v>800</v>
      </c>
      <c r="B12" s="1">
        <f>'CH4'!G42</f>
        <v>612.82211602565815</v>
      </c>
      <c r="C12" s="1">
        <f>'CH4'!B42</f>
        <v>1.0900756970145572E-25</v>
      </c>
      <c r="D12" s="1" cm="1">
        <f t="array" ref="D12">Tabella5[Numero Avogadro]*((Tabella5[Pressione Rif]*Tabella43[[#This Row],[V Metano]])/(Tabella43[[#This Row],[Temperatura]]*Tabella5[Rydberg R]))</f>
        <v>1.0000001141996921</v>
      </c>
      <c r="E12">
        <f>1</f>
        <v>1</v>
      </c>
      <c r="F12" s="1">
        <f>'CH3'!G43</f>
        <v>909689.17262610781</v>
      </c>
      <c r="G12" s="1">
        <f>'CH3'!B43</f>
        <v>1.0900756970145572E-25</v>
      </c>
      <c r="H12" s="1" cm="1">
        <f t="array" ref="H12">Tabella5[Numero Avogadro]*((Tabella5[Pressione Rif]*Tabella43[[#This Row],[V Metile]])/(Tabella5[Rydberg R]*Tabella43[[#This Row],[Temperatura]]))</f>
        <v>1.0000001141996921</v>
      </c>
      <c r="I12">
        <f t="shared" si="0"/>
        <v>-1</v>
      </c>
      <c r="J12" s="1">
        <f>H!G23</f>
        <v>938035.17487056309</v>
      </c>
      <c r="K12" s="1">
        <f>H!B23</f>
        <v>1.0900756970145572E-25</v>
      </c>
      <c r="L12" s="1" cm="1">
        <f t="array" ref="L12">Tabella5[Numero Avogadro]*((Tabella5[Pressione Rif]*Tabella43[[#This Row],[V Idrogeno]])/(Tabella5[Rydberg R]*Tabella43[[#This Row],[Temperatura]]))</f>
        <v>1.0000001141996921</v>
      </c>
      <c r="M12">
        <f t="shared" si="1"/>
        <v>-1</v>
      </c>
      <c r="N12" s="1">
        <f>POWER(Tabella43[[#This Row],[Q Metano]]/Tabella43[[#This Row],[N Metano]],Tabella43[[#This Row],[Ni Metano ]])*POWER(Tabella43[[#This Row],[Q Metile]]/Tabella43[[#This Row],[N Metile]],Tabella43[[#This Row],[Ni Metile]])*POWER(Tabella43[[#This Row],[Q Idrogeno]]/Tabella43[[#This Row],[N Idrogeno]],Tabella43[[#This Row],[Ni Idrogeno]])</f>
        <v>7.1816184842083477E-10</v>
      </c>
    </row>
    <row r="13" spans="1:14" x14ac:dyDescent="0.3">
      <c r="A13">
        <v>900</v>
      </c>
      <c r="B13" s="1">
        <f>'CH4'!G43</f>
        <v>8142.0685147040158</v>
      </c>
      <c r="C13" s="1">
        <f>'CH4'!B43</f>
        <v>1.2263351591413768E-25</v>
      </c>
      <c r="D13" s="1" cm="1">
        <f t="array" ref="D13">Tabella5[Numero Avogadro]*((Tabella5[Pressione Rif]*Tabella43[[#This Row],[V Metano]])/(Tabella43[[#This Row],[Temperatura]]*Tabella5[Rydberg R]))</f>
        <v>1.0000001141996919</v>
      </c>
      <c r="E13">
        <f>1</f>
        <v>1</v>
      </c>
      <c r="F13" s="1">
        <f>'CH3'!G44</f>
        <v>6183579.468293136</v>
      </c>
      <c r="G13" s="1">
        <f>'CH3'!B44</f>
        <v>1.2263351591413768E-25</v>
      </c>
      <c r="H13" s="1" cm="1">
        <f t="array" ref="H13">Tabella5[Numero Avogadro]*((Tabella5[Pressione Rif]*Tabella43[[#This Row],[V Metile]])/(Tabella5[Rydberg R]*Tabella43[[#This Row],[Temperatura]]))</f>
        <v>1.0000001141996919</v>
      </c>
      <c r="I13">
        <f t="shared" si="0"/>
        <v>-1</v>
      </c>
      <c r="J13" s="1">
        <f>H!G24</f>
        <v>1259216.5707314331</v>
      </c>
      <c r="K13" s="1">
        <f>H!B24</f>
        <v>1.2263351591413768E-25</v>
      </c>
      <c r="L13" s="1" cm="1">
        <f t="array" ref="L13">Tabella5[Numero Avogadro]*((Tabella5[Pressione Rif]*Tabella43[[#This Row],[V Idrogeno]])/(Tabella5[Rydberg R]*Tabella43[[#This Row],[Temperatura]]))</f>
        <v>1.0000001141996919</v>
      </c>
      <c r="M13">
        <f t="shared" si="1"/>
        <v>-1</v>
      </c>
      <c r="N13" s="1">
        <f>POWER(Tabella43[[#This Row],[Q Metano]]/Tabella43[[#This Row],[N Metano]],Tabella43[[#This Row],[Ni Metano ]])*POWER(Tabella43[[#This Row],[Q Metile]]/Tabella43[[#This Row],[N Metile]],Tabella43[[#This Row],[Ni Metile]])*POWER(Tabella43[[#This Row],[Q Idrogeno]]/Tabella43[[#This Row],[N Idrogeno]],Tabella43[[#This Row],[Ni Idrogeno]])</f>
        <v>1.0456694633758416E-9</v>
      </c>
    </row>
    <row r="14" spans="1:14" x14ac:dyDescent="0.3">
      <c r="A14">
        <v>1000</v>
      </c>
      <c r="B14" s="1">
        <f>'CH4'!G44</f>
        <v>70458.836008538012</v>
      </c>
      <c r="C14" s="1">
        <f>'CH4'!B44</f>
        <v>1.3625946212681966E-25</v>
      </c>
      <c r="D14" s="1" cm="1">
        <f t="array" ref="D14">Tabella5[Numero Avogadro]*((Tabella5[Pressione Rif]*Tabella43[[#This Row],[V Metano]])/(Tabella43[[#This Row],[Temperatura]]*Tabella5[Rydberg R]))</f>
        <v>1.0000001141996919</v>
      </c>
      <c r="E14">
        <f>1</f>
        <v>1</v>
      </c>
      <c r="F14" s="1">
        <f>'CH3'!G45</f>
        <v>30876323.744587798</v>
      </c>
      <c r="G14" s="1">
        <f>'CH3'!B45</f>
        <v>1.3625946212681966E-25</v>
      </c>
      <c r="H14" s="1" cm="1">
        <f t="array" ref="H14">Tabella5[Numero Avogadro]*((Tabella5[Pressione Rif]*Tabella43[[#This Row],[V Metile]])/(Tabella5[Rydberg R]*Tabella43[[#This Row],[Temperatura]]))</f>
        <v>1.0000001141996919</v>
      </c>
      <c r="I14">
        <f t="shared" si="0"/>
        <v>-1</v>
      </c>
      <c r="J14" s="1">
        <f>H!G25</f>
        <v>1638680.0127316357</v>
      </c>
      <c r="K14" s="1">
        <f>H!B25</f>
        <v>1.3625946212681966E-25</v>
      </c>
      <c r="L14" s="1" cm="1">
        <f t="array" ref="L14">Tabella5[Numero Avogadro]*((Tabella5[Pressione Rif]*Tabella43[[#This Row],[V Idrogeno]])/(Tabella5[Rydberg R]*Tabella43[[#This Row],[Temperatura]]))</f>
        <v>1.0000001141996919</v>
      </c>
      <c r="M14">
        <f t="shared" si="1"/>
        <v>-1</v>
      </c>
      <c r="N14" s="1">
        <f>POWER(Tabella43[[#This Row],[Q Metano]]/Tabella43[[#This Row],[N Metano]],Tabella43[[#This Row],[Ni Metano ]])*POWER(Tabella43[[#This Row],[Q Metile]]/Tabella43[[#This Row],[N Metile]],Tabella43[[#This Row],[Ni Metile]])*POWER(Tabella43[[#This Row],[Q Idrogeno]]/Tabella43[[#This Row],[N Idrogeno]],Tabella43[[#This Row],[Ni Idrogeno]])</f>
        <v>1.3925659482040805E-9</v>
      </c>
    </row>
    <row r="15" spans="1:14" x14ac:dyDescent="0.3">
      <c r="A15">
        <v>1100</v>
      </c>
      <c r="B15" s="1">
        <f>'CH4'!G45</f>
        <v>444830.85319417389</v>
      </c>
      <c r="C15" s="1">
        <f>'CH4'!B45</f>
        <v>1.4988540833950161E-25</v>
      </c>
      <c r="D15" s="1" cm="1">
        <f t="array" ref="D15">Tabella5[Numero Avogadro]*((Tabella5[Pressione Rif]*Tabella43[[#This Row],[V Metano]])/(Tabella43[[#This Row],[Temperatura]]*Tabella5[Rydberg R]))</f>
        <v>1.0000001141996921</v>
      </c>
      <c r="E15">
        <f>1</f>
        <v>1</v>
      </c>
      <c r="F15" s="1">
        <f>'CH3'!G46</f>
        <v>122671115.9552334</v>
      </c>
      <c r="G15" s="1">
        <f>'CH3'!B46</f>
        <v>1.4988540833950161E-25</v>
      </c>
      <c r="H15" s="1" cm="1">
        <f t="array" ref="H15">Tabella5[Numero Avogadro]*((Tabella5[Pressione Rif]*Tabella43[[#This Row],[V Metile]])/(Tabella5[Rydberg R]*Tabella43[[#This Row],[Temperatura]]))</f>
        <v>1.0000001141996921</v>
      </c>
      <c r="I15">
        <f t="shared" si="0"/>
        <v>-1</v>
      </c>
      <c r="J15" s="1">
        <f>H!G26</f>
        <v>2079581.1369737284</v>
      </c>
      <c r="K15" s="1">
        <f>H!B26</f>
        <v>1.4988540833950161E-25</v>
      </c>
      <c r="L15" s="1" cm="1">
        <f t="array" ref="L15">Tabella5[Numero Avogadro]*((Tabella5[Pressione Rif]*Tabella43[[#This Row],[V Idrogeno]])/(Tabella5[Rydberg R]*Tabella43[[#This Row],[Temperatura]]))</f>
        <v>1.0000001141996921</v>
      </c>
      <c r="M15">
        <f t="shared" si="1"/>
        <v>-1</v>
      </c>
      <c r="N15" s="1">
        <f>POWER(Tabella43[[#This Row],[Q Metano]]/Tabella43[[#This Row],[N Metano]],Tabella43[[#This Row],[Ni Metano ]])*POWER(Tabella43[[#This Row],[Q Metile]]/Tabella43[[#This Row],[N Metile]],Tabella43[[#This Row],[Ni Metile]])*POWER(Tabella43[[#This Row],[Q Idrogeno]]/Tabella43[[#This Row],[N Idrogeno]],Tabella43[[#This Row],[Ni Idrogeno]])</f>
        <v>1.7437200690356147E-9</v>
      </c>
    </row>
    <row r="16" spans="1:14" x14ac:dyDescent="0.3">
      <c r="A16">
        <v>1200</v>
      </c>
      <c r="B16" s="1">
        <f>'CH4'!G46</f>
        <v>2210228.2866126108</v>
      </c>
      <c r="C16" s="1">
        <f>'CH4'!B46</f>
        <v>1.6351135455218356E-25</v>
      </c>
      <c r="D16" s="1" cm="1">
        <f t="array" ref="D16">Tabella5[Numero Avogadro]*((Tabella5[Pressione Rif]*Tabella43[[#This Row],[V Metano]])/(Tabella43[[#This Row],[Temperatura]]*Tabella5[Rydberg R]))</f>
        <v>1.0000001141996921</v>
      </c>
      <c r="E16">
        <f>1</f>
        <v>1</v>
      </c>
      <c r="F16" s="1">
        <f>'CH3'!G47</f>
        <v>409223994.01892483</v>
      </c>
      <c r="G16" s="1">
        <f>'CH3'!B47</f>
        <v>1.6351135455218356E-25</v>
      </c>
      <c r="H16" s="1" cm="1">
        <f t="array" ref="H16">Tabella5[Numero Avogadro]*((Tabella5[Pressione Rif]*Tabella43[[#This Row],[V Metile]])/(Tabella5[Rydberg R]*Tabella43[[#This Row],[Temperatura]]))</f>
        <v>1.0000001141996921</v>
      </c>
      <c r="I16">
        <f t="shared" si="0"/>
        <v>-1</v>
      </c>
      <c r="J16" s="1">
        <f>H!G27</f>
        <v>2584920.9816171611</v>
      </c>
      <c r="K16" s="1">
        <f>H!B27</f>
        <v>1.6351135455218356E-25</v>
      </c>
      <c r="L16" s="1" cm="1">
        <f t="array" ref="L16">Tabella5[Numero Avogadro]*((Tabella5[Pressione Rif]*Tabella43[[#This Row],[V Idrogeno]])/(Tabella5[Rydberg R]*Tabella43[[#This Row],[Temperatura]]))</f>
        <v>1.0000001141996921</v>
      </c>
      <c r="M16">
        <f t="shared" si="1"/>
        <v>-1</v>
      </c>
      <c r="N16" s="1">
        <f>POWER(Tabella43[[#This Row],[Q Metano]]/Tabella43[[#This Row],[N Metano]],Tabella43[[#This Row],[Ni Metano ]])*POWER(Tabella43[[#This Row],[Q Metile]]/Tabella43[[#This Row],[N Metile]],Tabella43[[#This Row],[Ni Metile]])*POWER(Tabella43[[#This Row],[Q Idrogeno]]/Tabella43[[#This Row],[N Idrogeno]],Tabella43[[#This Row],[Ni Idrogeno]])</f>
        <v>2.0894347863831978E-9</v>
      </c>
    </row>
    <row r="17" spans="1:14" x14ac:dyDescent="0.3">
      <c r="A17">
        <v>1300</v>
      </c>
      <c r="B17" s="1">
        <f>'CH4'!G47</f>
        <v>9110074.1248581763</v>
      </c>
      <c r="C17" s="1">
        <f>'CH4'!B47</f>
        <v>1.7713730076486554E-25</v>
      </c>
      <c r="D17" s="1" cm="1">
        <f t="array" ref="D17">Tabella5[Numero Avogadro]*((Tabella5[Pressione Rif]*Tabella43[[#This Row],[V Metano]])/(Tabella43[[#This Row],[Temperatura]]*Tabella5[Rydberg R]))</f>
        <v>1.0000001141996921</v>
      </c>
      <c r="E17">
        <f>1</f>
        <v>1</v>
      </c>
      <c r="F17" s="1">
        <f>'CH3'!G48</f>
        <v>1190214372.7573395</v>
      </c>
      <c r="G17" s="1">
        <f>'CH3'!B48</f>
        <v>1.7713730076486554E-25</v>
      </c>
      <c r="H17" s="1" cm="1">
        <f t="array" ref="H17">Tabella5[Numero Avogadro]*((Tabella5[Pressione Rif]*Tabella43[[#This Row],[V Metile]])/(Tabella5[Rydberg R]*Tabella43[[#This Row],[Temperatura]]))</f>
        <v>1.0000001141996921</v>
      </c>
      <c r="I17">
        <f t="shared" si="0"/>
        <v>-1</v>
      </c>
      <c r="J17" s="1">
        <f>H!G28</f>
        <v>3157566.7293989682</v>
      </c>
      <c r="K17" s="1">
        <f>H!B28</f>
        <v>1.7713730076486554E-25</v>
      </c>
      <c r="L17" s="1" cm="1">
        <f t="array" ref="L17">Tabella5[Numero Avogadro]*((Tabella5[Pressione Rif]*Tabella43[[#This Row],[V Idrogeno]])/(Tabella5[Rydberg R]*Tabella43[[#This Row],[Temperatura]]))</f>
        <v>1.0000001141996921</v>
      </c>
      <c r="M17">
        <f t="shared" si="1"/>
        <v>-1</v>
      </c>
      <c r="N17" s="1">
        <f>POWER(Tabella43[[#This Row],[Q Metano]]/Tabella43[[#This Row],[N Metano]],Tabella43[[#This Row],[Ni Metano ]])*POWER(Tabella43[[#This Row],[Q Metile]]/Tabella43[[#This Row],[N Metile]],Tabella43[[#This Row],[Ni Metile]])*POWER(Tabella43[[#This Row],[Q Idrogeno]]/Tabella43[[#This Row],[N Idrogeno]],Tabella43[[#This Row],[Ni Idrogeno]])</f>
        <v>2.4240648408506966E-9</v>
      </c>
    </row>
    <row r="18" spans="1:14" x14ac:dyDescent="0.3">
      <c r="A18">
        <v>1400</v>
      </c>
      <c r="B18" s="1">
        <f>'CH4'!G48</f>
        <v>32346972.024411377</v>
      </c>
      <c r="C18" s="1">
        <f>'CH4'!B48</f>
        <v>1.9076324697754752E-25</v>
      </c>
      <c r="D18" s="1" cm="1">
        <f t="array" ref="D18">Tabella5[Numero Avogadro]*((Tabella5[Pressione Rif]*Tabella43[[#This Row],[V Metano]])/(Tabella43[[#This Row],[Temperatura]]*Tabella5[Rydberg R]))</f>
        <v>1.0000001141996921</v>
      </c>
      <c r="E18">
        <f>1</f>
        <v>1</v>
      </c>
      <c r="F18" s="1">
        <f>'CH3'!G49</f>
        <v>3101159289.8636746</v>
      </c>
      <c r="G18" s="1">
        <f>'CH3'!B49</f>
        <v>1.9076324697754752E-25</v>
      </c>
      <c r="H18" s="1" cm="1">
        <f t="array" ref="H18">Tabella5[Numero Avogadro]*((Tabella5[Pressione Rif]*Tabella43[[#This Row],[V Metile]])/(Tabella5[Rydberg R]*Tabella43[[#This Row],[Temperatura]]))</f>
        <v>1.0000001141996921</v>
      </c>
      <c r="I18">
        <f t="shared" si="0"/>
        <v>-1</v>
      </c>
      <c r="J18" s="1">
        <f>H!G29</f>
        <v>3800268.1841621008</v>
      </c>
      <c r="K18" s="1">
        <f>H!B29</f>
        <v>1.9076324697754752E-25</v>
      </c>
      <c r="L18" s="1" cm="1">
        <f t="array" ref="L18">Tabella5[Numero Avogadro]*((Tabella5[Pressione Rif]*Tabella43[[#This Row],[V Idrogeno]])/(Tabella5[Rydberg R]*Tabella43[[#This Row],[Temperatura]]))</f>
        <v>1.0000001141996921</v>
      </c>
      <c r="M18">
        <f t="shared" si="1"/>
        <v>-1</v>
      </c>
      <c r="N18" s="1">
        <f>POWER(Tabella43[[#This Row],[Q Metano]]/Tabella43[[#This Row],[N Metano]],Tabella43[[#This Row],[Ni Metano ]])*POWER(Tabella43[[#This Row],[Q Metile]]/Tabella43[[#This Row],[N Metile]],Tabella43[[#This Row],[Ni Metile]])*POWER(Tabella43[[#This Row],[Q Idrogeno]]/Tabella43[[#This Row],[N Idrogeno]],Tabella43[[#This Row],[Ni Idrogeno]])</f>
        <v>2.7447030351868223E-9</v>
      </c>
    </row>
    <row r="19" spans="1:14" x14ac:dyDescent="0.3">
      <c r="A19">
        <v>1500</v>
      </c>
      <c r="B19" s="1">
        <f>'CH4'!G49</f>
        <v>101727253.84099823</v>
      </c>
      <c r="C19" s="1">
        <f>'CH4'!B49</f>
        <v>2.0438919319022949E-25</v>
      </c>
      <c r="D19" s="1" cm="1">
        <f t="array" ref="D19">Tabella5[Numero Avogadro]*((Tabella5[Pressione Rif]*Tabella43[[#This Row],[V Metano]])/(Tabella43[[#This Row],[Temperatura]]*Tabella5[Rydberg R]))</f>
        <v>1.0000001141996921</v>
      </c>
      <c r="E19">
        <f>1</f>
        <v>1</v>
      </c>
      <c r="F19" s="1">
        <f>'CH3'!G50</f>
        <v>7385660008.4921713</v>
      </c>
      <c r="G19" s="1">
        <f>'CH3'!B50</f>
        <v>2.0438919319022949E-25</v>
      </c>
      <c r="H19" s="1" cm="1">
        <f t="array" ref="H19">Tabella5[Numero Avogadro]*((Tabella5[Pressione Rif]*Tabella43[[#This Row],[V Metile]])/(Tabella5[Rydberg R]*Tabella43[[#This Row],[Temperatura]]))</f>
        <v>1.0000001141996921</v>
      </c>
      <c r="I19">
        <f t="shared" si="0"/>
        <v>-1</v>
      </c>
      <c r="J19" s="1">
        <f>H!G30</f>
        <v>4515671.1182511644</v>
      </c>
      <c r="K19" s="1">
        <f>H!B30</f>
        <v>2.0438919319022949E-25</v>
      </c>
      <c r="L19" s="1" cm="1">
        <f t="array" ref="L19">Tabella5[Numero Avogadro]*((Tabella5[Pressione Rif]*Tabella43[[#This Row],[V Idrogeno]])/(Tabella5[Rydberg R]*Tabella43[[#This Row],[Temperatura]]))</f>
        <v>1.0000001141996921</v>
      </c>
      <c r="M19">
        <f t="shared" si="1"/>
        <v>-1</v>
      </c>
      <c r="N19" s="1">
        <f>POWER(Tabella43[[#This Row],[Q Metano]]/Tabella43[[#This Row],[N Metano]],Tabella43[[#This Row],[Ni Metano ]])*POWER(Tabella43[[#This Row],[Q Metile]]/Tabella43[[#This Row],[N Metile]],Tabella43[[#This Row],[Ni Metile]])*POWER(Tabella43[[#This Row],[Q Idrogeno]]/Tabella43[[#This Row],[N Idrogeno]],Tabella43[[#This Row],[Ni Idrogeno]])</f>
        <v>3.0501820056825295E-9</v>
      </c>
    </row>
    <row r="20" spans="1:14" x14ac:dyDescent="0.3">
      <c r="A20">
        <v>1600</v>
      </c>
      <c r="B20" s="1">
        <f>'CH4'!G50</f>
        <v>289352333.76198751</v>
      </c>
      <c r="C20" s="1">
        <f>'CH4'!B50</f>
        <v>2.1801513940291145E-25</v>
      </c>
      <c r="D20" s="1" cm="1">
        <f t="array" ref="D20">Tabella5[Numero Avogadro]*((Tabella5[Pressione Rif]*Tabella43[[#This Row],[V Metano]])/(Tabella43[[#This Row],[Temperatura]]*Tabella5[Rydberg R]))</f>
        <v>1.0000001141996921</v>
      </c>
      <c r="E20">
        <f>1</f>
        <v>1</v>
      </c>
      <c r="F20" s="1">
        <f>'CH3'!G51</f>
        <v>16324362082.007141</v>
      </c>
      <c r="G20" s="1">
        <f>'CH3'!B51</f>
        <v>2.1801513940291145E-25</v>
      </c>
      <c r="H20" s="1" cm="1">
        <f t="array" ref="H20">Tabella5[Numero Avogadro]*((Tabella5[Pressione Rif]*Tabella43[[#This Row],[V Metile]])/(Tabella5[Rydberg R]*Tabella43[[#This Row],[Temperatura]]))</f>
        <v>1.0000001141996921</v>
      </c>
      <c r="I20">
        <f t="shared" si="0"/>
        <v>-1</v>
      </c>
      <c r="J20" s="1">
        <f>H!G31</f>
        <v>5306328.2651398126</v>
      </c>
      <c r="K20" s="1">
        <f>H!B31</f>
        <v>2.1801513940291145E-25</v>
      </c>
      <c r="L20" s="1" cm="1">
        <f t="array" ref="L20">Tabella5[Numero Avogadro]*((Tabella5[Pressione Rif]*Tabella43[[#This Row],[V Idrogeno]])/(Tabella5[Rydberg R]*Tabella43[[#This Row],[Temperatura]]))</f>
        <v>1.0000001141996921</v>
      </c>
      <c r="M20">
        <f t="shared" si="1"/>
        <v>-1</v>
      </c>
      <c r="N20" s="1">
        <f>POWER(Tabella43[[#This Row],[Q Metano]]/Tabella43[[#This Row],[N Metano]],Tabella43[[#This Row],[Ni Metano ]])*POWER(Tabella43[[#This Row],[Q Metile]]/Tabella43[[#This Row],[N Metile]],Tabella43[[#This Row],[Ni Metile]])*POWER(Tabella43[[#This Row],[Q Idrogeno]]/Tabella43[[#This Row],[N Idrogeno]],Tabella43[[#This Row],[Ni Idrogeno]])</f>
        <v>3.3403863998620688E-9</v>
      </c>
    </row>
    <row r="21" spans="1:14" x14ac:dyDescent="0.3">
      <c r="A21">
        <v>1700</v>
      </c>
      <c r="B21" s="1">
        <f>'CH4'!G51</f>
        <v>756481385.51928174</v>
      </c>
      <c r="C21" s="1">
        <f>'CH4'!B51</f>
        <v>2.316410856155934E-25</v>
      </c>
      <c r="D21" s="1" cm="1">
        <f t="array" ref="D21">Tabella5[Numero Avogadro]*((Tabella5[Pressione Rif]*Tabella43[[#This Row],[V Metano]])/(Tabella43[[#This Row],[Temperatura]]*Tabella5[Rydberg R]))</f>
        <v>1.0000001141996921</v>
      </c>
      <c r="E21">
        <f>1</f>
        <v>1</v>
      </c>
      <c r="F21" s="1">
        <f>'CH3'!G52</f>
        <v>33882621504.277733</v>
      </c>
      <c r="G21" s="1">
        <f>'CH3'!B52</f>
        <v>2.316410856155934E-25</v>
      </c>
      <c r="H21" s="1" cm="1">
        <f t="array" ref="H21">Tabella5[Numero Avogadro]*((Tabella5[Pressione Rif]*Tabella43[[#This Row],[V Metile]])/(Tabella5[Rydberg R]*Tabella43[[#This Row],[Temperatura]]))</f>
        <v>1.0000001141996921</v>
      </c>
      <c r="I21">
        <f t="shared" si="0"/>
        <v>-1</v>
      </c>
      <c r="J21" s="1">
        <f>H!G32</f>
        <v>6174708.5012466228</v>
      </c>
      <c r="K21" s="1">
        <f>H!B32</f>
        <v>2.316410856155934E-25</v>
      </c>
      <c r="L21" s="1" cm="1">
        <f t="array" ref="L21">Tabella5[Numero Avogadro]*((Tabella5[Pressione Rif]*Tabella43[[#This Row],[V Idrogeno]])/(Tabella5[Rydberg R]*Tabella43[[#This Row],[Temperatura]]))</f>
        <v>1.0000001141996921</v>
      </c>
      <c r="M21">
        <f t="shared" si="1"/>
        <v>-1</v>
      </c>
      <c r="N21" s="1">
        <f>POWER(Tabella43[[#This Row],[Q Metano]]/Tabella43[[#This Row],[N Metano]],Tabella43[[#This Row],[Ni Metano ]])*POWER(Tabella43[[#This Row],[Q Metile]]/Tabella43[[#This Row],[N Metile]],Tabella43[[#This Row],[Ni Metile]])*POWER(Tabella43[[#This Row],[Q Idrogeno]]/Tabella43[[#This Row],[N Idrogeno]],Tabella43[[#This Row],[Ni Idrogeno]])</f>
        <v>3.6158035859016715E-9</v>
      </c>
    </row>
    <row r="22" spans="1:14" x14ac:dyDescent="0.3">
      <c r="A22">
        <v>1800</v>
      </c>
      <c r="B22" s="1">
        <f>'CH4'!G52</f>
        <v>1840898603.3100657</v>
      </c>
      <c r="C22" s="1">
        <f>'CH4'!B52</f>
        <v>2.4526703182827536E-25</v>
      </c>
      <c r="D22" s="1" cm="1">
        <f t="array" ref="D22">Tabella5[Numero Avogadro]*((Tabella5[Pressione Rif]*Tabella43[[#This Row],[V Metano]])/(Tabella43[[#This Row],[Temperatura]]*Tabella5[Rydberg R]))</f>
        <v>1.0000001141996919</v>
      </c>
      <c r="E22">
        <f>1</f>
        <v>1</v>
      </c>
      <c r="F22" s="1">
        <f>'CH3'!G53</f>
        <v>66654856240.006622</v>
      </c>
      <c r="G22" s="1">
        <f>'CH3'!B53</f>
        <v>2.4526703182827536E-25</v>
      </c>
      <c r="H22" s="1" cm="1">
        <f t="array" ref="H22">Tabella5[Numero Avogadro]*((Tabella5[Pressione Rif]*Tabella43[[#This Row],[V Metile]])/(Tabella5[Rydberg R]*Tabella43[[#This Row],[Temperatura]]))</f>
        <v>1.0000001141996919</v>
      </c>
      <c r="I22">
        <f t="shared" si="0"/>
        <v>-1</v>
      </c>
      <c r="J22" s="1">
        <f>H!G33</f>
        <v>7123204.6091733491</v>
      </c>
      <c r="K22" s="1">
        <f>H!B33</f>
        <v>2.4526703182827536E-25</v>
      </c>
      <c r="L22" s="1" cm="1">
        <f t="array" ref="L22">Tabella5[Numero Avogadro]*((Tabella5[Pressione Rif]*Tabella43[[#This Row],[V Idrogeno]])/(Tabella5[Rydberg R]*Tabella43[[#This Row],[Temperatura]]))</f>
        <v>1.0000001141996919</v>
      </c>
      <c r="M22">
        <f t="shared" si="1"/>
        <v>-1</v>
      </c>
      <c r="N22" s="1">
        <f>POWER(Tabella43[[#This Row],[Q Metano]]/Tabella43[[#This Row],[N Metano]],Tabella43[[#This Row],[Ni Metano ]])*POWER(Tabella43[[#This Row],[Q Metile]]/Tabella43[[#This Row],[N Metile]],Tabella43[[#This Row],[Ni Metile]])*POWER(Tabella43[[#This Row],[Q Idrogeno]]/Tabella43[[#This Row],[N Idrogeno]],Tabella43[[#This Row],[Ni Idrogeno]])</f>
        <v>3.8772401594945323E-9</v>
      </c>
    </row>
    <row r="23" spans="1:14" x14ac:dyDescent="0.3">
      <c r="A23">
        <v>1900</v>
      </c>
      <c r="B23" s="1">
        <f>'CH4'!G53</f>
        <v>4211933695.4230547</v>
      </c>
      <c r="C23" s="1">
        <f>'CH4'!B53</f>
        <v>2.5889297804095731E-25</v>
      </c>
      <c r="D23" s="1" cm="1">
        <f t="array" ref="D23">Tabella5[Numero Avogadro]*((Tabella5[Pressione Rif]*Tabella43[[#This Row],[V Metano]])/(Tabella43[[#This Row],[Temperatura]]*Tabella5[Rydberg R]))</f>
        <v>1.0000001141996919</v>
      </c>
      <c r="E23">
        <f>1</f>
        <v>1</v>
      </c>
      <c r="F23" s="1">
        <f>'CH3'!G54</f>
        <v>125201995398.22084</v>
      </c>
      <c r="G23" s="1">
        <f>'CH3'!B54</f>
        <v>2.5889297804095731E-25</v>
      </c>
      <c r="H23" s="1" cm="1">
        <f t="array" ref="H23">Tabella5[Numero Avogadro]*((Tabella5[Pressione Rif]*Tabella43[[#This Row],[V Metile]])/(Tabella5[Rydberg R]*Tabella43[[#This Row],[Temperatura]]))</f>
        <v>1.0000001141996919</v>
      </c>
      <c r="I23">
        <f t="shared" si="0"/>
        <v>-1</v>
      </c>
      <c r="J23" s="1">
        <f>H!G34</f>
        <v>8154139.9116292875</v>
      </c>
      <c r="K23" s="1">
        <f>H!B34</f>
        <v>2.5889297804095731E-25</v>
      </c>
      <c r="L23" s="1" cm="1">
        <f t="array" ref="L23">Tabella5[Numero Avogadro]*((Tabella5[Pressione Rif]*Tabella43[[#This Row],[V Idrogeno]])/(Tabella5[Rydberg R]*Tabella43[[#This Row],[Temperatura]]))</f>
        <v>1.0000001141996919</v>
      </c>
      <c r="M23">
        <f t="shared" si="1"/>
        <v>-1</v>
      </c>
      <c r="N23" s="1">
        <f>POWER(Tabella43[[#This Row],[Q Metano]]/Tabella43[[#This Row],[N Metano]],Tabella43[[#This Row],[Ni Metano ]])*POWER(Tabella43[[#This Row],[Q Metile]]/Tabella43[[#This Row],[N Metile]],Tabella43[[#This Row],[Ni Metile]])*POWER(Tabella43[[#This Row],[Q Idrogeno]]/Tabella43[[#This Row],[N Idrogeno]],Tabella43[[#This Row],[Ni Idrogeno]])</f>
        <v>4.1256479505748983E-9</v>
      </c>
    </row>
    <row r="24" spans="1:14" x14ac:dyDescent="0.3">
      <c r="A24">
        <v>2000</v>
      </c>
      <c r="B24" s="1">
        <f>'CH4'!G54</f>
        <v>9134231540.1390076</v>
      </c>
      <c r="C24" s="1">
        <f>'CH4'!B54</f>
        <v>2.7251892425363931E-25</v>
      </c>
      <c r="D24" s="1" cm="1">
        <f t="array" ref="D24">Tabella5[Numero Avogadro]*((Tabella5[Pressione Rif]*Tabella43[[#This Row],[V Metano]])/(Tabella43[[#This Row],[Temperatura]]*Tabella5[Rydberg R]))</f>
        <v>1.0000001141996919</v>
      </c>
      <c r="E24">
        <f>1</f>
        <v>1</v>
      </c>
      <c r="F24" s="1">
        <f>'CH3'!G55</f>
        <v>225899486499.00314</v>
      </c>
      <c r="G24" s="1">
        <f>'CH3'!B55</f>
        <v>2.7251892425363931E-25</v>
      </c>
      <c r="H24" s="1" cm="1">
        <f t="array" ref="H24">Tabella5[Numero Avogadro]*((Tabella5[Pressione Rif]*Tabella43[[#This Row],[V Metile]])/(Tabella5[Rydberg R]*Tabella43[[#This Row],[Temperatura]]))</f>
        <v>1.0000001141996919</v>
      </c>
      <c r="I24">
        <f t="shared" si="0"/>
        <v>-1</v>
      </c>
      <c r="J24" s="1">
        <f>H!G35</f>
        <v>9269773.9935790747</v>
      </c>
      <c r="K24" s="1">
        <f>H!B35</f>
        <v>2.7251892425363931E-25</v>
      </c>
      <c r="L24" s="1" cm="1">
        <f t="array" ref="L24">Tabella5[Numero Avogadro]*((Tabella5[Pressione Rif]*Tabella43[[#This Row],[V Idrogeno]])/(Tabella5[Rydberg R]*Tabella43[[#This Row],[Temperatura]]))</f>
        <v>1.0000001141996919</v>
      </c>
      <c r="M24">
        <f t="shared" si="1"/>
        <v>-1</v>
      </c>
      <c r="N24" s="1">
        <f>POWER(Tabella43[[#This Row],[Q Metano]]/Tabella43[[#This Row],[N Metano]],Tabella43[[#This Row],[Ni Metano ]])*POWER(Tabella43[[#This Row],[Q Metile]]/Tabella43[[#This Row],[N Metile]],Tabella43[[#This Row],[Ni Metile]])*POWER(Tabella43[[#This Row],[Q Idrogeno]]/Tabella43[[#This Row],[N Idrogeno]],Tabella43[[#This Row],[Ni Idrogeno]])</f>
        <v>4.3620202392823435E-9</v>
      </c>
    </row>
    <row r="47" spans="1:14" x14ac:dyDescent="0.3">
      <c r="A47" t="s">
        <v>4</v>
      </c>
      <c r="B47" t="s">
        <v>45</v>
      </c>
      <c r="C47" t="s">
        <v>49</v>
      </c>
      <c r="D47" t="s">
        <v>51</v>
      </c>
      <c r="E47" t="s">
        <v>55</v>
      </c>
      <c r="F47" t="s">
        <v>46</v>
      </c>
      <c r="G47" t="s">
        <v>53</v>
      </c>
      <c r="H47" t="s">
        <v>52</v>
      </c>
      <c r="I47" t="s">
        <v>56</v>
      </c>
      <c r="J47" t="s">
        <v>47</v>
      </c>
      <c r="K47" t="s">
        <v>50</v>
      </c>
      <c r="L47" t="s">
        <v>54</v>
      </c>
      <c r="M47" t="s">
        <v>57</v>
      </c>
      <c r="N47" t="s">
        <v>58</v>
      </c>
    </row>
    <row r="48" spans="1:14" x14ac:dyDescent="0.3">
      <c r="A48">
        <v>298</v>
      </c>
      <c r="B48" s="1">
        <f>'CH4'!G37</f>
        <v>9.1640647355149438E-13</v>
      </c>
      <c r="C48" s="1">
        <f>'CH4'!B37</f>
        <v>4.0605319713792254E-26</v>
      </c>
      <c r="D48" s="1" cm="1">
        <f t="array" ref="D48">Tabella5[Numero Avogadro]*((Tabella5[Pressione Rif]*Tabella4310[[#This Row],[V Metano]])/(Tabella4310[[#This Row],[Temperatura]]*Tabella5[Rydberg R]))</f>
        <v>1.0000001141996919</v>
      </c>
      <c r="E48">
        <f t="shared" ref="E48:E65" si="2">-1</f>
        <v>-1</v>
      </c>
      <c r="F48" s="1">
        <f>'CH3'!G38</f>
        <v>2.4015428819626394E-5</v>
      </c>
      <c r="G48" s="1">
        <f>'CH3'!B38</f>
        <v>4.0605319713792254E-26</v>
      </c>
      <c r="H48" s="1" cm="1">
        <f t="array" ref="H48">Tabella5[Numero Avogadro]*((Tabella5[Pressione Rif]*Tabella4310[[#This Row],[V Metile]])/(Tabella5[Rydberg R]*Tabella4310[[#This Row],[Temperatura]]))</f>
        <v>1.0000001141996919</v>
      </c>
      <c r="I48">
        <f>1</f>
        <v>1</v>
      </c>
      <c r="J48" s="1">
        <f>H!G18</f>
        <v>79439.191743572446</v>
      </c>
      <c r="K48" s="1">
        <f>H!B18</f>
        <v>4.0605319713792254E-26</v>
      </c>
      <c r="L48" s="1" cm="1">
        <f t="array" ref="L48">Tabella5[Numero Avogadro]*((Tabella5[Pressione Rif]*Tabella4310[[#This Row],[V Idrogeno]])/(Tabella5[Rydberg R]*Tabella4310[[#This Row],[Temperatura]]))</f>
        <v>1.0000001141996919</v>
      </c>
      <c r="M48">
        <f>1</f>
        <v>1</v>
      </c>
      <c r="N48" s="1">
        <f>POWER(Tabella4310[[#This Row],[Q Metano]]/Tabella4310[[#This Row],[N Metano]],Tabella4310[[#This Row],[Ni Metano ]])*POWER(Tabella4310[[#This Row],[Q Metile]]/Tabella4310[[#This Row],[N Metile]],Tabella4310[[#This Row],[Ni Metile]])*POWER(Tabella4310[[#This Row],[Q Idrogeno]]/Tabella4310[[#This Row],[N Idrogeno]],Tabella4310[[#This Row],[Ni Idrogeno]])</f>
        <v>2081790223007.3264</v>
      </c>
    </row>
    <row r="49" spans="1:14" x14ac:dyDescent="0.3">
      <c r="A49">
        <v>400</v>
      </c>
      <c r="B49" s="1">
        <f>'CH4'!G38</f>
        <v>5.4872299562558848E-7</v>
      </c>
      <c r="C49" s="1">
        <f>'CH4'!B38</f>
        <v>5.4503784850727862E-26</v>
      </c>
      <c r="D49" s="1" cm="1">
        <f t="array" ref="D49">Tabella5[Numero Avogadro]*((Tabella5[Pressione Rif]*Tabella4310[[#This Row],[V Metano]])/(Tabella4310[[#This Row],[Temperatura]]*Tabella5[Rydberg R]))</f>
        <v>1.0000001141996921</v>
      </c>
      <c r="E49">
        <f t="shared" si="2"/>
        <v>-1</v>
      </c>
      <c r="F49" s="1">
        <f>'CH3'!G39</f>
        <v>0.26970439182915784</v>
      </c>
      <c r="G49" s="1">
        <f>'CH3'!B39</f>
        <v>5.4503784850727862E-26</v>
      </c>
      <c r="H49" s="1" cm="1">
        <f t="array" ref="H49">Tabella5[Numero Avogadro]*((Tabella5[Pressione Rif]*Tabella4310[[#This Row],[V Metile]])/(Tabella5[Rydberg R]*Tabella4310[[#This Row],[Temperatura]]))</f>
        <v>1.0000001141996921</v>
      </c>
      <c r="I49">
        <f>1</f>
        <v>1</v>
      </c>
      <c r="J49" s="1">
        <f>H!G19</f>
        <v>165822.75828562057</v>
      </c>
      <c r="K49" s="1">
        <f>H!B19</f>
        <v>5.4503784850727862E-26</v>
      </c>
      <c r="L49" s="1" cm="1">
        <f t="array" ref="L49">Tabella5[Numero Avogadro]*((Tabella5[Pressione Rif]*Tabella4310[[#This Row],[V Idrogeno]])/(Tabella5[Rydberg R]*Tabella4310[[#This Row],[Temperatura]]))</f>
        <v>1.0000001141996921</v>
      </c>
      <c r="M49">
        <f>1</f>
        <v>1</v>
      </c>
      <c r="N49" s="1">
        <f>POWER(Tabella4310[[#This Row],[Q Metano]]/Tabella4310[[#This Row],[N Metano]],Tabella4310[[#This Row],[Ni Metano ]])*POWER(Tabella4310[[#This Row],[Q Metile]]/Tabella4310[[#This Row],[N Metile]],Tabella4310[[#This Row],[Ni Metile]])*POWER(Tabella4310[[#This Row],[Q Idrogeno]]/Tabella4310[[#This Row],[N Idrogeno]],Tabella4310[[#This Row],[Ni Idrogeno]])</f>
        <v>81504003703.183838</v>
      </c>
    </row>
    <row r="50" spans="1:14" x14ac:dyDescent="0.3">
      <c r="A50">
        <v>500</v>
      </c>
      <c r="B50" s="1">
        <f>'CH4'!G39</f>
        <v>1.6642916169318889E-3</v>
      </c>
      <c r="C50" s="1">
        <f>'CH4'!B39</f>
        <v>6.8129731063409828E-26</v>
      </c>
      <c r="D50" s="1" cm="1">
        <f t="array" ref="D50">Tabella5[Numero Avogadro]*((Tabella5[Pressione Rif]*Tabella4310[[#This Row],[V Metano]])/(Tabella4310[[#This Row],[Temperatura]]*Tabella5[Rydberg R]))</f>
        <v>1.0000001141996919</v>
      </c>
      <c r="E50">
        <f t="shared" si="2"/>
        <v>-1</v>
      </c>
      <c r="F50" s="1">
        <f>'CH3'!G40</f>
        <v>81.268440438413251</v>
      </c>
      <c r="G50" s="1">
        <f>'CH3'!B40</f>
        <v>6.8129731063409828E-26</v>
      </c>
      <c r="H50" s="1" cm="1">
        <f t="array" ref="H50">Tabella5[Numero Avogadro]*((Tabella5[Pressione Rif]*Tabella4310[[#This Row],[V Metile]])/(Tabella5[Rydberg R]*Tabella4310[[#This Row],[Temperatura]]))</f>
        <v>1.0000001141996919</v>
      </c>
      <c r="I50">
        <f>1</f>
        <v>1</v>
      </c>
      <c r="J50" s="1">
        <f>H!G20</f>
        <v>289680.43729934859</v>
      </c>
      <c r="K50" s="1">
        <f>H!B20</f>
        <v>6.8129731063409828E-26</v>
      </c>
      <c r="L50" s="1" cm="1">
        <f t="array" ref="L50">Tabella5[Numero Avogadro]*((Tabella5[Pressione Rif]*Tabella4310[[#This Row],[V Idrogeno]])/(Tabella5[Rydberg R]*Tabella4310[[#This Row],[Temperatura]]))</f>
        <v>1.0000001141996919</v>
      </c>
      <c r="M50">
        <f>1</f>
        <v>1</v>
      </c>
      <c r="N50" s="1">
        <f>POWER(Tabella4310[[#This Row],[Q Metano]]/Tabella4310[[#This Row],[N Metano]],Tabella4310[[#This Row],[Ni Metano ]])*POWER(Tabella4310[[#This Row],[Q Metile]]/Tabella4310[[#This Row],[N Metile]],Tabella4310[[#This Row],[Ni Metile]])*POWER(Tabella4310[[#This Row],[Q Idrogeno]]/Tabella4310[[#This Row],[N Idrogeno]],Tabella4310[[#This Row],[Ni Idrogeno]])</f>
        <v>14145282255.13752</v>
      </c>
    </row>
    <row r="51" spans="1:14" x14ac:dyDescent="0.3">
      <c r="A51">
        <v>600</v>
      </c>
      <c r="B51" s="1">
        <f>'CH4'!G40</f>
        <v>0.41873765403220703</v>
      </c>
      <c r="C51" s="1">
        <f>'CH4'!B40</f>
        <v>8.1755677276091782E-26</v>
      </c>
      <c r="D51" s="1" cm="1">
        <f t="array" ref="D51">Tabella5[Numero Avogadro]*((Tabella5[Pressione Rif]*Tabella4310[[#This Row],[V Metano]])/(Tabella4310[[#This Row],[Temperatura]]*Tabella5[Rydberg R]))</f>
        <v>1.0000001141996921</v>
      </c>
      <c r="E51">
        <f t="shared" si="2"/>
        <v>-1</v>
      </c>
      <c r="F51" s="1">
        <f>'CH3'!G41</f>
        <v>4382.23869588262</v>
      </c>
      <c r="G51" s="1">
        <f>'CH3'!B41</f>
        <v>8.1755677276091782E-26</v>
      </c>
      <c r="H51" s="1" cm="1">
        <f t="array" ref="H51">Tabella5[Numero Avogadro]*((Tabella5[Pressione Rif]*Tabella4310[[#This Row],[V Metile]])/(Tabella5[Rydberg R]*Tabella4310[[#This Row],[Temperatura]]))</f>
        <v>1.0000001141996921</v>
      </c>
      <c r="I51">
        <f>1</f>
        <v>1</v>
      </c>
      <c r="J51" s="1">
        <f>H!G21</f>
        <v>456953.78873321909</v>
      </c>
      <c r="K51" s="1">
        <f>H!B21</f>
        <v>8.1755677276091782E-26</v>
      </c>
      <c r="L51" s="1" cm="1">
        <f t="array" ref="L51">Tabella5[Numero Avogadro]*((Tabella5[Pressione Rif]*Tabella4310[[#This Row],[V Idrogeno]])/(Tabella5[Rydberg R]*Tabella4310[[#This Row],[Temperatura]]))</f>
        <v>1.0000001141996921</v>
      </c>
      <c r="M51">
        <f>1</f>
        <v>1</v>
      </c>
      <c r="N51" s="1">
        <f>POWER(Tabella4310[[#This Row],[Q Metano]]/Tabella4310[[#This Row],[N Metano]],Tabella4310[[#This Row],[Ni Metano ]])*POWER(Tabella4310[[#This Row],[Q Metile]]/Tabella4310[[#This Row],[N Metile]],Tabella4310[[#This Row],[Ni Metile]])*POWER(Tabella4310[[#This Row],[Q Idrogeno]]/Tabella4310[[#This Row],[N Idrogeno]],Tabella4310[[#This Row],[Ni Idrogeno]])</f>
        <v>4782183611.2694693</v>
      </c>
    </row>
    <row r="52" spans="1:14" x14ac:dyDescent="0.3">
      <c r="A52">
        <v>700</v>
      </c>
      <c r="B52" s="1">
        <f>'CH4'!G41</f>
        <v>25.149053334805718</v>
      </c>
      <c r="C52" s="1">
        <f>'CH4'!B41</f>
        <v>9.5381623488773759E-26</v>
      </c>
      <c r="D52" s="1" cm="1">
        <f t="array" ref="D52">Tabella5[Numero Avogadro]*((Tabella5[Pressione Rif]*Tabella4310[[#This Row],[V Metano]])/(Tabella4310[[#This Row],[Temperatura]]*Tabella5[Rydberg R]))</f>
        <v>1.0000001141996921</v>
      </c>
      <c r="E52">
        <f t="shared" si="2"/>
        <v>-1</v>
      </c>
      <c r="F52" s="1">
        <f>'CH3'!G42</f>
        <v>86828.432763622783</v>
      </c>
      <c r="G52" s="1">
        <f>'CH3'!B42</f>
        <v>9.5381623488773759E-26</v>
      </c>
      <c r="H52" s="1" cm="1">
        <f t="array" ref="H52">Tabella5[Numero Avogadro]*((Tabella5[Pressione Rif]*Tabella4310[[#This Row],[V Metile]])/(Tabella5[Rydberg R]*Tabella4310[[#This Row],[Temperatura]]))</f>
        <v>1.0000001141996921</v>
      </c>
      <c r="I52">
        <f>1</f>
        <v>1</v>
      </c>
      <c r="J52" s="1">
        <f>H!G22</f>
        <v>671798.85083712533</v>
      </c>
      <c r="K52" s="1">
        <f>H!B22</f>
        <v>9.5381623488773759E-26</v>
      </c>
      <c r="L52" s="1" cm="1">
        <f t="array" ref="L52">Tabella5[Numero Avogadro]*((Tabella5[Pressione Rif]*Tabella4310[[#This Row],[V Idrogeno]])/(Tabella5[Rydberg R]*Tabella4310[[#This Row],[Temperatura]]))</f>
        <v>1.0000001141996921</v>
      </c>
      <c r="M52">
        <f>1</f>
        <v>1</v>
      </c>
      <c r="N52" s="1">
        <f>POWER(Tabella4310[[#This Row],[Q Metano]]/Tabella4310[[#This Row],[N Metano]],Tabella4310[[#This Row],[Ni Metano ]])*POWER(Tabella4310[[#This Row],[Q Metile]]/Tabella4310[[#This Row],[N Metile]],Tabella4310[[#This Row],[Ni Metile]])*POWER(Tabella4310[[#This Row],[Q Idrogeno]]/Tabella4310[[#This Row],[N Idrogeno]],Tabella4310[[#This Row],[Ni Idrogeno]])</f>
        <v>2319420692.0088019</v>
      </c>
    </row>
    <row r="53" spans="1:14" x14ac:dyDescent="0.3">
      <c r="A53">
        <v>800</v>
      </c>
      <c r="B53" s="1">
        <f>'CH4'!G42</f>
        <v>612.82211602565815</v>
      </c>
      <c r="C53" s="1">
        <f>'CH4'!B42</f>
        <v>1.0900756970145572E-25</v>
      </c>
      <c r="D53" s="1" cm="1">
        <f t="array" ref="D53">Tabella5[Numero Avogadro]*((Tabella5[Pressione Rif]*Tabella4310[[#This Row],[V Metano]])/(Tabella4310[[#This Row],[Temperatura]]*Tabella5[Rydberg R]))</f>
        <v>1.0000001141996921</v>
      </c>
      <c r="E53">
        <f t="shared" si="2"/>
        <v>-1</v>
      </c>
      <c r="F53" s="1">
        <f>'CH3'!G43</f>
        <v>909689.17262610781</v>
      </c>
      <c r="G53" s="1">
        <f>'CH3'!B43</f>
        <v>1.0900756970145572E-25</v>
      </c>
      <c r="H53" s="1" cm="1">
        <f t="array" ref="H53">Tabella5[Numero Avogadro]*((Tabella5[Pressione Rif]*Tabella4310[[#This Row],[V Metile]])/(Tabella5[Rydberg R]*Tabella4310[[#This Row],[Temperatura]]))</f>
        <v>1.0000001141996921</v>
      </c>
      <c r="I53">
        <f>1</f>
        <v>1</v>
      </c>
      <c r="J53" s="1">
        <f>H!G23</f>
        <v>938035.17487056309</v>
      </c>
      <c r="K53" s="1">
        <f>H!B23</f>
        <v>1.0900756970145572E-25</v>
      </c>
      <c r="L53" s="1" cm="1">
        <f t="array" ref="L53">Tabella5[Numero Avogadro]*((Tabella5[Pressione Rif]*Tabella4310[[#This Row],[V Idrogeno]])/(Tabella5[Rydberg R]*Tabella4310[[#This Row],[Temperatura]]))</f>
        <v>1.0000001141996921</v>
      </c>
      <c r="M53">
        <f>1</f>
        <v>1</v>
      </c>
      <c r="N53" s="1">
        <f>POWER(Tabella4310[[#This Row],[Q Metano]]/Tabella4310[[#This Row],[N Metano]],Tabella4310[[#This Row],[Ni Metano ]])*POWER(Tabella4310[[#This Row],[Q Metile]]/Tabella4310[[#This Row],[N Metile]],Tabella4310[[#This Row],[Ni Metile]])*POWER(Tabella4310[[#This Row],[Q Idrogeno]]/Tabella4310[[#This Row],[N Idrogeno]],Tabella4310[[#This Row],[Ni Idrogeno]])</f>
        <v>1392443781.577786</v>
      </c>
    </row>
    <row r="54" spans="1:14" x14ac:dyDescent="0.3">
      <c r="A54">
        <v>900</v>
      </c>
      <c r="B54" s="1">
        <f>'CH4'!G43</f>
        <v>8142.0685147040158</v>
      </c>
      <c r="C54" s="1">
        <f>'CH4'!B43</f>
        <v>1.2263351591413768E-25</v>
      </c>
      <c r="D54" s="1" cm="1">
        <f t="array" ref="D54">Tabella5[Numero Avogadro]*((Tabella5[Pressione Rif]*Tabella4310[[#This Row],[V Metano]])/(Tabella4310[[#This Row],[Temperatura]]*Tabella5[Rydberg R]))</f>
        <v>1.0000001141996919</v>
      </c>
      <c r="E54">
        <f t="shared" si="2"/>
        <v>-1</v>
      </c>
      <c r="F54" s="1">
        <f>'CH3'!G44</f>
        <v>6183579.468293136</v>
      </c>
      <c r="G54" s="1">
        <f>'CH3'!B44</f>
        <v>1.2263351591413768E-25</v>
      </c>
      <c r="H54" s="1" cm="1">
        <f t="array" ref="H54">Tabella5[Numero Avogadro]*((Tabella5[Pressione Rif]*Tabella4310[[#This Row],[V Metile]])/(Tabella5[Rydberg R]*Tabella4310[[#This Row],[Temperatura]]))</f>
        <v>1.0000001141996919</v>
      </c>
      <c r="I54">
        <f>1</f>
        <v>1</v>
      </c>
      <c r="J54" s="1">
        <f>H!G24</f>
        <v>1259216.5707314331</v>
      </c>
      <c r="K54" s="1">
        <f>H!B24</f>
        <v>1.2263351591413768E-25</v>
      </c>
      <c r="L54" s="1" cm="1">
        <f t="array" ref="L54">Tabella5[Numero Avogadro]*((Tabella5[Pressione Rif]*Tabella4310[[#This Row],[V Idrogeno]])/(Tabella5[Rydberg R]*Tabella4310[[#This Row],[Temperatura]]))</f>
        <v>1.0000001141996919</v>
      </c>
      <c r="M54">
        <f>1</f>
        <v>1</v>
      </c>
      <c r="N54" s="1">
        <f>POWER(Tabella4310[[#This Row],[Q Metano]]/Tabella4310[[#This Row],[N Metano]],Tabella4310[[#This Row],[Ni Metano ]])*POWER(Tabella4310[[#This Row],[Q Metile]]/Tabella4310[[#This Row],[N Metile]],Tabella4310[[#This Row],[Ni Metile]])*POWER(Tabella4310[[#This Row],[Q Idrogeno]]/Tabella4310[[#This Row],[N Idrogeno]],Tabella4310[[#This Row],[Ni Idrogeno]])</f>
        <v>956325143.86677969</v>
      </c>
    </row>
    <row r="55" spans="1:14" x14ac:dyDescent="0.3">
      <c r="A55">
        <v>1000</v>
      </c>
      <c r="B55" s="1">
        <f>'CH4'!G44</f>
        <v>70458.836008538012</v>
      </c>
      <c r="C55" s="1">
        <f>'CH4'!B44</f>
        <v>1.3625946212681966E-25</v>
      </c>
      <c r="D55" s="1" cm="1">
        <f t="array" ref="D55">Tabella5[Numero Avogadro]*((Tabella5[Pressione Rif]*Tabella4310[[#This Row],[V Metano]])/(Tabella4310[[#This Row],[Temperatura]]*Tabella5[Rydberg R]))</f>
        <v>1.0000001141996919</v>
      </c>
      <c r="E55">
        <f t="shared" si="2"/>
        <v>-1</v>
      </c>
      <c r="F55" s="1">
        <f>'CH3'!G45</f>
        <v>30876323.744587798</v>
      </c>
      <c r="G55" s="1">
        <f>'CH3'!B45</f>
        <v>1.3625946212681966E-25</v>
      </c>
      <c r="H55" s="1" cm="1">
        <f t="array" ref="H55">Tabella5[Numero Avogadro]*((Tabella5[Pressione Rif]*Tabella4310[[#This Row],[V Metile]])/(Tabella5[Rydberg R]*Tabella4310[[#This Row],[Temperatura]]))</f>
        <v>1.0000001141996919</v>
      </c>
      <c r="I55">
        <f>1</f>
        <v>1</v>
      </c>
      <c r="J55" s="1">
        <f>H!G25</f>
        <v>1638680.0127316357</v>
      </c>
      <c r="K55" s="1">
        <f>H!B25</f>
        <v>1.3625946212681966E-25</v>
      </c>
      <c r="L55" s="1" cm="1">
        <f t="array" ref="L55">Tabella5[Numero Avogadro]*((Tabella5[Pressione Rif]*Tabella4310[[#This Row],[V Idrogeno]])/(Tabella5[Rydberg R]*Tabella4310[[#This Row],[Temperatura]]))</f>
        <v>1.0000001141996919</v>
      </c>
      <c r="M55">
        <f>1</f>
        <v>1</v>
      </c>
      <c r="N55" s="1">
        <f>POWER(Tabella4310[[#This Row],[Q Metano]]/Tabella4310[[#This Row],[N Metano]],Tabella4310[[#This Row],[Ni Metano ]])*POWER(Tabella4310[[#This Row],[Q Metile]]/Tabella4310[[#This Row],[N Metile]],Tabella4310[[#This Row],[Ni Metile]])*POWER(Tabella4310[[#This Row],[Q Idrogeno]]/Tabella4310[[#This Row],[N Idrogeno]],Tabella4310[[#This Row],[Ni Idrogeno]])</f>
        <v>718098845.72407353</v>
      </c>
    </row>
    <row r="56" spans="1:14" x14ac:dyDescent="0.3">
      <c r="A56">
        <v>1100</v>
      </c>
      <c r="B56" s="1">
        <f>'CH4'!G45</f>
        <v>444830.85319417389</v>
      </c>
      <c r="C56" s="1">
        <f>'CH4'!B45</f>
        <v>1.4988540833950161E-25</v>
      </c>
      <c r="D56" s="1" cm="1">
        <f t="array" ref="D56">Tabella5[Numero Avogadro]*((Tabella5[Pressione Rif]*Tabella4310[[#This Row],[V Metano]])/(Tabella4310[[#This Row],[Temperatura]]*Tabella5[Rydberg R]))</f>
        <v>1.0000001141996921</v>
      </c>
      <c r="E56">
        <f t="shared" si="2"/>
        <v>-1</v>
      </c>
      <c r="F56" s="1">
        <f>'CH3'!G46</f>
        <v>122671115.9552334</v>
      </c>
      <c r="G56" s="1">
        <f>'CH3'!B46</f>
        <v>1.4988540833950161E-25</v>
      </c>
      <c r="H56" s="1" cm="1">
        <f t="array" ref="H56">Tabella5[Numero Avogadro]*((Tabella5[Pressione Rif]*Tabella4310[[#This Row],[V Metile]])/(Tabella5[Rydberg R]*Tabella4310[[#This Row],[Temperatura]]))</f>
        <v>1.0000001141996921</v>
      </c>
      <c r="I56">
        <f>1</f>
        <v>1</v>
      </c>
      <c r="J56" s="1">
        <f>H!G26</f>
        <v>2079581.1369737284</v>
      </c>
      <c r="K56" s="1">
        <f>H!B26</f>
        <v>1.4988540833950161E-25</v>
      </c>
      <c r="L56" s="1" cm="1">
        <f t="array" ref="L56">Tabella5[Numero Avogadro]*((Tabella5[Pressione Rif]*Tabella4310[[#This Row],[V Idrogeno]])/(Tabella5[Rydberg R]*Tabella4310[[#This Row],[Temperatura]]))</f>
        <v>1.0000001141996921</v>
      </c>
      <c r="M56">
        <f>1</f>
        <v>1</v>
      </c>
      <c r="N56" s="1">
        <f>POWER(Tabella4310[[#This Row],[Q Metano]]/Tabella4310[[#This Row],[N Metano]],Tabella4310[[#This Row],[Ni Metano ]])*POWER(Tabella4310[[#This Row],[Q Metile]]/Tabella4310[[#This Row],[N Metile]],Tabella4310[[#This Row],[Ni Metile]])*POWER(Tabella4310[[#This Row],[Q Idrogeno]]/Tabella4310[[#This Row],[N Idrogeno]],Tabella4310[[#This Row],[Ni Idrogeno]])</f>
        <v>573486546.23965085</v>
      </c>
    </row>
    <row r="57" spans="1:14" x14ac:dyDescent="0.3">
      <c r="A57">
        <v>1200</v>
      </c>
      <c r="B57" s="1">
        <f>'CH4'!G46</f>
        <v>2210228.2866126108</v>
      </c>
      <c r="C57" s="1">
        <f>'CH4'!B46</f>
        <v>1.6351135455218356E-25</v>
      </c>
      <c r="D57" s="1" cm="1">
        <f t="array" ref="D57">Tabella5[Numero Avogadro]*((Tabella5[Pressione Rif]*Tabella4310[[#This Row],[V Metano]])/(Tabella4310[[#This Row],[Temperatura]]*Tabella5[Rydberg R]))</f>
        <v>1.0000001141996921</v>
      </c>
      <c r="E57">
        <f t="shared" si="2"/>
        <v>-1</v>
      </c>
      <c r="F57" s="1">
        <f>'CH3'!G47</f>
        <v>409223994.01892483</v>
      </c>
      <c r="G57" s="1">
        <f>'CH3'!B47</f>
        <v>1.6351135455218356E-25</v>
      </c>
      <c r="H57" s="1" cm="1">
        <f t="array" ref="H57">Tabella5[Numero Avogadro]*((Tabella5[Pressione Rif]*Tabella4310[[#This Row],[V Metile]])/(Tabella5[Rydberg R]*Tabella4310[[#This Row],[Temperatura]]))</f>
        <v>1.0000001141996921</v>
      </c>
      <c r="I57">
        <f>1</f>
        <v>1</v>
      </c>
      <c r="J57" s="1">
        <f>H!G27</f>
        <v>2584920.9816171611</v>
      </c>
      <c r="K57" s="1">
        <f>H!B27</f>
        <v>1.6351135455218356E-25</v>
      </c>
      <c r="L57" s="1" cm="1">
        <f t="array" ref="L57">Tabella5[Numero Avogadro]*((Tabella5[Pressione Rif]*Tabella4310[[#This Row],[V Idrogeno]])/(Tabella5[Rydberg R]*Tabella4310[[#This Row],[Temperatura]]))</f>
        <v>1.0000001141996921</v>
      </c>
      <c r="M57">
        <f>1</f>
        <v>1</v>
      </c>
      <c r="N57" s="1">
        <f>POWER(Tabella4310[[#This Row],[Q Metano]]/Tabella4310[[#This Row],[N Metano]],Tabella4310[[#This Row],[Ni Metano ]])*POWER(Tabella4310[[#This Row],[Q Metile]]/Tabella4310[[#This Row],[N Metile]],Tabella4310[[#This Row],[Ni Metile]])*POWER(Tabella4310[[#This Row],[Q Idrogeno]]/Tabella4310[[#This Row],[N Idrogeno]],Tabella4310[[#This Row],[Ni Idrogeno]])</f>
        <v>478598330.28385407</v>
      </c>
    </row>
    <row r="58" spans="1:14" x14ac:dyDescent="0.3">
      <c r="A58">
        <v>1300</v>
      </c>
      <c r="B58" s="1">
        <f>'CH4'!G47</f>
        <v>9110074.1248581763</v>
      </c>
      <c r="C58" s="1">
        <f>'CH4'!B47</f>
        <v>1.7713730076486554E-25</v>
      </c>
      <c r="D58" s="1" cm="1">
        <f t="array" ref="D58">Tabella5[Numero Avogadro]*((Tabella5[Pressione Rif]*Tabella4310[[#This Row],[V Metano]])/(Tabella4310[[#This Row],[Temperatura]]*Tabella5[Rydberg R]))</f>
        <v>1.0000001141996921</v>
      </c>
      <c r="E58">
        <f t="shared" si="2"/>
        <v>-1</v>
      </c>
      <c r="F58" s="1">
        <f>'CH3'!G48</f>
        <v>1190214372.7573395</v>
      </c>
      <c r="G58" s="1">
        <f>'CH3'!B48</f>
        <v>1.7713730076486554E-25</v>
      </c>
      <c r="H58" s="1" cm="1">
        <f t="array" ref="H58">Tabella5[Numero Avogadro]*((Tabella5[Pressione Rif]*Tabella4310[[#This Row],[V Metile]])/(Tabella5[Rydberg R]*Tabella4310[[#This Row],[Temperatura]]))</f>
        <v>1.0000001141996921</v>
      </c>
      <c r="I58">
        <f>1</f>
        <v>1</v>
      </c>
      <c r="J58" s="1">
        <f>H!G28</f>
        <v>3157566.7293989682</v>
      </c>
      <c r="K58" s="1">
        <f>H!B28</f>
        <v>1.7713730076486554E-25</v>
      </c>
      <c r="L58" s="1" cm="1">
        <f t="array" ref="L58">Tabella5[Numero Avogadro]*((Tabella5[Pressione Rif]*Tabella4310[[#This Row],[V Idrogeno]])/(Tabella5[Rydberg R]*Tabella4310[[#This Row],[Temperatura]]))</f>
        <v>1.0000001141996921</v>
      </c>
      <c r="M58">
        <f>1</f>
        <v>1</v>
      </c>
      <c r="N58" s="1">
        <f>POWER(Tabella4310[[#This Row],[Q Metano]]/Tabella4310[[#This Row],[N Metano]],Tabella4310[[#This Row],[Ni Metano ]])*POWER(Tabella4310[[#This Row],[Q Metile]]/Tabella4310[[#This Row],[N Metile]],Tabella4310[[#This Row],[Ni Metile]])*POWER(Tabella4310[[#This Row],[Q Idrogeno]]/Tabella4310[[#This Row],[N Idrogeno]],Tabella4310[[#This Row],[Ni Idrogeno]])</f>
        <v>412530219.1376456</v>
      </c>
    </row>
    <row r="59" spans="1:14" x14ac:dyDescent="0.3">
      <c r="A59">
        <v>1400</v>
      </c>
      <c r="B59" s="1">
        <f>'CH4'!G48</f>
        <v>32346972.024411377</v>
      </c>
      <c r="C59" s="1">
        <f>'CH4'!B48</f>
        <v>1.9076324697754752E-25</v>
      </c>
      <c r="D59" s="1" cm="1">
        <f t="array" ref="D59">Tabella5[Numero Avogadro]*((Tabella5[Pressione Rif]*Tabella4310[[#This Row],[V Metano]])/(Tabella4310[[#This Row],[Temperatura]]*Tabella5[Rydberg R]))</f>
        <v>1.0000001141996921</v>
      </c>
      <c r="E59">
        <f t="shared" si="2"/>
        <v>-1</v>
      </c>
      <c r="F59" s="1">
        <f>'CH3'!G49</f>
        <v>3101159289.8636746</v>
      </c>
      <c r="G59" s="1">
        <f>'CH3'!B49</f>
        <v>1.9076324697754752E-25</v>
      </c>
      <c r="H59" s="1" cm="1">
        <f t="array" ref="H59">Tabella5[Numero Avogadro]*((Tabella5[Pressione Rif]*Tabella4310[[#This Row],[V Metile]])/(Tabella5[Rydberg R]*Tabella4310[[#This Row],[Temperatura]]))</f>
        <v>1.0000001141996921</v>
      </c>
      <c r="I59">
        <f>1</f>
        <v>1</v>
      </c>
      <c r="J59" s="1">
        <f>H!G29</f>
        <v>3800268.1841621008</v>
      </c>
      <c r="K59" s="1">
        <f>H!B29</f>
        <v>1.9076324697754752E-25</v>
      </c>
      <c r="L59" s="1" cm="1">
        <f t="array" ref="L59">Tabella5[Numero Avogadro]*((Tabella5[Pressione Rif]*Tabella4310[[#This Row],[V Idrogeno]])/(Tabella5[Rydberg R]*Tabella4310[[#This Row],[Temperatura]]))</f>
        <v>1.0000001141996921</v>
      </c>
      <c r="M59">
        <f>1</f>
        <v>1</v>
      </c>
      <c r="N59" s="1">
        <f>POWER(Tabella4310[[#This Row],[Q Metano]]/Tabella4310[[#This Row],[N Metano]],Tabella4310[[#This Row],[Ni Metano ]])*POWER(Tabella4310[[#This Row],[Q Metile]]/Tabella4310[[#This Row],[N Metile]],Tabella4310[[#This Row],[Ni Metile]])*POWER(Tabella4310[[#This Row],[Q Idrogeno]]/Tabella4310[[#This Row],[N Idrogeno]],Tabella4310[[#This Row],[Ni Idrogeno]])</f>
        <v>364338140.47643721</v>
      </c>
    </row>
    <row r="60" spans="1:14" x14ac:dyDescent="0.3">
      <c r="A60">
        <v>1500</v>
      </c>
      <c r="B60" s="1">
        <f>'CH4'!G49</f>
        <v>101727253.84099823</v>
      </c>
      <c r="C60" s="1">
        <f>'CH4'!B49</f>
        <v>2.0438919319022949E-25</v>
      </c>
      <c r="D60" s="1" cm="1">
        <f t="array" ref="D60">Tabella5[Numero Avogadro]*((Tabella5[Pressione Rif]*Tabella4310[[#This Row],[V Metano]])/(Tabella4310[[#This Row],[Temperatura]]*Tabella5[Rydberg R]))</f>
        <v>1.0000001141996921</v>
      </c>
      <c r="E60">
        <f t="shared" si="2"/>
        <v>-1</v>
      </c>
      <c r="F60" s="1">
        <f>'CH3'!G50</f>
        <v>7385660008.4921713</v>
      </c>
      <c r="G60" s="1">
        <f>'CH3'!B50</f>
        <v>2.0438919319022949E-25</v>
      </c>
      <c r="H60" s="1" cm="1">
        <f t="array" ref="H60">Tabella5[Numero Avogadro]*((Tabella5[Pressione Rif]*Tabella4310[[#This Row],[V Metile]])/(Tabella5[Rydberg R]*Tabella4310[[#This Row],[Temperatura]]))</f>
        <v>1.0000001141996921</v>
      </c>
      <c r="I60">
        <f>1</f>
        <v>1</v>
      </c>
      <c r="J60" s="1">
        <f>H!G30</f>
        <v>4515671.1182511644</v>
      </c>
      <c r="K60" s="1">
        <f>H!B30</f>
        <v>2.0438919319022949E-25</v>
      </c>
      <c r="L60" s="1" cm="1">
        <f t="array" ref="L60">Tabella5[Numero Avogadro]*((Tabella5[Pressione Rif]*Tabella4310[[#This Row],[V Idrogeno]])/(Tabella5[Rydberg R]*Tabella4310[[#This Row],[Temperatura]]))</f>
        <v>1.0000001141996921</v>
      </c>
      <c r="M60">
        <f>1</f>
        <v>1</v>
      </c>
      <c r="N60" s="1">
        <f>POWER(Tabella4310[[#This Row],[Q Metano]]/Tabella4310[[#This Row],[N Metano]],Tabella4310[[#This Row],[Ni Metano ]])*POWER(Tabella4310[[#This Row],[Q Metile]]/Tabella4310[[#This Row],[N Metile]],Tabella4310[[#This Row],[Ni Metile]])*POWER(Tabella4310[[#This Row],[Q Idrogeno]]/Tabella4310[[#This Row],[N Idrogeno]],Tabella4310[[#This Row],[Ni Idrogeno]])</f>
        <v>327849288.38245946</v>
      </c>
    </row>
    <row r="61" spans="1:14" x14ac:dyDescent="0.3">
      <c r="A61">
        <v>1600</v>
      </c>
      <c r="B61" s="1">
        <f>'CH4'!G50</f>
        <v>289352333.76198751</v>
      </c>
      <c r="C61" s="1">
        <f>'CH4'!B50</f>
        <v>2.1801513940291145E-25</v>
      </c>
      <c r="D61" s="1" cm="1">
        <f t="array" ref="D61">Tabella5[Numero Avogadro]*((Tabella5[Pressione Rif]*Tabella4310[[#This Row],[V Metano]])/(Tabella4310[[#This Row],[Temperatura]]*Tabella5[Rydberg R]))</f>
        <v>1.0000001141996921</v>
      </c>
      <c r="E61">
        <f t="shared" si="2"/>
        <v>-1</v>
      </c>
      <c r="F61" s="1">
        <f>'CH3'!G51</f>
        <v>16324362082.007141</v>
      </c>
      <c r="G61" s="1">
        <f>'CH3'!B51</f>
        <v>2.1801513940291145E-25</v>
      </c>
      <c r="H61" s="1" cm="1">
        <f t="array" ref="H61">Tabella5[Numero Avogadro]*((Tabella5[Pressione Rif]*Tabella4310[[#This Row],[V Metile]])/(Tabella5[Rydberg R]*Tabella4310[[#This Row],[Temperatura]]))</f>
        <v>1.0000001141996921</v>
      </c>
      <c r="I61">
        <f>1</f>
        <v>1</v>
      </c>
      <c r="J61" s="1">
        <f>H!G31</f>
        <v>5306328.2651398126</v>
      </c>
      <c r="K61" s="1">
        <f>H!B31</f>
        <v>2.1801513940291145E-25</v>
      </c>
      <c r="L61" s="1" cm="1">
        <f t="array" ref="L61">Tabella5[Numero Avogadro]*((Tabella5[Pressione Rif]*Tabella4310[[#This Row],[V Idrogeno]])/(Tabella5[Rydberg R]*Tabella4310[[#This Row],[Temperatura]]))</f>
        <v>1.0000001141996921</v>
      </c>
      <c r="M61">
        <f>1</f>
        <v>1</v>
      </c>
      <c r="N61" s="1">
        <f>POWER(Tabella4310[[#This Row],[Q Metano]]/Tabella4310[[#This Row],[N Metano]],Tabella4310[[#This Row],[Ni Metano ]])*POWER(Tabella4310[[#This Row],[Q Metile]]/Tabella4310[[#This Row],[N Metile]],Tabella4310[[#This Row],[Ni Metile]])*POWER(Tabella4310[[#This Row],[Q Idrogeno]]/Tabella4310[[#This Row],[N Idrogeno]],Tabella4310[[#This Row],[Ni Idrogeno]])</f>
        <v>299366564.31162935</v>
      </c>
    </row>
    <row r="62" spans="1:14" x14ac:dyDescent="0.3">
      <c r="A62">
        <v>1700</v>
      </c>
      <c r="B62" s="1">
        <f>'CH4'!G51</f>
        <v>756481385.51928174</v>
      </c>
      <c r="C62" s="1">
        <f>'CH4'!B51</f>
        <v>2.316410856155934E-25</v>
      </c>
      <c r="D62" s="1" cm="1">
        <f t="array" ref="D62">Tabella5[Numero Avogadro]*((Tabella5[Pressione Rif]*Tabella4310[[#This Row],[V Metano]])/(Tabella4310[[#This Row],[Temperatura]]*Tabella5[Rydberg R]))</f>
        <v>1.0000001141996921</v>
      </c>
      <c r="E62">
        <f t="shared" si="2"/>
        <v>-1</v>
      </c>
      <c r="F62" s="1">
        <f>'CH3'!G52</f>
        <v>33882621504.277733</v>
      </c>
      <c r="G62" s="1">
        <f>'CH3'!B52</f>
        <v>2.316410856155934E-25</v>
      </c>
      <c r="H62" s="1" cm="1">
        <f t="array" ref="H62">Tabella5[Numero Avogadro]*((Tabella5[Pressione Rif]*Tabella4310[[#This Row],[V Metile]])/(Tabella5[Rydberg R]*Tabella4310[[#This Row],[Temperatura]]))</f>
        <v>1.0000001141996921</v>
      </c>
      <c r="I62">
        <f>1</f>
        <v>1</v>
      </c>
      <c r="J62" s="1">
        <f>H!G32</f>
        <v>6174708.5012466228</v>
      </c>
      <c r="K62" s="1">
        <f>H!B32</f>
        <v>2.316410856155934E-25</v>
      </c>
      <c r="L62" s="1" cm="1">
        <f t="array" ref="L62">Tabella5[Numero Avogadro]*((Tabella5[Pressione Rif]*Tabella4310[[#This Row],[V Idrogeno]])/(Tabella5[Rydberg R]*Tabella4310[[#This Row],[Temperatura]]))</f>
        <v>1.0000001141996921</v>
      </c>
      <c r="M62">
        <f>1</f>
        <v>1</v>
      </c>
      <c r="N62" s="1">
        <f>POWER(Tabella4310[[#This Row],[Q Metano]]/Tabella4310[[#This Row],[N Metano]],Tabella4310[[#This Row],[Ni Metano ]])*POWER(Tabella4310[[#This Row],[Q Metile]]/Tabella4310[[#This Row],[N Metile]],Tabella4310[[#This Row],[Ni Metile]])*POWER(Tabella4310[[#This Row],[Q Idrogeno]]/Tabella4310[[#This Row],[N Idrogeno]],Tabella4310[[#This Row],[Ni Idrogeno]])</f>
        <v>276563694.96924168</v>
      </c>
    </row>
    <row r="63" spans="1:14" x14ac:dyDescent="0.3">
      <c r="A63">
        <v>1800</v>
      </c>
      <c r="B63" s="1">
        <f>'CH4'!G52</f>
        <v>1840898603.3100657</v>
      </c>
      <c r="C63" s="1">
        <f>'CH4'!B52</f>
        <v>2.4526703182827536E-25</v>
      </c>
      <c r="D63" s="1" cm="1">
        <f t="array" ref="D63">Tabella5[Numero Avogadro]*((Tabella5[Pressione Rif]*Tabella4310[[#This Row],[V Metano]])/(Tabella4310[[#This Row],[Temperatura]]*Tabella5[Rydberg R]))</f>
        <v>1.0000001141996919</v>
      </c>
      <c r="E63">
        <f t="shared" si="2"/>
        <v>-1</v>
      </c>
      <c r="F63" s="1">
        <f>'CH3'!G53</f>
        <v>66654856240.006622</v>
      </c>
      <c r="G63" s="1">
        <f>'CH3'!B53</f>
        <v>2.4526703182827536E-25</v>
      </c>
      <c r="H63" s="1" cm="1">
        <f t="array" ref="H63">Tabella5[Numero Avogadro]*((Tabella5[Pressione Rif]*Tabella4310[[#This Row],[V Metile]])/(Tabella5[Rydberg R]*Tabella4310[[#This Row],[Temperatura]]))</f>
        <v>1.0000001141996919</v>
      </c>
      <c r="I63">
        <f>1</f>
        <v>1</v>
      </c>
      <c r="J63" s="1">
        <f>H!G33</f>
        <v>7123204.6091733491</v>
      </c>
      <c r="K63" s="1">
        <f>H!B33</f>
        <v>2.4526703182827536E-25</v>
      </c>
      <c r="L63" s="1" cm="1">
        <f t="array" ref="L63">Tabella5[Numero Avogadro]*((Tabella5[Pressione Rif]*Tabella4310[[#This Row],[V Idrogeno]])/(Tabella5[Rydberg R]*Tabella4310[[#This Row],[Temperatura]]))</f>
        <v>1.0000001141996919</v>
      </c>
      <c r="M63">
        <f>1</f>
        <v>1</v>
      </c>
      <c r="N63" s="1">
        <f>POWER(Tabella4310[[#This Row],[Q Metano]]/Tabella4310[[#This Row],[N Metano]],Tabella4310[[#This Row],[Ni Metano ]])*POWER(Tabella4310[[#This Row],[Q Metile]]/Tabella4310[[#This Row],[N Metile]],Tabella4310[[#This Row],[Ni Metile]])*POWER(Tabella4310[[#This Row],[Q Idrogeno]]/Tabella4310[[#This Row],[N Idrogeno]],Tabella4310[[#This Row],[Ni Idrogeno]])</f>
        <v>257915413.76440507</v>
      </c>
    </row>
    <row r="64" spans="1:14" x14ac:dyDescent="0.3">
      <c r="A64">
        <v>1900</v>
      </c>
      <c r="B64" s="1">
        <f>'CH4'!G53</f>
        <v>4211933695.4230547</v>
      </c>
      <c r="C64" s="1">
        <f>'CH4'!B53</f>
        <v>2.5889297804095731E-25</v>
      </c>
      <c r="D64" s="1" cm="1">
        <f t="array" ref="D64">Tabella5[Numero Avogadro]*((Tabella5[Pressione Rif]*Tabella4310[[#This Row],[V Metano]])/(Tabella4310[[#This Row],[Temperatura]]*Tabella5[Rydberg R]))</f>
        <v>1.0000001141996919</v>
      </c>
      <c r="E64">
        <f t="shared" si="2"/>
        <v>-1</v>
      </c>
      <c r="F64" s="1">
        <f>'CH3'!G54</f>
        <v>125201995398.22084</v>
      </c>
      <c r="G64" s="1">
        <f>'CH3'!B54</f>
        <v>2.5889297804095731E-25</v>
      </c>
      <c r="H64" s="1" cm="1">
        <f t="array" ref="H64">Tabella5[Numero Avogadro]*((Tabella5[Pressione Rif]*Tabella4310[[#This Row],[V Metile]])/(Tabella5[Rydberg R]*Tabella4310[[#This Row],[Temperatura]]))</f>
        <v>1.0000001141996919</v>
      </c>
      <c r="I64">
        <f>1</f>
        <v>1</v>
      </c>
      <c r="J64" s="1">
        <f>H!G34</f>
        <v>8154139.9116292875</v>
      </c>
      <c r="K64" s="1">
        <f>H!B34</f>
        <v>2.5889297804095731E-25</v>
      </c>
      <c r="L64" s="1" cm="1">
        <f t="array" ref="L64">Tabella5[Numero Avogadro]*((Tabella5[Pressione Rif]*Tabella4310[[#This Row],[V Idrogeno]])/(Tabella5[Rydberg R]*Tabella4310[[#This Row],[Temperatura]]))</f>
        <v>1.0000001141996919</v>
      </c>
      <c r="M64">
        <f>1</f>
        <v>1</v>
      </c>
      <c r="N64" s="1">
        <f>POWER(Tabella4310[[#This Row],[Q Metano]]/Tabella4310[[#This Row],[N Metano]],Tabella4310[[#This Row],[Ni Metano ]])*POWER(Tabella4310[[#This Row],[Q Metile]]/Tabella4310[[#This Row],[N Metile]],Tabella4310[[#This Row],[Ni Metile]])*POWER(Tabella4310[[#This Row],[Q Idrogeno]]/Tabella4310[[#This Row],[N Idrogeno]],Tabella4310[[#This Row],[Ni Idrogeno]])</f>
        <v>242386168.66488877</v>
      </c>
    </row>
    <row r="65" spans="1:14" x14ac:dyDescent="0.3">
      <c r="A65">
        <v>2000</v>
      </c>
      <c r="B65" s="1">
        <f>'CH4'!G54</f>
        <v>9134231540.1390076</v>
      </c>
      <c r="C65" s="1">
        <f>'CH4'!B54</f>
        <v>2.7251892425363931E-25</v>
      </c>
      <c r="D65" s="1" cm="1">
        <f t="array" ref="D65">Tabella5[Numero Avogadro]*((Tabella5[Pressione Rif]*Tabella4310[[#This Row],[V Metano]])/(Tabella4310[[#This Row],[Temperatura]]*Tabella5[Rydberg R]))</f>
        <v>1.0000001141996919</v>
      </c>
      <c r="E65">
        <f t="shared" si="2"/>
        <v>-1</v>
      </c>
      <c r="F65" s="1">
        <f>'CH3'!G55</f>
        <v>225899486499.00314</v>
      </c>
      <c r="G65" s="1">
        <f>'CH3'!B55</f>
        <v>2.7251892425363931E-25</v>
      </c>
      <c r="H65" s="1" cm="1">
        <f t="array" ref="H65">Tabella5[Numero Avogadro]*((Tabella5[Pressione Rif]*Tabella4310[[#This Row],[V Metile]])/(Tabella5[Rydberg R]*Tabella4310[[#This Row],[Temperatura]]))</f>
        <v>1.0000001141996919</v>
      </c>
      <c r="I65">
        <f>1</f>
        <v>1</v>
      </c>
      <c r="J65" s="1">
        <f>H!G35</f>
        <v>9269773.9935790747</v>
      </c>
      <c r="K65" s="1">
        <f>H!B35</f>
        <v>2.7251892425363931E-25</v>
      </c>
      <c r="L65" s="1" cm="1">
        <f t="array" ref="L65">Tabella5[Numero Avogadro]*((Tabella5[Pressione Rif]*Tabella4310[[#This Row],[V Idrogeno]])/(Tabella5[Rydberg R]*Tabella4310[[#This Row],[Temperatura]]))</f>
        <v>1.0000001141996919</v>
      </c>
      <c r="M65">
        <f>1</f>
        <v>1</v>
      </c>
      <c r="N65" s="1">
        <f>POWER(Tabella4310[[#This Row],[Q Metano]]/Tabella4310[[#This Row],[N Metano]],Tabella4310[[#This Row],[Ni Metano ]])*POWER(Tabella4310[[#This Row],[Q Metile]]/Tabella4310[[#This Row],[N Metile]],Tabella4310[[#This Row],[Ni Metile]])*POWER(Tabella4310[[#This Row],[Q Idrogeno]]/Tabella4310[[#This Row],[N Idrogeno]],Tabella4310[[#This Row],[Ni Idrogeno]])</f>
        <v>229251572.69892076</v>
      </c>
    </row>
  </sheetData>
  <phoneticPr fontId="1" type="noConversion"/>
  <pageMargins left="0.7" right="0.7" top="0.75" bottom="0.75" header="0.3" footer="0.3"/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CH4</vt:lpstr>
      <vt:lpstr>CH3</vt:lpstr>
      <vt:lpstr>H</vt:lpstr>
      <vt:lpstr>Reazione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Buda</dc:creator>
  <cp:lastModifiedBy>Filippo</cp:lastModifiedBy>
  <dcterms:created xsi:type="dcterms:W3CDTF">2024-04-10T07:13:55Z</dcterms:created>
  <dcterms:modified xsi:type="dcterms:W3CDTF">2024-06-23T15:51:41Z</dcterms:modified>
</cp:coreProperties>
</file>