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udaf\OneDrive - Politecnico di Milano\Desktop\MMPE\Lab6\"/>
    </mc:Choice>
  </mc:AlternateContent>
  <xr:revisionPtr revIDLastSave="0" documentId="13_ncr:1_{C7BD0536-63B6-4EAC-88A6-027AADC4FC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2=2H" sheetId="1" r:id="rId1"/>
    <sheet name="CH4=CH3+H" sheetId="4" r:id="rId2"/>
    <sheet name="secondopunto" sheetId="6" r:id="rId3"/>
  </sheets>
  <definedNames>
    <definedName name="DatiEsterni_1" localSheetId="2" hidden="1">secondopunto!$A$1:$C$37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GbuzWtgZog6ToXzOy/IS7KLPoE92Zg+qP+ujzsSh4="/>
    </ext>
  </extLst>
</workbook>
</file>

<file path=xl/calcChain.xml><?xml version="1.0" encoding="utf-8"?>
<calcChain xmlns="http://schemas.openxmlformats.org/spreadsheetml/2006/main">
  <c r="D32" i="4" l="1"/>
  <c r="C32" i="4"/>
  <c r="D31" i="4"/>
  <c r="C31" i="4"/>
  <c r="C30" i="4"/>
  <c r="D30" i="4"/>
  <c r="C29" i="4"/>
  <c r="D29" i="4"/>
  <c r="D65" i="4"/>
  <c r="D64" i="4"/>
  <c r="D63" i="4"/>
  <c r="E63" i="4"/>
  <c r="E64" i="4"/>
  <c r="E65" i="4"/>
  <c r="E62" i="4"/>
  <c r="D65" i="1"/>
  <c r="D64" i="1"/>
  <c r="D63" i="1"/>
  <c r="D62" i="1"/>
  <c r="D62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4" i="4"/>
  <c r="D37" i="4"/>
  <c r="C37" i="4"/>
  <c r="D36" i="4"/>
  <c r="C36" i="4"/>
  <c r="D35" i="4"/>
  <c r="F35" i="4" s="1"/>
  <c r="C35" i="4"/>
  <c r="D34" i="4"/>
  <c r="F34" i="4" s="1"/>
  <c r="C34" i="4"/>
  <c r="C26" i="4"/>
  <c r="C27" i="4"/>
  <c r="D27" i="4"/>
  <c r="D26" i="4"/>
  <c r="F25" i="4"/>
  <c r="F26" i="4"/>
  <c r="F28" i="4"/>
  <c r="F33" i="4"/>
  <c r="F38" i="4"/>
  <c r="G38" i="4" s="1"/>
  <c r="H38" i="4" s="1"/>
  <c r="C25" i="4"/>
  <c r="D25" i="4"/>
  <c r="D24" i="4"/>
  <c r="C24" i="4"/>
  <c r="C62" i="4"/>
  <c r="C63" i="4"/>
  <c r="C37" i="1"/>
  <c r="C36" i="1"/>
  <c r="C35" i="1"/>
  <c r="C34" i="1"/>
  <c r="C32" i="1"/>
  <c r="C31" i="1"/>
  <c r="C30" i="1"/>
  <c r="C29" i="1"/>
  <c r="C27" i="1"/>
  <c r="C26" i="1"/>
  <c r="C25" i="1"/>
  <c r="C24" i="1"/>
  <c r="C65" i="4"/>
  <c r="C64" i="4"/>
  <c r="E60" i="4"/>
  <c r="E59" i="4"/>
  <c r="E58" i="4"/>
  <c r="E57" i="4"/>
  <c r="D60" i="4"/>
  <c r="C60" i="4"/>
  <c r="D59" i="4"/>
  <c r="C59" i="4"/>
  <c r="D58" i="4"/>
  <c r="C58" i="4"/>
  <c r="D57" i="4"/>
  <c r="C57" i="4"/>
  <c r="D55" i="4"/>
  <c r="C55" i="4"/>
  <c r="D54" i="4"/>
  <c r="C54" i="4"/>
  <c r="D53" i="4"/>
  <c r="C53" i="4"/>
  <c r="E52" i="4"/>
  <c r="D52" i="4"/>
  <c r="C52" i="4"/>
  <c r="C65" i="1"/>
  <c r="E65" i="1" s="1"/>
  <c r="F65" i="1" s="1"/>
  <c r="G65" i="1" s="1"/>
  <c r="C64" i="1"/>
  <c r="C63" i="1"/>
  <c r="E63" i="1" s="1"/>
  <c r="F63" i="1" s="1"/>
  <c r="G63" i="1" s="1"/>
  <c r="C62" i="1"/>
  <c r="D60" i="1"/>
  <c r="E60" i="1" s="1"/>
  <c r="F60" i="1" s="1"/>
  <c r="G60" i="1" s="1"/>
  <c r="D59" i="1"/>
  <c r="E54" i="4" s="1"/>
  <c r="D58" i="1"/>
  <c r="E53" i="4" s="1"/>
  <c r="D57" i="1"/>
  <c r="C60" i="1"/>
  <c r="C59" i="1"/>
  <c r="C58" i="1"/>
  <c r="C57" i="1"/>
  <c r="D55" i="1"/>
  <c r="D54" i="1"/>
  <c r="C54" i="1"/>
  <c r="C53" i="1"/>
  <c r="D52" i="1"/>
  <c r="C52" i="1"/>
  <c r="F20" i="4"/>
  <c r="F19" i="4"/>
  <c r="F18" i="4"/>
  <c r="D20" i="4"/>
  <c r="D19" i="4"/>
  <c r="D18" i="4"/>
  <c r="B20" i="1"/>
  <c r="D20" i="1" s="1"/>
  <c r="B19" i="1"/>
  <c r="D19" i="1" s="1"/>
  <c r="B18" i="1"/>
  <c r="D18" i="1" s="1"/>
  <c r="I10" i="4"/>
  <c r="I9" i="4"/>
  <c r="I8" i="4"/>
  <c r="G10" i="4"/>
  <c r="G9" i="4"/>
  <c r="G8" i="4"/>
  <c r="H9" i="1"/>
  <c r="H10" i="1"/>
  <c r="H8" i="1"/>
  <c r="F16" i="4"/>
  <c r="F17" i="4"/>
  <c r="D17" i="4"/>
  <c r="I6" i="4"/>
  <c r="I7" i="4"/>
  <c r="G6" i="4"/>
  <c r="G7" i="4"/>
  <c r="H6" i="1"/>
  <c r="G6" i="1"/>
  <c r="G7" i="1"/>
  <c r="B14" i="4"/>
  <c r="H7" i="4" s="1"/>
  <c r="D16" i="4"/>
  <c r="E66" i="4"/>
  <c r="F66" i="4" s="1"/>
  <c r="G66" i="4" s="1"/>
  <c r="H66" i="4" s="1"/>
  <c r="E61" i="4"/>
  <c r="F61" i="4" s="1"/>
  <c r="G61" i="4" s="1"/>
  <c r="H61" i="4" s="1"/>
  <c r="E56" i="4"/>
  <c r="F56" i="4" s="1"/>
  <c r="G56" i="4" s="1"/>
  <c r="H56" i="4" s="1"/>
  <c r="E66" i="1"/>
  <c r="F66" i="1" s="1"/>
  <c r="G66" i="1" s="1"/>
  <c r="E62" i="1"/>
  <c r="F62" i="1" s="1"/>
  <c r="G62" i="1" s="1"/>
  <c r="E61" i="1"/>
  <c r="F61" i="1" s="1"/>
  <c r="G61" i="1" s="1"/>
  <c r="E56" i="1"/>
  <c r="F56" i="1" s="1"/>
  <c r="G56" i="1" s="1"/>
  <c r="E55" i="1"/>
  <c r="F55" i="1" s="1"/>
  <c r="G55" i="1" s="1"/>
  <c r="E54" i="1"/>
  <c r="F54" i="1" s="1"/>
  <c r="G54" i="1" s="1"/>
  <c r="D53" i="1"/>
  <c r="D38" i="1"/>
  <c r="E38" i="1" s="1"/>
  <c r="F38" i="1" s="1"/>
  <c r="G38" i="1" s="1"/>
  <c r="D37" i="1"/>
  <c r="E37" i="1" s="1"/>
  <c r="F37" i="1" s="1"/>
  <c r="G37" i="1" s="1"/>
  <c r="D36" i="1"/>
  <c r="D35" i="1"/>
  <c r="E35" i="1" s="1"/>
  <c r="F35" i="1" s="1"/>
  <c r="G35" i="1" s="1"/>
  <c r="D34" i="1"/>
  <c r="D33" i="1"/>
  <c r="E33" i="1" s="1"/>
  <c r="F33" i="1" s="1"/>
  <c r="G33" i="1" s="1"/>
  <c r="D32" i="1"/>
  <c r="E32" i="1"/>
  <c r="F32" i="1" s="1"/>
  <c r="G32" i="1" s="1"/>
  <c r="D31" i="1"/>
  <c r="D30" i="1"/>
  <c r="D29" i="1"/>
  <c r="D28" i="1"/>
  <c r="E28" i="1" s="1"/>
  <c r="F28" i="1" s="1"/>
  <c r="G28" i="1" s="1"/>
  <c r="D27" i="1"/>
  <c r="E26" i="1"/>
  <c r="F26" i="1" s="1"/>
  <c r="G26" i="1" s="1"/>
  <c r="D26" i="1"/>
  <c r="D25" i="1"/>
  <c r="E25" i="1" s="1"/>
  <c r="F25" i="1" s="1"/>
  <c r="G25" i="1" s="1"/>
  <c r="D24" i="1"/>
  <c r="C14" i="1"/>
  <c r="B14" i="1"/>
  <c r="H7" i="1" s="1"/>
  <c r="F29" i="4" l="1"/>
  <c r="E64" i="1"/>
  <c r="F64" i="1" s="1"/>
  <c r="G64" i="1" s="1"/>
  <c r="F32" i="4"/>
  <c r="G32" i="4" s="1"/>
  <c r="H32" i="4" s="1"/>
  <c r="F31" i="4"/>
  <c r="G31" i="4" s="1"/>
  <c r="H31" i="4" s="1"/>
  <c r="F37" i="4"/>
  <c r="F36" i="4"/>
  <c r="G36" i="4" s="1"/>
  <c r="H36" i="4" s="1"/>
  <c r="G35" i="4"/>
  <c r="H35" i="4" s="1"/>
  <c r="G34" i="4"/>
  <c r="H34" i="4" s="1"/>
  <c r="F30" i="4"/>
  <c r="G30" i="4" s="1"/>
  <c r="H30" i="4" s="1"/>
  <c r="F27" i="4"/>
  <c r="G27" i="4" s="1"/>
  <c r="H27" i="4" s="1"/>
  <c r="G28" i="4"/>
  <c r="H28" i="4" s="1"/>
  <c r="G33" i="4"/>
  <c r="H33" i="4" s="1"/>
  <c r="G29" i="4"/>
  <c r="H29" i="4" s="1"/>
  <c r="G37" i="4"/>
  <c r="H37" i="4" s="1"/>
  <c r="G25" i="4"/>
  <c r="H25" i="4" s="1"/>
  <c r="G26" i="4"/>
  <c r="H26" i="4" s="1"/>
  <c r="F24" i="4"/>
  <c r="G24" i="4" s="1"/>
  <c r="H24" i="4" s="1"/>
  <c r="E36" i="1"/>
  <c r="F36" i="1" s="1"/>
  <c r="G36" i="1" s="1"/>
  <c r="E34" i="1"/>
  <c r="F34" i="1" s="1"/>
  <c r="G34" i="1" s="1"/>
  <c r="E31" i="1"/>
  <c r="F31" i="1" s="1"/>
  <c r="G31" i="1" s="1"/>
  <c r="E30" i="1"/>
  <c r="F30" i="1" s="1"/>
  <c r="G30" i="1" s="1"/>
  <c r="E29" i="1"/>
  <c r="F29" i="1" s="1"/>
  <c r="G29" i="1" s="1"/>
  <c r="E27" i="1"/>
  <c r="F27" i="1" s="1"/>
  <c r="G27" i="1" s="1"/>
  <c r="E24" i="1"/>
  <c r="F24" i="1" s="1"/>
  <c r="G24" i="1" s="1"/>
  <c r="F65" i="4"/>
  <c r="G65" i="4" s="1"/>
  <c r="H65" i="4" s="1"/>
  <c r="F64" i="4"/>
  <c r="G64" i="4" s="1"/>
  <c r="H64" i="4" s="1"/>
  <c r="F63" i="4"/>
  <c r="G63" i="4" s="1"/>
  <c r="H63" i="4" s="1"/>
  <c r="F62" i="4"/>
  <c r="G62" i="4" s="1"/>
  <c r="H62" i="4" s="1"/>
  <c r="F60" i="4"/>
  <c r="G60" i="4" s="1"/>
  <c r="H60" i="4" s="1"/>
  <c r="F59" i="4"/>
  <c r="G59" i="4" s="1"/>
  <c r="H59" i="4" s="1"/>
  <c r="F58" i="4"/>
  <c r="G58" i="4" s="1"/>
  <c r="H58" i="4" s="1"/>
  <c r="F57" i="4"/>
  <c r="G57" i="4" s="1"/>
  <c r="H57" i="4" s="1"/>
  <c r="F54" i="4"/>
  <c r="G54" i="4" s="1"/>
  <c r="H54" i="4" s="1"/>
  <c r="F53" i="4"/>
  <c r="G53" i="4" s="1"/>
  <c r="H53" i="4" s="1"/>
  <c r="F52" i="4"/>
  <c r="G52" i="4" s="1"/>
  <c r="H52" i="4" s="1"/>
  <c r="E55" i="4"/>
  <c r="F55" i="4" s="1"/>
  <c r="G55" i="4" s="1"/>
  <c r="H55" i="4" s="1"/>
  <c r="E59" i="1"/>
  <c r="F59" i="1" s="1"/>
  <c r="G59" i="1" s="1"/>
  <c r="E58" i="1"/>
  <c r="F58" i="1" s="1"/>
  <c r="G58" i="1" s="1"/>
  <c r="E57" i="1"/>
  <c r="F57" i="1" s="1"/>
  <c r="G57" i="1" s="1"/>
  <c r="E52" i="1"/>
  <c r="F52" i="1" s="1"/>
  <c r="G52" i="1" s="1"/>
  <c r="B17" i="4"/>
  <c r="H6" i="4"/>
  <c r="B16" i="4"/>
  <c r="B16" i="1"/>
  <c r="D16" i="1" s="1"/>
  <c r="B17" i="1"/>
  <c r="D17" i="1" s="1"/>
  <c r="E53" i="1"/>
  <c r="F53" i="1" s="1"/>
  <c r="G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Filippo Buda</author>
    <author/>
  </authors>
  <commentList>
    <comment ref="A34" authorId="0" shapeId="0" xr:uid="{BE2FC4F3-166E-4E65-A9DD-D879FE51DB37}">
      <text>
        <r>
          <rPr>
            <b/>
            <sz val="10"/>
            <color indexed="81"/>
            <rFont val="Tahoma"/>
            <charset val="1"/>
          </rPr>
          <t>Filippo Buda:</t>
        </r>
        <r>
          <rPr>
            <sz val="10"/>
            <color indexed="81"/>
            <rFont val="Tahoma"/>
            <charset val="1"/>
          </rPr>
          <t xml:space="preserve">
Negli MP2 l'energia si trova sotto EUMP2, non SCF DONE. Ricordarsi anche di controllare quello dell'ultima iterazione.</t>
        </r>
      </text>
    </comment>
    <comment ref="A49" authorId="1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2" authorId="1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ID#AAABM3YRhQY
Filippo Buda    (2024-05-08 12:35:10)
su molpro mi da un errore ogni volta che provo a fare MP2 su H:
NUMBER OF OCCUPIED ORBITALS NOT CONSISTENT WITH NUMBER OF ELECTRONS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7dGZAmNMxwhicS8fVhM3g3tt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12319A3B-B608-45BF-AAE1-78BC8A65AF5A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2" authorId="0" shapeId="0" xr:uid="{69AF3156-54D2-4AE8-9A00-4BC1EED03B9E}">
      <text>
        <r>
          <rPr>
            <sz val="11"/>
            <color theme="1"/>
            <rFont val="aptos narrow"/>
            <scheme val="minor"/>
          </rPr>
          <t>======
ID#AAABM3YRhWg
Filippo Buda    (2024-05-08 13:41:19)
Stesso errore dell'idrogeno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7BDB7-61EA-4E38-AAAB-98F06C2E2F24}" keepAlive="1" name="Query - secondopunto" description="Connessione alla query 'secondopunto' nella cartella di lavoro." type="5" refreshedVersion="8" background="1" saveData="1">
    <dbPr connection="Provider=Microsoft.Mashup.OleDb.1;Data Source=$Workbook$;Location=secondopunto;Extended Properties=&quot;&quot;" command="SELECT * FROM [secondopunto]"/>
  </connection>
</connections>
</file>

<file path=xl/sharedStrings.xml><?xml version="1.0" encoding="utf-8"?>
<sst xmlns="http://schemas.openxmlformats.org/spreadsheetml/2006/main" count="306" uniqueCount="71">
  <si>
    <t>Experimental Energy H bond</t>
  </si>
  <si>
    <t>H2 = 1s + 1s</t>
  </si>
  <si>
    <t>Core Orbital</t>
  </si>
  <si>
    <t>Valence Orbital</t>
  </si>
  <si>
    <t>Core Orbitals</t>
  </si>
  <si>
    <t>Basis set</t>
  </si>
  <si>
    <t>Core</t>
  </si>
  <si>
    <t>Valence 1</t>
  </si>
  <si>
    <t>Valence 2</t>
  </si>
  <si>
    <t>Plus</t>
  </si>
  <si>
    <t>(d,p)</t>
  </si>
  <si>
    <t>H Basis Function</t>
  </si>
  <si>
    <t>H Primitive Gaussians</t>
  </si>
  <si>
    <t>3-21G</t>
  </si>
  <si>
    <t>3</t>
  </si>
  <si>
    <t>2</t>
  </si>
  <si>
    <t>1</t>
  </si>
  <si>
    <t>0</t>
  </si>
  <si>
    <t>6-31+G(d,p)</t>
  </si>
  <si>
    <t>cc-pVDZ</t>
  </si>
  <si>
    <t>aug-cc-pVDZ</t>
  </si>
  <si>
    <t>aug-cc-pVTZ</t>
  </si>
  <si>
    <t>Theory level</t>
  </si>
  <si>
    <t>Energy product (H2)</t>
  </si>
  <si>
    <t>Energy reactant (2H)</t>
  </si>
  <si>
    <t>deltaE (hartree/mol)</t>
  </si>
  <si>
    <t>deltaE (kcal/mol)</t>
  </si>
  <si>
    <t>Difference from experimental value</t>
  </si>
  <si>
    <t>HF</t>
  </si>
  <si>
    <t>6-31+g(d,p)</t>
  </si>
  <si>
    <t>B3LYP</t>
  </si>
  <si>
    <t>3-21</t>
  </si>
  <si>
    <t>Mp2</t>
  </si>
  <si>
    <t>Most accurate Basis set</t>
  </si>
  <si>
    <t>MOLPRO CALCULATIONS</t>
  </si>
  <si>
    <t>s</t>
  </si>
  <si>
    <t>p</t>
  </si>
  <si>
    <t>d</t>
  </si>
  <si>
    <t>4s3p2d</t>
  </si>
  <si>
    <t>C Basis Function</t>
  </si>
  <si>
    <t>Energy product (CH4)</t>
  </si>
  <si>
    <t>Energy reactant 1 (CH3)</t>
  </si>
  <si>
    <t>Energy reactant 2 (H)</t>
  </si>
  <si>
    <t>Computationally intensive</t>
  </si>
  <si>
    <t>H = 1s</t>
  </si>
  <si>
    <t>C = 1s 2s 2p</t>
  </si>
  <si>
    <t>(Li-Ne)</t>
  </si>
  <si>
    <t>H2 Primitive Gaussians</t>
  </si>
  <si>
    <t>H2 Basis Function</t>
  </si>
  <si>
    <t>Experimental Energy bond</t>
  </si>
  <si>
    <t>Energy reactant1 (CH3)</t>
  </si>
  <si>
    <t>Energy reactant2 (H)</t>
  </si>
  <si>
    <t>H4 = 1s + 1s +1s+ 1s</t>
  </si>
  <si>
    <t>H4 Primitive Gaussians</t>
  </si>
  <si>
    <t>C Primitive Gaussians</t>
  </si>
  <si>
    <t>H4 Basis Function</t>
  </si>
  <si>
    <t>H3 Basis Function</t>
  </si>
  <si>
    <t>H3 = 1s +1s+ 1s</t>
  </si>
  <si>
    <t>H3 Primitive Gaussians</t>
  </si>
  <si>
    <r>
      <t>2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>1</t>
    </r>
    <r>
      <rPr>
        <i/>
        <sz val="11"/>
        <color theme="1"/>
        <rFont val="aptos narrow"/>
        <family val="2"/>
        <scheme val="minor"/>
      </rPr>
      <t>p</t>
    </r>
  </si>
  <si>
    <t>Orbital</t>
  </si>
  <si>
    <t>Function</t>
  </si>
  <si>
    <t>Primitive</t>
  </si>
  <si>
    <t>3s 2p</t>
  </si>
  <si>
    <t xml:space="preserve">3s2p1d </t>
  </si>
  <si>
    <t xml:space="preserve">4s3p2d </t>
  </si>
  <si>
    <t xml:space="preserve">5s4p3d2f </t>
  </si>
  <si>
    <t>Distance</t>
  </si>
  <si>
    <t/>
  </si>
  <si>
    <t>EHF</t>
  </si>
  <si>
    <t>ECASPT2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</si>
</sst>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0000"/>
    <numFmt numFmtId="165" formatCode="#,##0.000000000"/>
  </numFmts>
  <fonts count="2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b/>
      <sz val="11"/>
      <color rgb="FFFFFFFF"/>
      <name val="Arial"/>
    </font>
    <font>
      <b/>
      <sz val="11"/>
      <color theme="0"/>
      <name val="Aptos narrow"/>
    </font>
    <font>
      <sz val="11"/>
      <color theme="1"/>
      <name val="Arial"/>
    </font>
    <font>
      <b/>
      <sz val="11"/>
      <color theme="1"/>
      <name val="Aptos narrow"/>
    </font>
    <font>
      <sz val="11"/>
      <color theme="0"/>
      <name val="Aptos narrow"/>
    </font>
    <font>
      <sz val="11"/>
      <color rgb="FF00610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i/>
      <sz val="11"/>
      <color theme="1"/>
      <name val="aptos narrow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8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4" borderId="0" applyNumberFormat="0" applyBorder="0" applyAlignment="0" applyProtection="0"/>
    <xf numFmtId="0" fontId="15" fillId="7" borderId="0" applyNumberFormat="0" applyBorder="0" applyAlignment="0" applyProtection="0"/>
  </cellStyleXfs>
  <cellXfs count="170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2" borderId="5" xfId="0" applyFont="1" applyFill="1" applyBorder="1"/>
    <xf numFmtId="0" fontId="8" fillId="2" borderId="1" xfId="0" applyFont="1" applyFill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6" fillId="0" borderId="0" xfId="0" applyFont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0" borderId="18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3" fillId="0" borderId="0" xfId="0" applyFont="1"/>
    <xf numFmtId="0" fontId="7" fillId="2" borderId="23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2" fillId="6" borderId="38" xfId="1" applyFill="1" applyBorder="1" applyAlignment="1">
      <alignment horizontal="center"/>
    </xf>
    <xf numFmtId="0" fontId="12" fillId="6" borderId="36" xfId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4" fillId="2" borderId="0" xfId="0" applyFont="1" applyFill="1" applyAlignment="1">
      <alignment horizontal="center"/>
    </xf>
    <xf numFmtId="49" fontId="3" fillId="0" borderId="0" xfId="0" applyNumberFormat="1" applyFont="1"/>
    <xf numFmtId="0" fontId="0" fillId="0" borderId="33" xfId="0" applyBorder="1" applyAlignment="1">
      <alignment horizontal="center"/>
    </xf>
    <xf numFmtId="0" fontId="15" fillId="7" borderId="36" xfId="2" applyBorder="1" applyAlignment="1">
      <alignment horizontal="center"/>
    </xf>
    <xf numFmtId="0" fontId="15" fillId="7" borderId="41" xfId="2" applyBorder="1" applyAlignment="1">
      <alignment horizontal="center"/>
    </xf>
    <xf numFmtId="0" fontId="15" fillId="7" borderId="0" xfId="2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49" fontId="9" fillId="0" borderId="49" xfId="0" applyNumberFormat="1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/>
    <xf numFmtId="49" fontId="9" fillId="0" borderId="3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15" fillId="7" borderId="53" xfId="2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5" fillId="7" borderId="29" xfId="2" applyBorder="1" applyAlignment="1">
      <alignment horizontal="center"/>
    </xf>
    <xf numFmtId="49" fontId="10" fillId="0" borderId="27" xfId="0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9" fillId="8" borderId="56" xfId="0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49" fontId="17" fillId="0" borderId="27" xfId="0" applyNumberFormat="1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49" fontId="6" fillId="0" borderId="29" xfId="0" applyNumberFormat="1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49" fontId="6" fillId="0" borderId="43" xfId="0" applyNumberFormat="1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49" fontId="6" fillId="0" borderId="65" xfId="0" applyNumberFormat="1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6" fillId="0" borderId="67" xfId="0" applyFont="1" applyBorder="1" applyAlignment="1">
      <alignment horizontal="center"/>
    </xf>
    <xf numFmtId="0" fontId="6" fillId="0" borderId="68" xfId="0" applyFont="1" applyBorder="1" applyAlignment="1">
      <alignment horizontal="center"/>
    </xf>
    <xf numFmtId="49" fontId="10" fillId="0" borderId="6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2" fillId="6" borderId="72" xfId="1" applyFill="1" applyBorder="1" applyAlignment="1">
      <alignment horizontal="center"/>
    </xf>
    <xf numFmtId="0" fontId="12" fillId="6" borderId="55" xfId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2" fillId="6" borderId="45" xfId="1" applyFill="1" applyBorder="1" applyAlignment="1">
      <alignment horizontal="center"/>
    </xf>
    <xf numFmtId="0" fontId="12" fillId="6" borderId="53" xfId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2" borderId="40" xfId="0" applyFont="1" applyFill="1" applyBorder="1" applyAlignment="1">
      <alignment horizontal="center"/>
    </xf>
    <xf numFmtId="49" fontId="9" fillId="0" borderId="50" xfId="0" applyNumberFormat="1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2" fillId="0" borderId="79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80" xfId="0" applyFont="1" applyBorder="1" applyAlignment="1">
      <alignment horizontal="center" wrapText="1"/>
    </xf>
    <xf numFmtId="0" fontId="16" fillId="9" borderId="24" xfId="0" applyFont="1" applyFill="1" applyBorder="1" applyAlignment="1">
      <alignment horizontal="center" wrapText="1"/>
    </xf>
    <xf numFmtId="0" fontId="16" fillId="5" borderId="24" xfId="0" applyFont="1" applyFill="1" applyBorder="1" applyAlignment="1">
      <alignment horizontal="center" wrapText="1"/>
    </xf>
    <xf numFmtId="0" fontId="16" fillId="10" borderId="24" xfId="0" applyFont="1" applyFill="1" applyBorder="1" applyAlignment="1">
      <alignment horizontal="center" wrapText="1"/>
    </xf>
    <xf numFmtId="0" fontId="16" fillId="11" borderId="24" xfId="0" applyFont="1" applyFill="1" applyBorder="1" applyAlignment="1">
      <alignment horizontal="center"/>
    </xf>
    <xf numFmtId="0" fontId="16" fillId="11" borderId="78" xfId="0" applyFont="1" applyFill="1" applyBorder="1" applyAlignment="1">
      <alignment horizontal="center"/>
    </xf>
    <xf numFmtId="0" fontId="16" fillId="11" borderId="7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/>
    <xf numFmtId="0" fontId="0" fillId="0" borderId="0" xfId="0" applyNumberFormat="1"/>
    <xf numFmtId="0" fontId="1" fillId="0" borderId="0" xfId="0" applyFont="1"/>
  </cellXfs>
  <cellStyles count="3">
    <cellStyle name="Normale" xfId="0" builtinId="0"/>
    <cellStyle name="Valore non valido" xfId="2" builtinId="27"/>
    <cellStyle name="Valore valido" xfId="1" builtinId="26"/>
  </cellStyles>
  <dxfs count="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2=2H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H4=CH3+H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secondopunto!$B$1</c:f>
              <c:strCache>
                <c:ptCount val="1"/>
                <c:pt idx="0">
                  <c:v>EHF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secondopunto!$A$2:$A$37</c:f>
              <c:numCache>
                <c:formatCode>General</c:formatCode>
                <c:ptCount val="36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  <c:pt idx="35">
                  <c:v>10</c:v>
                </c:pt>
              </c:numCache>
            </c:numRef>
          </c:xVal>
          <c:yVal>
            <c:numRef>
              <c:f>secondopunto!$B$2:$B$37</c:f>
              <c:numCache>
                <c:formatCode>General</c:formatCode>
                <c:ptCount val="36"/>
                <c:pt idx="0">
                  <c:v>-40.185921190000002</c:v>
                </c:pt>
                <c:pt idx="1">
                  <c:v>-40.141580179999998</c:v>
                </c:pt>
                <c:pt idx="2">
                  <c:v>-40.092720739999997</c:v>
                </c:pt>
                <c:pt idx="3">
                  <c:v>-40.048199930000003</c:v>
                </c:pt>
                <c:pt idx="4">
                  <c:v>-40.009746589999999</c:v>
                </c:pt>
                <c:pt idx="5">
                  <c:v>-39.9770994</c:v>
                </c:pt>
                <c:pt idx="6">
                  <c:v>-39.949542989999998</c:v>
                </c:pt>
                <c:pt idx="7">
                  <c:v>-39.926300920000003</c:v>
                </c:pt>
                <c:pt idx="8">
                  <c:v>-39.90668179</c:v>
                </c:pt>
                <c:pt idx="9">
                  <c:v>-39.890150310000003</c:v>
                </c:pt>
                <c:pt idx="10">
                  <c:v>-39.876303579999998</c:v>
                </c:pt>
                <c:pt idx="11">
                  <c:v>-39.86480985</c:v>
                </c:pt>
                <c:pt idx="12">
                  <c:v>-39.855360939999997</c:v>
                </c:pt>
                <c:pt idx="13">
                  <c:v>-39.847652869999997</c:v>
                </c:pt>
                <c:pt idx="14">
                  <c:v>-39.841389030000002</c:v>
                </c:pt>
                <c:pt idx="15">
                  <c:v>-39.836292829999998</c:v>
                </c:pt>
                <c:pt idx="16">
                  <c:v>-39.832119380000002</c:v>
                </c:pt>
                <c:pt idx="17">
                  <c:v>-39.828661750000002</c:v>
                </c:pt>
                <c:pt idx="18">
                  <c:v>-39.825752059999999</c:v>
                </c:pt>
                <c:pt idx="19">
                  <c:v>-39.823259059999998</c:v>
                </c:pt>
                <c:pt idx="20">
                  <c:v>-39.821083420000001</c:v>
                </c:pt>
                <c:pt idx="21">
                  <c:v>-39.819152099999997</c:v>
                </c:pt>
                <c:pt idx="22">
                  <c:v>-39.817412570000002</c:v>
                </c:pt>
                <c:pt idx="23">
                  <c:v>-39.815827460000001</c:v>
                </c:pt>
                <c:pt idx="24">
                  <c:v>-39.814370199999999</c:v>
                </c:pt>
                <c:pt idx="25">
                  <c:v>-39.813021589999998</c:v>
                </c:pt>
                <c:pt idx="26">
                  <c:v>-39.811767359999997</c:v>
                </c:pt>
                <c:pt idx="27">
                  <c:v>-39.810596500000003</c:v>
                </c:pt>
                <c:pt idx="28">
                  <c:v>-39.809500210000003</c:v>
                </c:pt>
                <c:pt idx="29">
                  <c:v>-39.808471179999998</c:v>
                </c:pt>
                <c:pt idx="30">
                  <c:v>-39.80750321</c:v>
                </c:pt>
                <c:pt idx="31">
                  <c:v>-39.806590919999998</c:v>
                </c:pt>
                <c:pt idx="32">
                  <c:v>-39.805729589999999</c:v>
                </c:pt>
                <c:pt idx="33">
                  <c:v>-39.804915020000003</c:v>
                </c:pt>
                <c:pt idx="34">
                  <c:v>-39.804143500000002</c:v>
                </c:pt>
                <c:pt idx="35">
                  <c:v>-39.803411670000003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1E1-8A28-8F957BBF1A53}"/>
            </c:ext>
          </c:extLst>
        </c:ser>
        <c:ser>
          <c:idx val="1"/>
          <c:order val="1"/>
          <c:tx>
            <c:strRef>
              <c:f>secondopunto!$C$1</c:f>
              <c:strCache>
                <c:ptCount val="1"/>
                <c:pt idx="0">
                  <c:v>ECASPT2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secondopunto!$A$2:$A$37</c:f>
              <c:numCache>
                <c:formatCode>General</c:formatCode>
                <c:ptCount val="36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  <c:pt idx="35">
                  <c:v>10</c:v>
                </c:pt>
              </c:numCache>
            </c:numRef>
          </c:xVal>
          <c:yVal>
            <c:numRef>
              <c:f>secondopunto!$C$2:$C$37</c:f>
              <c:numCache>
                <c:formatCode>General</c:formatCode>
                <c:ptCount val="36"/>
                <c:pt idx="0">
                  <c:v>-40.348851719999999</c:v>
                </c:pt>
                <c:pt idx="1">
                  <c:v>-40.30678357</c:v>
                </c:pt>
                <c:pt idx="2">
                  <c:v>-40.260511749999999</c:v>
                </c:pt>
                <c:pt idx="3">
                  <c:v>-40.219548349999997</c:v>
                </c:pt>
                <c:pt idx="4">
                  <c:v>-40.186053129999998</c:v>
                </c:pt>
                <c:pt idx="5">
                  <c:v>-40.16001996</c:v>
                </c:pt>
                <c:pt idx="6">
                  <c:v>-40.140863520000003</c:v>
                </c:pt>
                <c:pt idx="7">
                  <c:v>-40.127878959999997</c:v>
                </c:pt>
                <c:pt idx="8">
                  <c:v>-40.120387729999997</c:v>
                </c:pt>
                <c:pt idx="9">
                  <c:v>-40.117764860000001</c:v>
                </c:pt>
                <c:pt idx="10">
                  <c:v>-40.119369650000003</c:v>
                </c:pt>
                <c:pt idx="11">
                  <c:v>-40.124486539999999</c:v>
                </c:pt>
                <c:pt idx="12">
                  <c:v>-40.132348909999997</c:v>
                </c:pt>
                <c:pt idx="13">
                  <c:v>-40.142219490000002</c:v>
                </c:pt>
                <c:pt idx="14">
                  <c:v>-40.153465879999999</c:v>
                </c:pt>
                <c:pt idx="15">
                  <c:v>-40.165597460000001</c:v>
                </c:pt>
                <c:pt idx="16">
                  <c:v>-40.17826556</c:v>
                </c:pt>
                <c:pt idx="17">
                  <c:v>-40.191242750000001</c:v>
                </c:pt>
                <c:pt idx="18">
                  <c:v>-40.204394780000001</c:v>
                </c:pt>
                <c:pt idx="19">
                  <c:v>-40.217652610000002</c:v>
                </c:pt>
                <c:pt idx="20">
                  <c:v>-40.230988150000002</c:v>
                </c:pt>
                <c:pt idx="21">
                  <c:v>-40.244395689999998</c:v>
                </c:pt>
                <c:pt idx="22">
                  <c:v>-40.257878789999999</c:v>
                </c:pt>
                <c:pt idx="23">
                  <c:v>-40.27144285</c:v>
                </c:pt>
                <c:pt idx="24">
                  <c:v>-40.28509141</c:v>
                </c:pt>
                <c:pt idx="25">
                  <c:v>-40.298825049999998</c:v>
                </c:pt>
                <c:pt idx="26">
                  <c:v>-40.31264169</c:v>
                </c:pt>
                <c:pt idx="27">
                  <c:v>-40.326537379999998</c:v>
                </c:pt>
                <c:pt idx="28">
                  <c:v>-40.340507109999997</c:v>
                </c:pt>
                <c:pt idx="29">
                  <c:v>-40.354545469999998</c:v>
                </c:pt>
                <c:pt idx="30">
                  <c:v>-40.368647099999997</c:v>
                </c:pt>
                <c:pt idx="31">
                  <c:v>-40.382806870000003</c:v>
                </c:pt>
                <c:pt idx="32">
                  <c:v>-40.397020099999999</c:v>
                </c:pt>
                <c:pt idx="33">
                  <c:v>-40.411282479999997</c:v>
                </c:pt>
                <c:pt idx="34">
                  <c:v>-40.425590139999997</c:v>
                </c:pt>
                <c:pt idx="35">
                  <c:v>-40.439939610000003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2-41E1-8A28-8F957BBF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73103"/>
        <c:axId val="636287503"/>
      </c:scatterChart>
      <c:valAx>
        <c:axId val="6362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87503"/>
        <c:crosses val="autoZero"/>
        <c:crossBetween val="midCat"/>
      </c:valAx>
      <c:valAx>
        <c:axId val="6362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16</xdr:row>
      <xdr:rowOff>15240</xdr:rowOff>
    </xdr:from>
    <xdr:to>
      <xdr:col>12</xdr:col>
      <xdr:colOff>381000</xdr:colOff>
      <xdr:row>34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5AC2A8-5CF9-11C8-4BC3-DC1B1318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7AC9EB9-6CB7-425D-AED0-637136C5EA94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6" xr3:uid="{00000000-0010-0000-0000-000006000000}" name="Experimental Energy H bond"/>
  </tableColumns>
  <tableStyleInfo name="H2=2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CC9FAB-468E-41F9-A9F6-CA50C3632E65}" name="Table_14" displayName="Table_14" ref="A1:A3">
  <tableColumns count="1">
    <tableColumn id="6" xr3:uid="{320F24D8-73B1-46BF-8C0F-797668A41A25}" name="Experimental Energy bond"/>
  </tableColumns>
  <tableStyleInfo name="H2=2H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FE9A13-6536-4228-B7CF-3724A83D2672}" name="secondopunto" displayName="secondopunto" ref="A1:C37" tableType="queryTable" totalsRowShown="0">
  <autoFilter ref="A1:C37" xr:uid="{52FE9A13-6536-4228-B7CF-3724A83D2672}"/>
  <tableColumns count="3">
    <tableColumn id="1" xr3:uid="{2C10ECFE-0054-4B60-9C64-834396E04CAA}" uniqueName="1" name="Distance" queryTableFieldId="1"/>
    <tableColumn id="2" xr3:uid="{F8CA3388-ED1E-4A20-9AE1-63DF00756EEB}" uniqueName="2" name="EHF" queryTableFieldId="2"/>
    <tableColumn id="3" xr3:uid="{C682A76A-E08A-4886-8C97-A225D6008AA2}" uniqueName="3" name="ECASPT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3"/>
  <sheetViews>
    <sheetView topLeftCell="A35" zoomScale="85" zoomScaleNormal="85" workbookViewId="0">
      <selection activeCell="D65" sqref="D65"/>
    </sheetView>
  </sheetViews>
  <sheetFormatPr defaultColWidth="12.5546875" defaultRowHeight="15" customHeight="1" x14ac:dyDescent="0.3"/>
  <cols>
    <col min="1" max="1" width="26.109375" customWidth="1"/>
    <col min="2" max="2" width="22.44140625" bestFit="1" customWidth="1"/>
    <col min="3" max="4" width="27.109375" bestFit="1" customWidth="1"/>
    <col min="5" max="5" width="18.44140625" bestFit="1" customWidth="1"/>
    <col min="6" max="6" width="26.6640625" bestFit="1" customWidth="1"/>
    <col min="7" max="7" width="31.44140625" customWidth="1"/>
    <col min="8" max="8" width="19.5546875" bestFit="1" customWidth="1"/>
    <col min="9" max="9" width="23.109375" bestFit="1" customWidth="1"/>
    <col min="10" max="10" width="28.44140625" bestFit="1" customWidth="1"/>
    <col min="11" max="11" width="24.44140625" bestFit="1" customWidth="1"/>
    <col min="12" max="12" width="26.44140625" customWidth="1"/>
    <col min="13" max="23" width="7.5546875" customWidth="1"/>
  </cols>
  <sheetData>
    <row r="1" spans="1:9" ht="14.4" x14ac:dyDescent="0.3">
      <c r="A1" s="1" t="s">
        <v>0</v>
      </c>
    </row>
    <row r="2" spans="1:9" ht="14.4" x14ac:dyDescent="0.3">
      <c r="A2" s="2">
        <v>103.2</v>
      </c>
      <c r="B2" s="2"/>
    </row>
    <row r="3" spans="1:9" ht="14.4" x14ac:dyDescent="0.3">
      <c r="A3" s="2"/>
      <c r="B3" s="2"/>
    </row>
    <row r="4" spans="1:9" ht="14.4" x14ac:dyDescent="0.3">
      <c r="A4" s="2"/>
      <c r="B4" s="2"/>
      <c r="C4" s="2"/>
      <c r="D4" s="2"/>
      <c r="E4" s="2"/>
      <c r="F4" s="2"/>
      <c r="G4" s="2"/>
    </row>
    <row r="5" spans="1:9" ht="14.4" x14ac:dyDescent="0.3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3" t="s">
        <v>11</v>
      </c>
      <c r="H5" s="74" t="s">
        <v>48</v>
      </c>
    </row>
    <row r="6" spans="1:9" ht="14.4" x14ac:dyDescent="0.3">
      <c r="A6" s="6" t="s">
        <v>13</v>
      </c>
      <c r="B6" s="7" t="s">
        <v>14</v>
      </c>
      <c r="C6" s="7" t="s">
        <v>15</v>
      </c>
      <c r="D6" s="7" t="s">
        <v>16</v>
      </c>
      <c r="E6" s="91" t="s">
        <v>17</v>
      </c>
      <c r="F6" s="94">
        <v>0</v>
      </c>
      <c r="G6" s="76">
        <f>B6*B14+2*C14</f>
        <v>2</v>
      </c>
      <c r="H6" s="76">
        <f>E14*G6</f>
        <v>4</v>
      </c>
      <c r="I6" s="75"/>
    </row>
    <row r="7" spans="1:9" ht="14.4" x14ac:dyDescent="0.3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92">
        <v>1</v>
      </c>
      <c r="G7" s="84">
        <f>B7*B14+2*C14+3</f>
        <v>5</v>
      </c>
      <c r="H7" s="93">
        <f>E14*G7</f>
        <v>10</v>
      </c>
    </row>
    <row r="8" spans="1:9" ht="14.4" x14ac:dyDescent="0.3">
      <c r="A8" s="9" t="s">
        <v>19</v>
      </c>
      <c r="B8" s="82"/>
      <c r="C8" s="82"/>
      <c r="D8" s="82"/>
      <c r="E8" s="82"/>
      <c r="F8" s="82"/>
      <c r="G8" s="76">
        <v>5</v>
      </c>
      <c r="H8" s="76">
        <f>$E$14*G8</f>
        <v>10</v>
      </c>
    </row>
    <row r="9" spans="1:9" ht="14.4" x14ac:dyDescent="0.3">
      <c r="A9" s="10" t="s">
        <v>20</v>
      </c>
      <c r="B9" s="82"/>
      <c r="C9" s="82"/>
      <c r="D9" s="82"/>
      <c r="E9" s="82"/>
      <c r="F9" s="82"/>
      <c r="G9" s="89">
        <v>9</v>
      </c>
      <c r="H9" s="76">
        <f t="shared" ref="H9:H10" si="0">$E$14*G9</f>
        <v>18</v>
      </c>
    </row>
    <row r="10" spans="1:9" ht="14.4" x14ac:dyDescent="0.3">
      <c r="A10" s="10" t="s">
        <v>21</v>
      </c>
      <c r="B10" s="82"/>
      <c r="C10" s="82"/>
      <c r="D10" s="82"/>
      <c r="E10" s="82"/>
      <c r="F10" s="82"/>
      <c r="G10" s="76">
        <v>23</v>
      </c>
      <c r="H10" s="76">
        <f t="shared" si="0"/>
        <v>46</v>
      </c>
    </row>
    <row r="11" spans="1:9" ht="15" customHeight="1" thickBot="1" x14ac:dyDescent="0.35"/>
    <row r="12" spans="1:9" ht="15" customHeight="1" thickBot="1" x14ac:dyDescent="0.35">
      <c r="B12" s="66" t="s">
        <v>44</v>
      </c>
      <c r="C12" s="44"/>
      <c r="D12" s="65" t="s">
        <v>1</v>
      </c>
      <c r="E12" s="47"/>
    </row>
    <row r="13" spans="1:9" thickBot="1" x14ac:dyDescent="0.35">
      <c r="B13" s="64" t="s">
        <v>2</v>
      </c>
      <c r="C13" s="64" t="s">
        <v>3</v>
      </c>
      <c r="D13" s="64" t="s">
        <v>4</v>
      </c>
      <c r="E13" s="64" t="s">
        <v>3</v>
      </c>
    </row>
    <row r="14" spans="1:9" ht="15.75" customHeight="1" thickBot="1" x14ac:dyDescent="0.35">
      <c r="B14" s="71">
        <f>0</f>
        <v>0</v>
      </c>
      <c r="C14" s="73">
        <f>1</f>
        <v>1</v>
      </c>
      <c r="D14" s="72">
        <v>0</v>
      </c>
      <c r="E14" s="73">
        <v>2</v>
      </c>
    </row>
    <row r="15" spans="1:9" ht="15.75" customHeight="1" thickBot="1" x14ac:dyDescent="0.35">
      <c r="B15" s="148" t="s">
        <v>12</v>
      </c>
      <c r="D15" s="70" t="s">
        <v>47</v>
      </c>
      <c r="G15" s="163" t="s">
        <v>60</v>
      </c>
      <c r="H15" s="164" t="s">
        <v>61</v>
      </c>
      <c r="I15" s="165" t="s">
        <v>62</v>
      </c>
    </row>
    <row r="16" spans="1:9" ht="15.75" customHeight="1" thickBot="1" x14ac:dyDescent="0.35">
      <c r="A16" s="48" t="s">
        <v>13</v>
      </c>
      <c r="B16" s="149">
        <f>B14*B6+C14*(D6+C6)</f>
        <v>3</v>
      </c>
      <c r="C16" s="82"/>
      <c r="D16" s="68">
        <f>2*B16</f>
        <v>6</v>
      </c>
      <c r="E16" s="82"/>
      <c r="G16" s="160" t="s">
        <v>35</v>
      </c>
      <c r="H16" s="157">
        <v>1</v>
      </c>
      <c r="I16" s="154">
        <v>3</v>
      </c>
    </row>
    <row r="17" spans="1:9" ht="15.75" customHeight="1" thickBot="1" x14ac:dyDescent="0.35">
      <c r="A17" s="48" t="s">
        <v>18</v>
      </c>
      <c r="B17" s="150">
        <f>B14*B7+C14*(C7+D7)+3*F7</f>
        <v>7</v>
      </c>
      <c r="C17" s="82"/>
      <c r="D17" s="137">
        <f>2*B17</f>
        <v>14</v>
      </c>
      <c r="E17" s="82"/>
      <c r="G17" s="161" t="s">
        <v>36</v>
      </c>
      <c r="H17" s="158">
        <v>3</v>
      </c>
      <c r="I17" s="155">
        <v>1</v>
      </c>
    </row>
    <row r="18" spans="1:9" ht="15.75" customHeight="1" thickBot="1" x14ac:dyDescent="0.35">
      <c r="A18" s="9" t="s">
        <v>19</v>
      </c>
      <c r="B18" s="151">
        <f>2*$I$16+1*$I$17</f>
        <v>7</v>
      </c>
      <c r="C18" s="147" t="s">
        <v>59</v>
      </c>
      <c r="D18" s="153">
        <f>2*B18</f>
        <v>14</v>
      </c>
      <c r="E18" s="82"/>
      <c r="G18" s="162" t="s">
        <v>37</v>
      </c>
      <c r="H18" s="159">
        <v>5</v>
      </c>
      <c r="I18" s="156">
        <v>6</v>
      </c>
    </row>
    <row r="19" spans="1:9" ht="15.75" customHeight="1" x14ac:dyDescent="0.3">
      <c r="A19" s="10" t="s">
        <v>20</v>
      </c>
      <c r="B19" s="151">
        <f>3*$I$16+2*$I$17</f>
        <v>11</v>
      </c>
      <c r="C19" s="147" t="s">
        <v>63</v>
      </c>
      <c r="D19" s="153">
        <f t="shared" ref="D19:D20" si="1">2*B19</f>
        <v>22</v>
      </c>
      <c r="E19" s="82"/>
    </row>
    <row r="20" spans="1:9" ht="15.75" customHeight="1" thickBot="1" x14ac:dyDescent="0.35">
      <c r="A20" s="10" t="s">
        <v>21</v>
      </c>
      <c r="B20" s="152">
        <f>4*$I$16+3*$I$17+2*6</f>
        <v>27</v>
      </c>
      <c r="C20" s="147" t="s">
        <v>38</v>
      </c>
      <c r="D20" s="88">
        <f t="shared" si="1"/>
        <v>54</v>
      </c>
      <c r="E20" s="82"/>
    </row>
    <row r="21" spans="1:9" ht="15.75" customHeight="1" x14ac:dyDescent="0.3"/>
    <row r="22" spans="1:9" ht="15.75" customHeight="1" x14ac:dyDescent="0.3"/>
    <row r="23" spans="1:9" ht="15.75" customHeight="1" thickBot="1" x14ac:dyDescent="0.35">
      <c r="A23" s="11" t="s">
        <v>22</v>
      </c>
      <c r="B23" s="12" t="s">
        <v>5</v>
      </c>
      <c r="C23" s="12" t="s">
        <v>23</v>
      </c>
      <c r="D23" s="12" t="s">
        <v>24</v>
      </c>
      <c r="E23" s="12" t="s">
        <v>25</v>
      </c>
      <c r="F23" s="12" t="s">
        <v>26</v>
      </c>
      <c r="G23" s="12" t="s">
        <v>27</v>
      </c>
    </row>
    <row r="24" spans="1:9" ht="15.75" customHeight="1" x14ac:dyDescent="0.3">
      <c r="A24" s="49" t="s">
        <v>28</v>
      </c>
      <c r="B24" s="124" t="s">
        <v>13</v>
      </c>
      <c r="C24" s="50">
        <f>-1.12279503566+0.01061</f>
        <v>-1.11218503566</v>
      </c>
      <c r="D24" s="50">
        <f>2*-0.496199</f>
        <v>-0.992398</v>
      </c>
      <c r="E24" s="50">
        <f t="shared" ref="E24:E27" si="2">D24-C24</f>
        <v>0.11978703566000004</v>
      </c>
      <c r="F24" s="50">
        <f t="shared" ref="F24:F28" si="3">E24*627.503</f>
        <v>75.166724237757009</v>
      </c>
      <c r="G24" s="57">
        <f t="shared" ref="G24:G38" si="4">ABS(F24-$A$2)</f>
        <v>28.033275762242994</v>
      </c>
    </row>
    <row r="25" spans="1:9" ht="15.75" customHeight="1" x14ac:dyDescent="0.3">
      <c r="A25" s="51" t="s">
        <v>28</v>
      </c>
      <c r="B25" s="125" t="s">
        <v>29</v>
      </c>
      <c r="C25" s="3">
        <f>0.01056-1.13111935051</f>
        <v>-1.12055935051</v>
      </c>
      <c r="D25" s="3">
        <f>2*-0.498233</f>
        <v>-0.99646599999999996</v>
      </c>
      <c r="E25" s="3">
        <f t="shared" si="2"/>
        <v>0.12409335051000003</v>
      </c>
      <c r="F25" s="3">
        <f t="shared" si="3"/>
        <v>77.868949725076561</v>
      </c>
      <c r="G25" s="58">
        <f t="shared" si="4"/>
        <v>25.331050274923442</v>
      </c>
    </row>
    <row r="26" spans="1:9" ht="15.75" customHeight="1" x14ac:dyDescent="0.3">
      <c r="A26" s="51" t="s">
        <v>28</v>
      </c>
      <c r="B26" s="125" t="s">
        <v>19</v>
      </c>
      <c r="C26" s="3">
        <f>0.010446-1.12874313474</f>
        <v>-1.1182971347400001</v>
      </c>
      <c r="D26" s="3">
        <f>2*-0.499278</f>
        <v>-0.998556</v>
      </c>
      <c r="E26" s="3">
        <f t="shared" si="2"/>
        <v>0.11974113474000014</v>
      </c>
      <c r="F26" s="3">
        <f t="shared" si="3"/>
        <v>75.137921272754312</v>
      </c>
      <c r="G26" s="58">
        <f t="shared" si="4"/>
        <v>28.062078727245691</v>
      </c>
    </row>
    <row r="27" spans="1:9" ht="15.75" customHeight="1" x14ac:dyDescent="0.3">
      <c r="A27" s="52" t="s">
        <v>28</v>
      </c>
      <c r="B27" s="126" t="s">
        <v>20</v>
      </c>
      <c r="C27" s="3">
        <f>-1.12882342992+0.010388</f>
        <v>-1.1184354299199999</v>
      </c>
      <c r="D27" s="3">
        <f>2*-0.499334</f>
        <v>-0.998668</v>
      </c>
      <c r="E27" s="3">
        <f t="shared" si="2"/>
        <v>0.11976742991999989</v>
      </c>
      <c r="F27" s="3">
        <f t="shared" si="3"/>
        <v>75.154421577089693</v>
      </c>
      <c r="G27" s="58">
        <f t="shared" si="4"/>
        <v>28.04557842291031</v>
      </c>
    </row>
    <row r="28" spans="1:9" ht="15.75" customHeight="1" thickBot="1" x14ac:dyDescent="0.35">
      <c r="A28" s="45" t="s">
        <v>28</v>
      </c>
      <c r="B28" s="46" t="s">
        <v>21</v>
      </c>
      <c r="C28" s="53">
        <v>-1.1226050000000001</v>
      </c>
      <c r="D28" s="53">
        <f>2*-0.499821</f>
        <v>-0.99964200000000003</v>
      </c>
      <c r="E28" s="53">
        <f t="shared" ref="E28:E38" si="5">-C28+D28</f>
        <v>0.12296300000000004</v>
      </c>
      <c r="F28" s="53">
        <f t="shared" si="3"/>
        <v>77.159651389000032</v>
      </c>
      <c r="G28" s="59">
        <f t="shared" si="4"/>
        <v>26.04034861099997</v>
      </c>
    </row>
    <row r="29" spans="1:9" ht="15.75" customHeight="1" x14ac:dyDescent="0.3">
      <c r="A29" s="54" t="s">
        <v>30</v>
      </c>
      <c r="B29" s="139" t="s">
        <v>31</v>
      </c>
      <c r="C29" s="144">
        <f>0.010185-1.17060138011</f>
        <v>-1.16041638011</v>
      </c>
      <c r="D29" s="50">
        <f>2*-0.497311</f>
        <v>-0.99462200000000001</v>
      </c>
      <c r="E29" s="50">
        <f t="shared" si="5"/>
        <v>0.16579438011000003</v>
      </c>
      <c r="F29" s="98">
        <f t="shared" ref="F29:F31" si="6">E29*628.5095</f>
        <v>104.20334294574606</v>
      </c>
      <c r="G29" s="101">
        <f t="shared" si="4"/>
        <v>1.0033429457460556</v>
      </c>
    </row>
    <row r="30" spans="1:9" ht="15.75" customHeight="1" x14ac:dyDescent="0.3">
      <c r="A30" s="55" t="s">
        <v>30</v>
      </c>
      <c r="B30" s="140" t="s">
        <v>29</v>
      </c>
      <c r="C30" s="114">
        <f>-1.17850460568+0.010169</f>
        <v>-1.1683356056799998</v>
      </c>
      <c r="D30" s="3">
        <f>2*-0.500273</f>
        <v>-1.0005459999999999</v>
      </c>
      <c r="E30" s="3">
        <f t="shared" si="5"/>
        <v>0.1677896056799999</v>
      </c>
      <c r="F30" s="99">
        <f t="shared" si="6"/>
        <v>105.4573611711339</v>
      </c>
      <c r="G30" s="102">
        <f t="shared" si="4"/>
        <v>2.2573611711338941</v>
      </c>
    </row>
    <row r="31" spans="1:9" ht="15.75" customHeight="1" x14ac:dyDescent="0.3">
      <c r="A31" s="55" t="s">
        <v>30</v>
      </c>
      <c r="B31" s="140" t="s">
        <v>19</v>
      </c>
      <c r="C31" s="114">
        <f>0.009953-1.17351057743</f>
        <v>-1.16355757743</v>
      </c>
      <c r="D31" s="3">
        <f>2*-0.501258</f>
        <v>-1.002516</v>
      </c>
      <c r="E31" s="3">
        <f t="shared" si="5"/>
        <v>0.16104157743000003</v>
      </c>
      <c r="F31" s="99">
        <f t="shared" si="6"/>
        <v>101.2161613097406</v>
      </c>
      <c r="G31" s="102">
        <f t="shared" si="4"/>
        <v>1.9838386902594038</v>
      </c>
    </row>
    <row r="32" spans="1:9" ht="15.75" customHeight="1" thickBot="1" x14ac:dyDescent="0.35">
      <c r="A32" s="56" t="s">
        <v>30</v>
      </c>
      <c r="B32" s="141" t="s">
        <v>20</v>
      </c>
      <c r="C32" s="114">
        <f>-1.17394766295+0.009928</f>
        <v>-1.1640196629500001</v>
      </c>
      <c r="D32" s="3">
        <f>-0.501657*2</f>
        <v>-1.003314</v>
      </c>
      <c r="E32" s="3">
        <f t="shared" si="5"/>
        <v>0.16070566295000011</v>
      </c>
      <c r="F32" s="99">
        <f>E32*627.503</f>
        <v>100.84328561811392</v>
      </c>
      <c r="G32" s="103">
        <f t="shared" si="4"/>
        <v>2.3567143818860785</v>
      </c>
    </row>
    <row r="33" spans="1:7" ht="15.75" customHeight="1" thickBot="1" x14ac:dyDescent="0.35">
      <c r="A33" s="62" t="s">
        <v>30</v>
      </c>
      <c r="B33" s="142" t="s">
        <v>21</v>
      </c>
      <c r="C33" s="145">
        <v>-1.1699679999999999</v>
      </c>
      <c r="D33" s="63">
        <f>2*-0.50226</f>
        <v>-1.0045200000000001</v>
      </c>
      <c r="E33" s="63">
        <f t="shared" si="5"/>
        <v>0.16544799999999982</v>
      </c>
      <c r="F33" s="146">
        <f t="shared" ref="F33:F36" si="7">E33*628.5095</f>
        <v>103.98563975599988</v>
      </c>
      <c r="G33" s="143">
        <f t="shared" si="4"/>
        <v>0.78563975599988112</v>
      </c>
    </row>
    <row r="34" spans="1:7" ht="15.75" customHeight="1" x14ac:dyDescent="0.3">
      <c r="A34" s="96" t="s">
        <v>32</v>
      </c>
      <c r="B34" s="127" t="s">
        <v>31</v>
      </c>
      <c r="C34" s="3">
        <f>-1.1402545234355+0.010376</f>
        <v>-1.1298785234355</v>
      </c>
      <c r="D34" s="3">
        <f>2*-0.496198636018</f>
        <v>-0.99239727203600003</v>
      </c>
      <c r="E34" s="3">
        <f t="shared" si="5"/>
        <v>0.13748125139949996</v>
      </c>
      <c r="F34" s="3">
        <f t="shared" si="7"/>
        <v>86.408272576474019</v>
      </c>
      <c r="G34" s="58">
        <f t="shared" si="4"/>
        <v>16.791727423525984</v>
      </c>
    </row>
    <row r="35" spans="1:7" ht="15.75" customHeight="1" x14ac:dyDescent="0.3">
      <c r="A35" s="51" t="s">
        <v>32</v>
      </c>
      <c r="B35" s="125" t="s">
        <v>29</v>
      </c>
      <c r="C35" s="3">
        <f>0.01051-1.1576610782806</f>
        <v>-1.1471510782806</v>
      </c>
      <c r="D35" s="3">
        <f>-0.498232909202*2</f>
        <v>-0.99646581840399995</v>
      </c>
      <c r="E35" s="3">
        <f t="shared" si="5"/>
        <v>0.15068525987660009</v>
      </c>
      <c r="F35" s="3">
        <f t="shared" si="7"/>
        <v>94.707117342411976</v>
      </c>
      <c r="G35" s="58">
        <f t="shared" si="4"/>
        <v>8.4928826575880265</v>
      </c>
    </row>
    <row r="36" spans="1:7" ht="15.75" customHeight="1" x14ac:dyDescent="0.3">
      <c r="A36" s="51" t="s">
        <v>32</v>
      </c>
      <c r="B36" s="125" t="s">
        <v>19</v>
      </c>
      <c r="C36" s="3">
        <f>-1.1552182656304 + 0.01025</f>
        <v>-1.1449682656303999</v>
      </c>
      <c r="D36" s="3">
        <f>2*-0.49927840342</f>
        <v>-0.99855680684000003</v>
      </c>
      <c r="E36" s="3">
        <f t="shared" si="5"/>
        <v>0.14641145879039985</v>
      </c>
      <c r="F36" s="3">
        <f t="shared" si="7"/>
        <v>92.020992758624814</v>
      </c>
      <c r="G36" s="58">
        <f t="shared" si="4"/>
        <v>11.179007241375189</v>
      </c>
    </row>
    <row r="37" spans="1:7" ht="15.75" customHeight="1" x14ac:dyDescent="0.3">
      <c r="A37" s="51" t="s">
        <v>32</v>
      </c>
      <c r="B37" s="125" t="s">
        <v>20</v>
      </c>
      <c r="C37" s="3">
        <f>0.010166-1.1562164703769</f>
        <v>-1.1460504703769001</v>
      </c>
      <c r="D37" s="3">
        <f>-0.49933431544*2</f>
        <v>-0.99866863088000002</v>
      </c>
      <c r="E37" s="3">
        <f t="shared" si="5"/>
        <v>0.14738183949690009</v>
      </c>
      <c r="F37" s="3">
        <f>E37*627.503</f>
        <v>92.482546429823302</v>
      </c>
      <c r="G37" s="58">
        <f t="shared" si="4"/>
        <v>10.717453570176701</v>
      </c>
    </row>
    <row r="38" spans="1:7" ht="15.75" customHeight="1" thickBot="1" x14ac:dyDescent="0.35">
      <c r="A38" s="97" t="s">
        <v>32</v>
      </c>
      <c r="B38" s="128" t="s">
        <v>21</v>
      </c>
      <c r="C38" s="27">
        <v>-1.154736</v>
      </c>
      <c r="D38" s="27">
        <f>2*-0.499821176024</f>
        <v>-0.999642352048</v>
      </c>
      <c r="E38" s="27">
        <f t="shared" si="5"/>
        <v>0.15509364795199998</v>
      </c>
      <c r="F38" s="27">
        <f>E38*628.5095</f>
        <v>97.477831127487534</v>
      </c>
      <c r="G38" s="59">
        <f t="shared" si="4"/>
        <v>5.7221688725124693</v>
      </c>
    </row>
    <row r="39" spans="1:7" ht="15.75" customHeight="1" x14ac:dyDescent="0.3"/>
    <row r="40" spans="1:7" ht="15.75" customHeight="1" x14ac:dyDescent="0.3"/>
    <row r="41" spans="1:7" ht="15.75" customHeight="1" x14ac:dyDescent="0.3"/>
    <row r="42" spans="1:7" ht="15.75" customHeight="1" x14ac:dyDescent="0.3"/>
    <row r="43" spans="1:7" ht="15.75" customHeight="1" x14ac:dyDescent="0.3">
      <c r="A43" s="29" t="s">
        <v>22</v>
      </c>
      <c r="B43" s="5" t="s">
        <v>33</v>
      </c>
      <c r="E43" s="30"/>
      <c r="F43" s="30"/>
      <c r="G43" s="30"/>
    </row>
    <row r="44" spans="1:7" ht="15.75" customHeight="1" x14ac:dyDescent="0.3">
      <c r="A44" s="8" t="s">
        <v>28</v>
      </c>
      <c r="B44" s="8" t="s">
        <v>29</v>
      </c>
      <c r="E44" s="30"/>
      <c r="F44" s="30"/>
      <c r="G44" s="30"/>
    </row>
    <row r="45" spans="1:7" ht="15.75" customHeight="1" x14ac:dyDescent="0.3">
      <c r="A45" s="8" t="s">
        <v>30</v>
      </c>
      <c r="B45" s="8" t="s">
        <v>21</v>
      </c>
      <c r="E45" s="30"/>
      <c r="F45" s="30"/>
      <c r="G45" s="30"/>
    </row>
    <row r="46" spans="1:7" ht="15.75" customHeight="1" x14ac:dyDescent="0.3">
      <c r="A46" s="8" t="s">
        <v>32</v>
      </c>
      <c r="B46" s="8" t="s">
        <v>21</v>
      </c>
      <c r="E46" s="30"/>
      <c r="F46" s="30"/>
      <c r="G46" s="30"/>
    </row>
    <row r="47" spans="1:7" ht="15.75" customHeight="1" x14ac:dyDescent="0.3">
      <c r="A47" s="30"/>
      <c r="B47" s="30"/>
      <c r="E47" s="30"/>
      <c r="F47" s="30"/>
      <c r="G47" s="30"/>
    </row>
    <row r="48" spans="1:7" ht="15.75" customHeight="1" x14ac:dyDescent="0.3">
      <c r="A48" s="30"/>
      <c r="B48" s="30"/>
    </row>
    <row r="49" spans="1:7" ht="15.75" customHeight="1" x14ac:dyDescent="0.3">
      <c r="A49" s="42" t="s">
        <v>34</v>
      </c>
      <c r="B49" s="30"/>
    </row>
    <row r="50" spans="1:7" ht="15.75" customHeight="1" x14ac:dyDescent="0.3"/>
    <row r="51" spans="1:7" ht="15.75" customHeight="1" thickBot="1" x14ac:dyDescent="0.35">
      <c r="A51" s="29" t="s">
        <v>22</v>
      </c>
      <c r="B51" s="5" t="s">
        <v>5</v>
      </c>
      <c r="C51" s="5" t="s">
        <v>23</v>
      </c>
      <c r="D51" s="5" t="s">
        <v>24</v>
      </c>
      <c r="E51" s="5" t="s">
        <v>25</v>
      </c>
      <c r="F51" s="5" t="s">
        <v>26</v>
      </c>
      <c r="G51" s="5" t="s">
        <v>27</v>
      </c>
    </row>
    <row r="52" spans="1:7" ht="15.75" customHeight="1" x14ac:dyDescent="0.3">
      <c r="A52" s="8" t="s">
        <v>28</v>
      </c>
      <c r="B52" s="9" t="s">
        <v>13</v>
      </c>
      <c r="C52" s="31">
        <f>0.01060995-1.12295984</f>
        <v>-1.11234989</v>
      </c>
      <c r="D52" s="13">
        <f>2*-0.49619864</f>
        <v>-0.99239728000000005</v>
      </c>
      <c r="E52" s="13">
        <f t="shared" ref="E52:E55" si="8">D52-C52</f>
        <v>0.1199526099999999</v>
      </c>
      <c r="F52" s="13">
        <f t="shared" ref="F52:F56" si="9">E52*627.503</f>
        <v>75.270622632829941</v>
      </c>
      <c r="G52" s="14">
        <f t="shared" ref="G52:G66" si="10">ABS(F52-$A$2)</f>
        <v>27.929377367170062</v>
      </c>
    </row>
    <row r="53" spans="1:7" ht="15.75" customHeight="1" x14ac:dyDescent="0.3">
      <c r="A53" s="8" t="s">
        <v>28</v>
      </c>
      <c r="B53" s="9" t="s">
        <v>29</v>
      </c>
      <c r="C53" s="32">
        <f>0.01055985-1.13133359</f>
        <v>-1.1207737400000002</v>
      </c>
      <c r="D53" s="3">
        <f>2*-0.49823291</f>
        <v>-0.99646581999999995</v>
      </c>
      <c r="E53" s="3">
        <f t="shared" si="8"/>
        <v>0.12430792000000024</v>
      </c>
      <c r="F53" s="3">
        <f t="shared" si="9"/>
        <v>78.00359272376015</v>
      </c>
      <c r="G53" s="15">
        <f t="shared" si="10"/>
        <v>25.196407276239853</v>
      </c>
    </row>
    <row r="54" spans="1:7" ht="15.75" customHeight="1" x14ac:dyDescent="0.3">
      <c r="A54" s="8" t="s">
        <v>28</v>
      </c>
      <c r="B54" s="9" t="s">
        <v>19</v>
      </c>
      <c r="C54" s="32">
        <f>0.01044316-1.12874612</f>
        <v>-1.1183029600000001</v>
      </c>
      <c r="D54" s="3">
        <f>2*-0.4992784</f>
        <v>-0.99855680000000002</v>
      </c>
      <c r="E54" s="3">
        <f t="shared" si="8"/>
        <v>0.11974616000000005</v>
      </c>
      <c r="F54" s="3">
        <f t="shared" si="9"/>
        <v>75.141074638480035</v>
      </c>
      <c r="G54" s="15">
        <f t="shared" si="10"/>
        <v>28.058925361519968</v>
      </c>
    </row>
    <row r="55" spans="1:7" ht="15.75" customHeight="1" x14ac:dyDescent="0.3">
      <c r="A55" s="16" t="s">
        <v>28</v>
      </c>
      <c r="B55" s="10" t="s">
        <v>20</v>
      </c>
      <c r="C55" s="32">
        <v>-1.12882343</v>
      </c>
      <c r="D55" s="3">
        <f>2*-0.49933432</f>
        <v>-0.99866864</v>
      </c>
      <c r="E55" s="3">
        <f t="shared" si="8"/>
        <v>0.13015478999999996</v>
      </c>
      <c r="F55" s="3">
        <f t="shared" si="9"/>
        <v>81.672521189369988</v>
      </c>
      <c r="G55" s="15">
        <f t="shared" si="10"/>
        <v>21.527478810630015</v>
      </c>
    </row>
    <row r="56" spans="1:7" ht="15.75" customHeight="1" thickBot="1" x14ac:dyDescent="0.35">
      <c r="A56" s="16" t="s">
        <v>28</v>
      </c>
      <c r="B56" s="10" t="s">
        <v>21</v>
      </c>
      <c r="C56" s="32"/>
      <c r="D56" s="3"/>
      <c r="E56" s="3">
        <f t="shared" ref="E56:E66" si="11">-C56+D56</f>
        <v>0</v>
      </c>
      <c r="F56" s="3">
        <f t="shared" si="9"/>
        <v>0</v>
      </c>
      <c r="G56" s="15">
        <f t="shared" si="10"/>
        <v>103.2</v>
      </c>
    </row>
    <row r="57" spans="1:7" ht="15.75" customHeight="1" x14ac:dyDescent="0.3">
      <c r="A57" s="17" t="s">
        <v>30</v>
      </c>
      <c r="B57" s="18" t="s">
        <v>31</v>
      </c>
      <c r="C57" s="33">
        <f>0.0101781-1.16383957</f>
        <v>-1.1536614699999999</v>
      </c>
      <c r="D57" s="3">
        <f>2*-0.49388665</f>
        <v>-0.98777329999999997</v>
      </c>
      <c r="E57" s="3">
        <f t="shared" si="11"/>
        <v>0.16588816999999989</v>
      </c>
      <c r="F57" s="3">
        <f t="shared" ref="F57:F59" si="12">E57*628.5095</f>
        <v>104.26229078261493</v>
      </c>
      <c r="G57" s="19">
        <f t="shared" si="10"/>
        <v>1.062290782614923</v>
      </c>
    </row>
    <row r="58" spans="1:7" ht="15.75" customHeight="1" x14ac:dyDescent="0.3">
      <c r="A58" s="20" t="s">
        <v>30</v>
      </c>
      <c r="B58" s="21" t="s">
        <v>29</v>
      </c>
      <c r="C58" s="33">
        <f>0.01016977-1.1717732</f>
        <v>-1.16160343</v>
      </c>
      <c r="D58" s="3">
        <f>2*-0.49686205</f>
        <v>-0.9937241</v>
      </c>
      <c r="E58" s="3">
        <f t="shared" si="11"/>
        <v>0.16787932999999999</v>
      </c>
      <c r="F58" s="3">
        <f t="shared" si="12"/>
        <v>105.51375375863499</v>
      </c>
      <c r="G58" s="21">
        <f t="shared" si="10"/>
        <v>2.3137537586349879</v>
      </c>
    </row>
    <row r="59" spans="1:7" ht="15.75" customHeight="1" x14ac:dyDescent="0.3">
      <c r="A59" s="20" t="s">
        <v>30</v>
      </c>
      <c r="B59" s="21" t="s">
        <v>19</v>
      </c>
      <c r="C59" s="33">
        <f>0.0099439-1.16684035</f>
        <v>-1.1568964500000001</v>
      </c>
      <c r="D59" s="3">
        <f>2*-0.49785866</f>
        <v>-0.99571732000000002</v>
      </c>
      <c r="E59" s="3">
        <f t="shared" si="11"/>
        <v>0.16117913000000006</v>
      </c>
      <c r="F59" s="3">
        <f t="shared" si="12"/>
        <v>101.30261440673503</v>
      </c>
      <c r="G59" s="21">
        <f t="shared" si="10"/>
        <v>1.8973855932649712</v>
      </c>
    </row>
    <row r="60" spans="1:7" ht="15.75" customHeight="1" thickBot="1" x14ac:dyDescent="0.35">
      <c r="A60" s="22" t="s">
        <v>30</v>
      </c>
      <c r="B60" s="23" t="s">
        <v>20</v>
      </c>
      <c r="C60" s="33">
        <f>0.00991603-1.16727311</f>
        <v>-1.1573570799999999</v>
      </c>
      <c r="D60" s="3">
        <f>2*-0.49826982</f>
        <v>-0.99653963999999995</v>
      </c>
      <c r="E60" s="3">
        <f t="shared" si="11"/>
        <v>0.16081743999999998</v>
      </c>
      <c r="F60" s="3">
        <f>E60*627.503</f>
        <v>100.91342605231999</v>
      </c>
      <c r="G60" s="23">
        <f t="shared" si="10"/>
        <v>2.2865739476800115</v>
      </c>
    </row>
    <row r="61" spans="1:7" ht="15.75" customHeight="1" thickBot="1" x14ac:dyDescent="0.35">
      <c r="A61" s="34" t="s">
        <v>30</v>
      </c>
      <c r="B61" s="35" t="s">
        <v>21</v>
      </c>
      <c r="C61" s="36"/>
      <c r="D61" s="3"/>
      <c r="E61" s="37">
        <f t="shared" si="11"/>
        <v>0</v>
      </c>
      <c r="F61" s="38">
        <f t="shared" ref="F61:F64" si="13">E61*628.5095</f>
        <v>0</v>
      </c>
      <c r="G61" s="38">
        <f t="shared" si="10"/>
        <v>103.2</v>
      </c>
    </row>
    <row r="62" spans="1:7" ht="15.75" customHeight="1" x14ac:dyDescent="0.3">
      <c r="A62" s="24" t="s">
        <v>32</v>
      </c>
      <c r="B62" s="25" t="s">
        <v>31</v>
      </c>
      <c r="C62" s="32">
        <f>0.01037127-1.14025454</f>
        <v>-1.1298832699999999</v>
      </c>
      <c r="D62" s="3">
        <f>2*-0.49619864</f>
        <v>-0.99239728000000005</v>
      </c>
      <c r="E62" s="3">
        <f t="shared" si="11"/>
        <v>0.13748598999999984</v>
      </c>
      <c r="F62" s="3">
        <f t="shared" si="13"/>
        <v>86.411250831904894</v>
      </c>
      <c r="G62" s="15">
        <f t="shared" si="10"/>
        <v>16.788749168095109</v>
      </c>
    </row>
    <row r="63" spans="1:7" ht="15.75" customHeight="1" x14ac:dyDescent="0.3">
      <c r="A63" s="8" t="s">
        <v>32</v>
      </c>
      <c r="B63" s="9" t="s">
        <v>29</v>
      </c>
      <c r="C63" s="32">
        <f>0.01050087-1.15766113</f>
        <v>-1.1471602599999999</v>
      </c>
      <c r="D63" s="3">
        <f>2*-0.49823291</f>
        <v>-0.99646581999999995</v>
      </c>
      <c r="E63" s="3">
        <f t="shared" si="11"/>
        <v>0.15069443999999999</v>
      </c>
      <c r="F63" s="3">
        <f t="shared" si="13"/>
        <v>94.71288713717999</v>
      </c>
      <c r="G63" s="15">
        <f t="shared" si="10"/>
        <v>8.4871128628200125</v>
      </c>
    </row>
    <row r="64" spans="1:7" ht="15.75" customHeight="1" x14ac:dyDescent="0.3">
      <c r="A64" s="8" t="s">
        <v>32</v>
      </c>
      <c r="B64" s="9" t="s">
        <v>19</v>
      </c>
      <c r="C64" s="32">
        <f>0.01025474-1.15521828</f>
        <v>-1.14496354</v>
      </c>
      <c r="D64" s="3">
        <f>2*-0.4992784</f>
        <v>-0.99855680000000002</v>
      </c>
      <c r="E64" s="3">
        <f t="shared" si="11"/>
        <v>0.14640673999999998</v>
      </c>
      <c r="F64" s="3">
        <f t="shared" si="13"/>
        <v>92.018026954029992</v>
      </c>
      <c r="G64" s="15">
        <f t="shared" si="10"/>
        <v>11.181973045970011</v>
      </c>
    </row>
    <row r="65" spans="1:7" ht="15.75" customHeight="1" x14ac:dyDescent="0.3">
      <c r="A65" s="8" t="s">
        <v>32</v>
      </c>
      <c r="B65" s="9" t="s">
        <v>20</v>
      </c>
      <c r="C65" s="32">
        <f>-1.15621648+0.01016921</f>
        <v>-1.1460472700000002</v>
      </c>
      <c r="D65" s="3">
        <f>2*-0.49933432</f>
        <v>-0.99866864</v>
      </c>
      <c r="E65" s="3">
        <f t="shared" si="11"/>
        <v>0.14737863000000018</v>
      </c>
      <c r="F65" s="3">
        <f>E65*627.503</f>
        <v>92.480532460890117</v>
      </c>
      <c r="G65" s="15">
        <f t="shared" si="10"/>
        <v>10.719467539109885</v>
      </c>
    </row>
    <row r="66" spans="1:7" ht="15.75" customHeight="1" thickBot="1" x14ac:dyDescent="0.35">
      <c r="A66" s="24" t="s">
        <v>32</v>
      </c>
      <c r="B66" s="26" t="s">
        <v>21</v>
      </c>
      <c r="C66" s="39"/>
      <c r="D66" s="27"/>
      <c r="E66" s="40">
        <f t="shared" si="11"/>
        <v>0</v>
      </c>
      <c r="F66" s="27">
        <f>E66*628.5095</f>
        <v>0</v>
      </c>
      <c r="G66" s="28">
        <f t="shared" si="10"/>
        <v>103.2</v>
      </c>
    </row>
    <row r="67" spans="1:7" ht="15.75" customHeight="1" x14ac:dyDescent="0.3"/>
    <row r="68" spans="1:7" ht="15.75" customHeight="1" x14ac:dyDescent="0.3"/>
    <row r="69" spans="1:7" ht="15.75" customHeight="1" x14ac:dyDescent="0.3"/>
    <row r="70" spans="1:7" ht="15.75" customHeight="1" x14ac:dyDescent="0.3"/>
    <row r="71" spans="1:7" ht="15.75" customHeight="1" x14ac:dyDescent="0.3"/>
    <row r="72" spans="1:7" ht="15.75" customHeight="1" x14ac:dyDescent="0.3"/>
    <row r="73" spans="1:7" ht="15.75" customHeight="1" x14ac:dyDescent="0.3"/>
    <row r="74" spans="1:7" ht="15.75" customHeight="1" x14ac:dyDescent="0.3"/>
    <row r="75" spans="1:7" ht="15.75" customHeight="1" x14ac:dyDescent="0.3"/>
    <row r="76" spans="1:7" ht="15.75" customHeight="1" x14ac:dyDescent="0.3"/>
    <row r="77" spans="1:7" ht="15.75" customHeight="1" x14ac:dyDescent="0.3"/>
    <row r="78" spans="1:7" ht="15.75" customHeight="1" x14ac:dyDescent="0.3"/>
    <row r="79" spans="1:7" ht="15.75" customHeight="1" x14ac:dyDescent="0.3"/>
    <row r="80" spans="1:7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E2E-E10A-4419-BEF6-42D1E7A76D26}">
  <dimension ref="A1:L66"/>
  <sheetViews>
    <sheetView topLeftCell="A26" zoomScale="85" zoomScaleNormal="85" workbookViewId="0">
      <selection activeCell="F39" sqref="F39"/>
    </sheetView>
  </sheetViews>
  <sheetFormatPr defaultRowHeight="14.4" x14ac:dyDescent="0.3"/>
  <cols>
    <col min="1" max="1" width="28.33203125" bestFit="1" customWidth="1"/>
    <col min="2" max="2" width="23.6640625" bestFit="1" customWidth="1"/>
    <col min="3" max="4" width="25" bestFit="1" customWidth="1"/>
    <col min="5" max="5" width="22.6640625" bestFit="1" customWidth="1"/>
    <col min="6" max="6" width="24.88671875" bestFit="1" customWidth="1"/>
    <col min="7" max="7" width="18.44140625" bestFit="1" customWidth="1"/>
    <col min="8" max="8" width="34" bestFit="1" customWidth="1"/>
    <col min="9" max="9" width="19.5546875" bestFit="1" customWidth="1"/>
    <col min="10" max="10" width="8.88671875" customWidth="1"/>
    <col min="11" max="11" width="14" customWidth="1"/>
    <col min="12" max="12" width="10.44140625" bestFit="1" customWidth="1"/>
  </cols>
  <sheetData>
    <row r="1" spans="1:12" x14ac:dyDescent="0.3">
      <c r="A1" s="1" t="s">
        <v>49</v>
      </c>
    </row>
    <row r="2" spans="1:12" x14ac:dyDescent="0.3">
      <c r="A2" s="2">
        <v>103.3</v>
      </c>
      <c r="B2" s="2"/>
    </row>
    <row r="3" spans="1:12" x14ac:dyDescent="0.3">
      <c r="B3" s="2"/>
    </row>
    <row r="4" spans="1:12" x14ac:dyDescent="0.3">
      <c r="A4" s="2"/>
      <c r="B4" s="2"/>
      <c r="C4" s="2"/>
      <c r="D4" s="2"/>
      <c r="E4" s="2"/>
      <c r="F4" s="2"/>
      <c r="G4" s="2"/>
    </row>
    <row r="5" spans="1:12" x14ac:dyDescent="0.3">
      <c r="A5" s="5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83" t="s">
        <v>55</v>
      </c>
      <c r="H5" s="74" t="s">
        <v>39</v>
      </c>
      <c r="I5" s="83" t="s">
        <v>56</v>
      </c>
      <c r="L5" s="90"/>
    </row>
    <row r="6" spans="1:12" x14ac:dyDescent="0.3">
      <c r="A6" s="6" t="s">
        <v>13</v>
      </c>
      <c r="B6" s="7" t="s">
        <v>14</v>
      </c>
      <c r="C6" s="7" t="s">
        <v>15</v>
      </c>
      <c r="D6" s="7" t="s">
        <v>16</v>
      </c>
      <c r="E6" s="7" t="s">
        <v>17</v>
      </c>
      <c r="F6" s="2">
        <v>0</v>
      </c>
      <c r="G6" s="76">
        <f>2*E14</f>
        <v>8</v>
      </c>
      <c r="H6" s="76">
        <f>D6*B14+C6*C14</f>
        <v>9</v>
      </c>
      <c r="I6" s="76">
        <f>2*G14</f>
        <v>6</v>
      </c>
    </row>
    <row r="7" spans="1:12" x14ac:dyDescent="0.3">
      <c r="A7" s="6" t="s">
        <v>18</v>
      </c>
      <c r="B7" s="6">
        <v>6</v>
      </c>
      <c r="C7" s="6">
        <v>3</v>
      </c>
      <c r="D7" s="6">
        <v>1</v>
      </c>
      <c r="E7" s="6">
        <v>1</v>
      </c>
      <c r="F7" s="48">
        <v>1</v>
      </c>
      <c r="G7" s="84">
        <f>5*E14</f>
        <v>20</v>
      </c>
      <c r="H7" s="76">
        <f>D7*B14+C7*C14+3*E7+3*F7</f>
        <v>19</v>
      </c>
      <c r="I7" s="84">
        <f>5*G14</f>
        <v>15</v>
      </c>
    </row>
    <row r="8" spans="1:12" x14ac:dyDescent="0.3">
      <c r="A8" s="9" t="s">
        <v>19</v>
      </c>
      <c r="B8" s="82"/>
      <c r="C8" s="82"/>
      <c r="D8" s="82"/>
      <c r="E8" s="82"/>
      <c r="F8" s="82"/>
      <c r="G8" s="89">
        <f>5*E14</f>
        <v>20</v>
      </c>
      <c r="H8" s="76">
        <v>14</v>
      </c>
      <c r="I8" s="89">
        <f>5*G14</f>
        <v>15</v>
      </c>
    </row>
    <row r="9" spans="1:12" x14ac:dyDescent="0.3">
      <c r="A9" s="10" t="s">
        <v>20</v>
      </c>
      <c r="B9" s="82"/>
      <c r="C9" s="82"/>
      <c r="D9" s="82"/>
      <c r="E9" s="82"/>
      <c r="F9" s="82"/>
      <c r="G9" s="89">
        <f>9*E14</f>
        <v>36</v>
      </c>
      <c r="H9" s="76">
        <v>23</v>
      </c>
      <c r="I9" s="89">
        <f>9*G14</f>
        <v>27</v>
      </c>
    </row>
    <row r="10" spans="1:12" x14ac:dyDescent="0.3">
      <c r="A10" s="10" t="s">
        <v>21</v>
      </c>
      <c r="B10" s="82"/>
      <c r="C10" s="82"/>
      <c r="D10" s="82"/>
      <c r="E10" s="82"/>
      <c r="F10" s="82"/>
      <c r="G10" s="76">
        <f>23*E14</f>
        <v>92</v>
      </c>
      <c r="H10" s="76">
        <v>46</v>
      </c>
      <c r="I10" s="76">
        <f>23*G14</f>
        <v>69</v>
      </c>
    </row>
    <row r="11" spans="1:12" ht="15" thickBot="1" x14ac:dyDescent="0.35">
      <c r="A11" s="82"/>
      <c r="B11" s="82"/>
      <c r="C11" s="82"/>
      <c r="D11" s="82"/>
      <c r="E11" s="82"/>
      <c r="F11" s="82"/>
      <c r="G11" s="82"/>
      <c r="H11" s="82"/>
      <c r="I11" s="82"/>
    </row>
    <row r="12" spans="1:12" ht="15" thickBot="1" x14ac:dyDescent="0.35">
      <c r="A12" s="82"/>
      <c r="B12" s="80" t="s">
        <v>45</v>
      </c>
      <c r="C12" s="67" t="s">
        <v>46</v>
      </c>
      <c r="D12" s="81" t="s">
        <v>52</v>
      </c>
      <c r="E12" s="47"/>
      <c r="F12" s="81" t="s">
        <v>57</v>
      </c>
      <c r="G12" s="47"/>
      <c r="H12" s="82"/>
      <c r="I12" s="82"/>
    </row>
    <row r="13" spans="1:12" ht="15" thickBot="1" x14ac:dyDescent="0.35">
      <c r="A13" s="82"/>
      <c r="B13" s="64" t="s">
        <v>2</v>
      </c>
      <c r="C13" s="64" t="s">
        <v>3</v>
      </c>
      <c r="D13" s="64" t="s">
        <v>4</v>
      </c>
      <c r="E13" s="64" t="s">
        <v>3</v>
      </c>
      <c r="F13" s="64" t="s">
        <v>4</v>
      </c>
      <c r="G13" s="64" t="s">
        <v>3</v>
      </c>
      <c r="H13" s="82"/>
      <c r="I13" s="82"/>
    </row>
    <row r="14" spans="1:12" ht="15" thickBot="1" x14ac:dyDescent="0.35">
      <c r="A14" s="82"/>
      <c r="B14" s="71">
        <f>1</f>
        <v>1</v>
      </c>
      <c r="C14" s="73">
        <v>4</v>
      </c>
      <c r="D14" s="72">
        <v>0</v>
      </c>
      <c r="E14" s="73">
        <v>4</v>
      </c>
      <c r="F14" s="95">
        <v>0</v>
      </c>
      <c r="G14" s="95">
        <v>3</v>
      </c>
      <c r="H14" s="82"/>
      <c r="I14" s="82"/>
    </row>
    <row r="15" spans="1:12" ht="15" thickBot="1" x14ac:dyDescent="0.35">
      <c r="A15" s="82"/>
      <c r="B15" s="70" t="s">
        <v>54</v>
      </c>
      <c r="C15" s="82"/>
      <c r="D15" s="85" t="s">
        <v>53</v>
      </c>
      <c r="E15" s="82"/>
      <c r="F15" s="85" t="s">
        <v>58</v>
      </c>
      <c r="G15" s="82"/>
      <c r="H15" s="82"/>
      <c r="I15" s="163" t="s">
        <v>60</v>
      </c>
      <c r="J15" s="164" t="s">
        <v>61</v>
      </c>
      <c r="K15" s="165" t="s">
        <v>62</v>
      </c>
    </row>
    <row r="16" spans="1:12" ht="15" thickBot="1" x14ac:dyDescent="0.35">
      <c r="A16" s="6" t="s">
        <v>13</v>
      </c>
      <c r="B16" s="86">
        <f>B14*B6+C14*(D6+C6)</f>
        <v>15</v>
      </c>
      <c r="C16" s="82"/>
      <c r="D16" s="87">
        <f>D14*B6+E14*(D6+C6)</f>
        <v>12</v>
      </c>
      <c r="E16" s="82"/>
      <c r="F16" s="87">
        <f>F14*B6+G14*(D6+C6)</f>
        <v>9</v>
      </c>
      <c r="G16" s="82"/>
      <c r="H16" s="82"/>
      <c r="I16" s="160" t="s">
        <v>35</v>
      </c>
      <c r="J16" s="157">
        <v>1</v>
      </c>
      <c r="K16" s="154">
        <v>3</v>
      </c>
    </row>
    <row r="17" spans="1:11" ht="15" thickBot="1" x14ac:dyDescent="0.35">
      <c r="A17" s="6" t="s">
        <v>18</v>
      </c>
      <c r="B17" s="69">
        <f>B14*B7+C14*(C7+D7)+6*F7+4*E7</f>
        <v>32</v>
      </c>
      <c r="C17" s="82"/>
      <c r="D17" s="88">
        <f>7*E14</f>
        <v>28</v>
      </c>
      <c r="E17" s="82"/>
      <c r="F17" s="88">
        <f>7*G14</f>
        <v>21</v>
      </c>
      <c r="G17" s="82"/>
      <c r="H17" s="82"/>
      <c r="I17" s="161" t="s">
        <v>36</v>
      </c>
      <c r="J17" s="158">
        <v>3</v>
      </c>
      <c r="K17" s="155">
        <v>1</v>
      </c>
    </row>
    <row r="18" spans="1:11" ht="15" thickBot="1" x14ac:dyDescent="0.35">
      <c r="A18" s="9" t="s">
        <v>19</v>
      </c>
      <c r="B18" s="82"/>
      <c r="C18" s="147" t="s">
        <v>64</v>
      </c>
      <c r="D18" s="82">
        <f>7*4</f>
        <v>28</v>
      </c>
      <c r="E18" s="82"/>
      <c r="F18" s="82">
        <f>7*3</f>
        <v>21</v>
      </c>
      <c r="G18" s="82"/>
      <c r="H18" s="82"/>
      <c r="I18" s="162" t="s">
        <v>37</v>
      </c>
      <c r="J18" s="159">
        <v>5</v>
      </c>
      <c r="K18" s="156">
        <v>6</v>
      </c>
    </row>
    <row r="19" spans="1:11" x14ac:dyDescent="0.3">
      <c r="A19" s="10" t="s">
        <v>20</v>
      </c>
      <c r="B19" s="82"/>
      <c r="C19" s="147" t="s">
        <v>65</v>
      </c>
      <c r="D19" s="82">
        <f>11*4</f>
        <v>44</v>
      </c>
      <c r="E19" s="82"/>
      <c r="F19" s="82">
        <f>11*3</f>
        <v>33</v>
      </c>
      <c r="G19" s="82"/>
      <c r="H19" s="82"/>
      <c r="I19" s="82"/>
    </row>
    <row r="20" spans="1:11" x14ac:dyDescent="0.3">
      <c r="A20" s="10" t="s">
        <v>21</v>
      </c>
      <c r="B20" s="82"/>
      <c r="C20" s="147" t="s">
        <v>66</v>
      </c>
      <c r="D20" s="82">
        <f>27*4</f>
        <v>108</v>
      </c>
      <c r="E20" s="82"/>
      <c r="F20" s="82">
        <f>27*3</f>
        <v>81</v>
      </c>
      <c r="G20" s="82"/>
      <c r="H20" s="82"/>
      <c r="I20" s="82"/>
    </row>
    <row r="23" spans="1:11" ht="15" thickBot="1" x14ac:dyDescent="0.35">
      <c r="A23" s="11" t="s">
        <v>22</v>
      </c>
      <c r="B23" s="12" t="s">
        <v>5</v>
      </c>
      <c r="C23" s="12" t="s">
        <v>40</v>
      </c>
      <c r="D23" s="12" t="s">
        <v>50</v>
      </c>
      <c r="E23" s="4" t="s">
        <v>51</v>
      </c>
      <c r="F23" s="12" t="s">
        <v>25</v>
      </c>
      <c r="G23" s="12" t="s">
        <v>26</v>
      </c>
      <c r="H23" s="12" t="s">
        <v>27</v>
      </c>
    </row>
    <row r="24" spans="1:11" ht="15" thickBot="1" x14ac:dyDescent="0.35">
      <c r="A24" s="135" t="s">
        <v>28</v>
      </c>
      <c r="B24" s="129" t="s">
        <v>13</v>
      </c>
      <c r="C24" s="113">
        <f>0.047993-39.9546183847</f>
        <v>-39.9066253847</v>
      </c>
      <c r="D24" s="50">
        <f>-39.1932487584+0.031026</f>
        <v>-39.162222758400006</v>
      </c>
      <c r="E24" s="50">
        <f>'H2=2H'!D24/2</f>
        <v>-0.496199</v>
      </c>
      <c r="F24" s="50">
        <f>ABS(C24-(D24+E24))</f>
        <v>0.24820362629999693</v>
      </c>
      <c r="G24" s="50">
        <f t="shared" ref="G24:G28" si="0">F24*627.503</f>
        <v>155.74852011412699</v>
      </c>
      <c r="H24" s="98">
        <f t="shared" ref="H24:H38" si="1">ABS(G24-$A$2)</f>
        <v>52.448520114126993</v>
      </c>
    </row>
    <row r="25" spans="1:11" ht="15" thickBot="1" x14ac:dyDescent="0.35">
      <c r="A25" s="136" t="s">
        <v>28</v>
      </c>
      <c r="B25" s="130" t="s">
        <v>29</v>
      </c>
      <c r="C25" s="33">
        <f>-40.1796710348+0.047233</f>
        <v>-40.132438034800003</v>
      </c>
      <c r="D25" s="33">
        <f>0.030992-39.4272972899</f>
        <v>-39.396305289899999</v>
      </c>
      <c r="E25" s="50">
        <f>'H2=2H'!D25/2</f>
        <v>-0.49823299999999998</v>
      </c>
      <c r="F25" s="50">
        <f t="shared" ref="F25:F27" si="2">ABS(C25-(D25+E25))</f>
        <v>0.23789974490000532</v>
      </c>
      <c r="G25" s="3">
        <f t="shared" si="0"/>
        <v>149.28280362398806</v>
      </c>
      <c r="H25" s="99">
        <f t="shared" si="1"/>
        <v>45.982803623988062</v>
      </c>
    </row>
    <row r="26" spans="1:11" ht="15" thickBot="1" x14ac:dyDescent="0.35">
      <c r="A26" s="136" t="s">
        <v>28</v>
      </c>
      <c r="B26" s="130" t="s">
        <v>19</v>
      </c>
      <c r="C26" s="166">
        <f xml:space="preserve"> 0.046961-40.1720831941</f>
        <v>-40.125122194099994</v>
      </c>
      <c r="D26" s="33">
        <f>-39.4213182026+0.03059</f>
        <v>-39.390728202600002</v>
      </c>
      <c r="E26" s="50">
        <f>'H2=2H'!D26/2</f>
        <v>-0.499278</v>
      </c>
      <c r="F26" s="50">
        <f t="shared" si="2"/>
        <v>0.2351159914999954</v>
      </c>
      <c r="G26" s="3">
        <f t="shared" si="0"/>
        <v>147.53599001422162</v>
      </c>
      <c r="H26" s="99">
        <f t="shared" si="1"/>
        <v>44.235990014221628</v>
      </c>
    </row>
    <row r="27" spans="1:11" ht="15" thickBot="1" x14ac:dyDescent="0.35">
      <c r="A27" s="137" t="s">
        <v>28</v>
      </c>
      <c r="B27" s="131" t="s">
        <v>20</v>
      </c>
      <c r="C27" s="33">
        <f>-40.1740602196+ 0.046689</f>
        <v>-40.127371219600001</v>
      </c>
      <c r="D27" s="33">
        <f>0.030731-39.4243833839</f>
        <v>-39.393652383899997</v>
      </c>
      <c r="E27" s="50">
        <f>'H2=2H'!D27/2</f>
        <v>-0.499334</v>
      </c>
      <c r="F27" s="50">
        <f t="shared" si="2"/>
        <v>0.23438483570000557</v>
      </c>
      <c r="G27" s="3">
        <f t="shared" si="0"/>
        <v>147.07718755626061</v>
      </c>
      <c r="H27" s="99">
        <f t="shared" si="1"/>
        <v>43.777187556260614</v>
      </c>
    </row>
    <row r="28" spans="1:11" ht="15" thickBot="1" x14ac:dyDescent="0.35">
      <c r="A28" s="137" t="s">
        <v>28</v>
      </c>
      <c r="B28" s="132" t="s">
        <v>21</v>
      </c>
      <c r="C28" s="79" t="s">
        <v>43</v>
      </c>
      <c r="D28" s="79" t="s">
        <v>43</v>
      </c>
      <c r="E28" s="50">
        <f>'H2=2H'!D28/2</f>
        <v>-0.49982100000000002</v>
      </c>
      <c r="F28" s="79" t="e">
        <f t="shared" ref="F28:F38" si="3">ABS(C28-(D28+E28))</f>
        <v>#VALUE!</v>
      </c>
      <c r="G28" s="79" t="e">
        <f t="shared" si="0"/>
        <v>#VALUE!</v>
      </c>
      <c r="H28" s="105" t="e">
        <f t="shared" si="1"/>
        <v>#VALUE!</v>
      </c>
    </row>
    <row r="29" spans="1:11" ht="15" thickBot="1" x14ac:dyDescent="0.35">
      <c r="A29" s="60" t="s">
        <v>30</v>
      </c>
      <c r="B29" s="106" t="s">
        <v>31</v>
      </c>
      <c r="C29" s="33">
        <f>0.045593-40.3015927064</f>
        <v>-40.255999706400004</v>
      </c>
      <c r="D29" s="33">
        <f>-39.6222384857+0.0299</f>
        <v>-39.592338485700004</v>
      </c>
      <c r="E29" s="50">
        <f>'H2=2H'!D29/2</f>
        <v>-0.497311</v>
      </c>
      <c r="F29" s="3">
        <f t="shared" si="3"/>
        <v>0.1663502206999965</v>
      </c>
      <c r="G29" s="3">
        <f t="shared" ref="G29:G31" si="4">F29*628.5095</f>
        <v>104.55269403704445</v>
      </c>
      <c r="H29" s="102">
        <f t="shared" si="1"/>
        <v>1.2526940370444493</v>
      </c>
    </row>
    <row r="30" spans="1:11" ht="15" thickBot="1" x14ac:dyDescent="0.35">
      <c r="A30" s="104" t="s">
        <v>30</v>
      </c>
      <c r="B30" s="109" t="s">
        <v>29</v>
      </c>
      <c r="C30" s="110">
        <f>-40.5261382473+0.044774</f>
        <v>-40.4813642473</v>
      </c>
      <c r="D30" s="110">
        <f>-39.8473348956+0.02982</f>
        <v>-39.817514895599999</v>
      </c>
      <c r="E30" s="50">
        <f>'H2=2H'!D30/2</f>
        <v>-0.50027299999999997</v>
      </c>
      <c r="F30" s="111">
        <f t="shared" si="3"/>
        <v>0.16357635170000151</v>
      </c>
      <c r="G30" s="111">
        <f t="shared" si="4"/>
        <v>102.80929101879209</v>
      </c>
      <c r="H30" s="104">
        <f t="shared" si="1"/>
        <v>0.49070898120790218</v>
      </c>
    </row>
    <row r="31" spans="1:11" ht="15" thickBot="1" x14ac:dyDescent="0.35">
      <c r="A31" s="61" t="s">
        <v>30</v>
      </c>
      <c r="B31" s="102" t="s">
        <v>19</v>
      </c>
      <c r="C31" s="33">
        <f>0.044329-40.5163488715</f>
        <v>-40.472019871500002</v>
      </c>
      <c r="D31" s="33">
        <f>-39.839064582+0.029368</f>
        <v>-39.809696582000001</v>
      </c>
      <c r="E31" s="50">
        <f>'H2=2H'!D31/2</f>
        <v>-0.50125799999999998</v>
      </c>
      <c r="F31" s="3">
        <f t="shared" si="3"/>
        <v>0.16106528950000154</v>
      </c>
      <c r="G31" s="3">
        <f t="shared" si="4"/>
        <v>101.23106457100121</v>
      </c>
      <c r="H31" s="102">
        <f t="shared" si="1"/>
        <v>2.0689354289987847</v>
      </c>
    </row>
    <row r="32" spans="1:11" ht="15" thickBot="1" x14ac:dyDescent="0.35">
      <c r="A32" s="61" t="s">
        <v>30</v>
      </c>
      <c r="B32" s="102" t="s">
        <v>20</v>
      </c>
      <c r="C32" s="33">
        <f>0.044215-40.5206215939</f>
        <v>-40.476406593900002</v>
      </c>
      <c r="D32" s="33">
        <f>-39.8443515627+0.029647</f>
        <v>-39.814704562700001</v>
      </c>
      <c r="E32" s="50">
        <f>'H2=2H'!D32/2</f>
        <v>-0.50165700000000002</v>
      </c>
      <c r="F32" s="3">
        <f t="shared" si="3"/>
        <v>0.16004503119999924</v>
      </c>
      <c r="G32" s="3">
        <f>F32*627.503</f>
        <v>100.42873721309313</v>
      </c>
      <c r="H32" s="102">
        <f t="shared" si="1"/>
        <v>2.8712627869068683</v>
      </c>
    </row>
    <row r="33" spans="1:8" ht="15" thickBot="1" x14ac:dyDescent="0.35">
      <c r="A33" s="108" t="s">
        <v>30</v>
      </c>
      <c r="B33" s="107" t="s">
        <v>21</v>
      </c>
      <c r="C33" s="79" t="s">
        <v>43</v>
      </c>
      <c r="D33" s="79" t="s">
        <v>43</v>
      </c>
      <c r="E33" s="50">
        <f>'H2=2H'!D33/2</f>
        <v>-0.50226000000000004</v>
      </c>
      <c r="F33" s="79" t="e">
        <f t="shared" si="3"/>
        <v>#VALUE!</v>
      </c>
      <c r="G33" s="79" t="e">
        <f t="shared" ref="G33:G36" si="5">F33*628.5095</f>
        <v>#VALUE!</v>
      </c>
      <c r="H33" s="105" t="e">
        <f t="shared" si="1"/>
        <v>#VALUE!</v>
      </c>
    </row>
    <row r="34" spans="1:8" ht="15" thickBot="1" x14ac:dyDescent="0.35">
      <c r="A34" s="138" t="s">
        <v>32</v>
      </c>
      <c r="B34" s="133" t="s">
        <v>31</v>
      </c>
      <c r="C34" s="33">
        <f>0.04641-40.075513138533</f>
        <v>-40.029103138532996</v>
      </c>
      <c r="D34" s="33">
        <f>0.030387-39.418237764978</f>
        <v>-39.387850764978005</v>
      </c>
      <c r="E34" s="50">
        <f>'H2=2H'!D34/2</f>
        <v>-0.49619863601800002</v>
      </c>
      <c r="F34" s="3">
        <f t="shared" si="3"/>
        <v>0.14505373753699047</v>
      </c>
      <c r="G34" s="3">
        <f t="shared" si="5"/>
        <v>91.167652052505105</v>
      </c>
      <c r="H34" s="99">
        <f t="shared" si="1"/>
        <v>12.132347947494893</v>
      </c>
    </row>
    <row r="35" spans="1:8" ht="15" thickBot="1" x14ac:dyDescent="0.35">
      <c r="A35" s="136" t="s">
        <v>32</v>
      </c>
      <c r="B35" s="130" t="s">
        <v>29</v>
      </c>
      <c r="C35" s="33">
        <f>0.046239-40.365953154884</f>
        <v>-40.319714154883997</v>
      </c>
      <c r="D35" s="33">
        <f>-39.696334920752+0.030785</f>
        <v>-39.665549920751999</v>
      </c>
      <c r="E35" s="50">
        <f>'H2=2H'!D35/2</f>
        <v>-0.49823290920199997</v>
      </c>
      <c r="F35" s="3">
        <f t="shared" si="3"/>
        <v>0.15593132492999473</v>
      </c>
      <c r="G35" s="3">
        <f t="shared" si="5"/>
        <v>98.004319066088527</v>
      </c>
      <c r="H35" s="99">
        <f t="shared" si="1"/>
        <v>5.2956809339114699</v>
      </c>
    </row>
    <row r="36" spans="1:8" ht="15" thickBot="1" x14ac:dyDescent="0.35">
      <c r="A36" s="136" t="s">
        <v>32</v>
      </c>
      <c r="B36" s="130" t="s">
        <v>19</v>
      </c>
      <c r="C36" s="33">
        <f>0.045384-40.360174937417</f>
        <v>-40.314790937417001</v>
      </c>
      <c r="D36" s="33">
        <f>0.030032-39.690639486241</f>
        <v>-39.660607486240998</v>
      </c>
      <c r="E36" s="50">
        <f>'H2=2H'!D36/2</f>
        <v>-0.49927840342000002</v>
      </c>
      <c r="F36" s="3">
        <f t="shared" si="3"/>
        <v>0.154905047756003</v>
      </c>
      <c r="G36" s="3">
        <f t="shared" si="5"/>
        <v>97.359294112601575</v>
      </c>
      <c r="H36" s="99">
        <f t="shared" si="1"/>
        <v>5.9407058873984226</v>
      </c>
    </row>
    <row r="37" spans="1:8" ht="15" thickBot="1" x14ac:dyDescent="0.35">
      <c r="A37" s="136" t="s">
        <v>32</v>
      </c>
      <c r="B37" s="130" t="s">
        <v>20</v>
      </c>
      <c r="C37" s="33">
        <f>0.044992-40.3677263387</f>
        <v>-40.322734338700002</v>
      </c>
      <c r="D37" s="33">
        <f>-39.698265572358+0.030157</f>
        <v>-39.668108572357994</v>
      </c>
      <c r="E37" s="50">
        <f>'H2=2H'!D37/2</f>
        <v>-0.49933431544000001</v>
      </c>
      <c r="F37" s="3">
        <f t="shared" si="3"/>
        <v>0.15529145090200558</v>
      </c>
      <c r="G37" s="3">
        <f>F37*627.503</f>
        <v>97.44585131536121</v>
      </c>
      <c r="H37" s="99">
        <f t="shared" si="1"/>
        <v>5.8541486846387869</v>
      </c>
    </row>
    <row r="38" spans="1:8" ht="15" thickBot="1" x14ac:dyDescent="0.35">
      <c r="A38" s="59" t="s">
        <v>32</v>
      </c>
      <c r="B38" s="134" t="s">
        <v>21</v>
      </c>
      <c r="C38" s="77" t="s">
        <v>43</v>
      </c>
      <c r="D38" s="77" t="s">
        <v>43</v>
      </c>
      <c r="E38" s="50">
        <f>'H2=2H'!D38/2</f>
        <v>-0.499821176024</v>
      </c>
      <c r="F38" s="77" t="e">
        <f t="shared" si="3"/>
        <v>#VALUE!</v>
      </c>
      <c r="G38" s="77" t="e">
        <f>F38*628.5095</f>
        <v>#VALUE!</v>
      </c>
      <c r="H38" s="100" t="e">
        <f t="shared" si="1"/>
        <v>#VALUE!</v>
      </c>
    </row>
    <row r="39" spans="1:8" x14ac:dyDescent="0.3">
      <c r="F39" s="167"/>
    </row>
    <row r="43" spans="1:8" x14ac:dyDescent="0.3">
      <c r="A43" s="29" t="s">
        <v>22</v>
      </c>
      <c r="B43" s="5" t="s">
        <v>33</v>
      </c>
      <c r="E43" s="30"/>
      <c r="F43" s="30"/>
      <c r="G43" s="30"/>
    </row>
    <row r="44" spans="1:8" x14ac:dyDescent="0.3">
      <c r="A44" s="8" t="s">
        <v>28</v>
      </c>
      <c r="B44" s="8" t="s">
        <v>29</v>
      </c>
      <c r="E44" s="30"/>
      <c r="F44" s="30"/>
      <c r="G44" s="30"/>
    </row>
    <row r="45" spans="1:8" x14ac:dyDescent="0.3">
      <c r="A45" s="8" t="s">
        <v>30</v>
      </c>
      <c r="B45" s="8" t="s">
        <v>29</v>
      </c>
      <c r="E45" s="30"/>
      <c r="F45" s="30"/>
      <c r="G45" s="30"/>
    </row>
    <row r="46" spans="1:8" x14ac:dyDescent="0.3">
      <c r="A46" s="8" t="s">
        <v>32</v>
      </c>
      <c r="B46" s="8" t="s">
        <v>29</v>
      </c>
      <c r="E46" s="30"/>
      <c r="F46" s="30"/>
      <c r="G46" s="30"/>
    </row>
    <row r="47" spans="1:8" x14ac:dyDescent="0.3">
      <c r="A47" s="30"/>
      <c r="B47" s="30"/>
      <c r="E47" s="30"/>
      <c r="F47" s="30"/>
      <c r="G47" s="30"/>
    </row>
    <row r="48" spans="1:8" x14ac:dyDescent="0.3">
      <c r="A48" s="30"/>
      <c r="B48" s="30"/>
    </row>
    <row r="49" spans="1:8" x14ac:dyDescent="0.3">
      <c r="A49" s="42" t="s">
        <v>34</v>
      </c>
      <c r="B49" s="30"/>
    </row>
    <row r="51" spans="1:8" ht="15" thickBot="1" x14ac:dyDescent="0.35">
      <c r="A51" s="41" t="s">
        <v>22</v>
      </c>
      <c r="B51" s="5" t="s">
        <v>5</v>
      </c>
      <c r="C51" s="4" t="s">
        <v>40</v>
      </c>
      <c r="D51" s="4" t="s">
        <v>41</v>
      </c>
      <c r="E51" s="4" t="s">
        <v>42</v>
      </c>
      <c r="F51" s="5" t="s">
        <v>25</v>
      </c>
      <c r="G51" s="5" t="s">
        <v>26</v>
      </c>
      <c r="H51" s="5" t="s">
        <v>27</v>
      </c>
    </row>
    <row r="52" spans="1:8" x14ac:dyDescent="0.3">
      <c r="A52" s="120" t="s">
        <v>28</v>
      </c>
      <c r="B52" s="115" t="s">
        <v>13</v>
      </c>
      <c r="C52" s="113">
        <f>0.04799105-39.97687756</f>
        <v>-39.928886509999998</v>
      </c>
      <c r="D52" s="113">
        <f>0.03067971-39.33939052</f>
        <v>-39.308710810000001</v>
      </c>
      <c r="E52" s="113">
        <f>'H2=2H'!D52/2</f>
        <v>-0.49619864000000002</v>
      </c>
      <c r="F52" s="50">
        <f t="shared" ref="F52:F66" si="6">ABS(C52-(E52+D52))</f>
        <v>0.12397705999999431</v>
      </c>
      <c r="G52" s="50">
        <f t="shared" ref="G52:G56" si="7">F52*627.503</f>
        <v>77.795977081176432</v>
      </c>
      <c r="H52" s="98">
        <f>ABS(G52-$A$2)</f>
        <v>25.504022918823566</v>
      </c>
    </row>
    <row r="53" spans="1:8" x14ac:dyDescent="0.3">
      <c r="A53" s="121" t="s">
        <v>28</v>
      </c>
      <c r="B53" s="116" t="s">
        <v>29</v>
      </c>
      <c r="C53" s="33">
        <f>0.04723855-40.20210442</f>
        <v>-40.154865869999995</v>
      </c>
      <c r="D53" s="33">
        <f>0.03072263-39.56272436</f>
        <v>-39.532001729999998</v>
      </c>
      <c r="E53" s="33">
        <f>'H2=2H'!D58/2</f>
        <v>-0.49686205</v>
      </c>
      <c r="F53" s="3">
        <f t="shared" si="6"/>
        <v>0.12600209000000007</v>
      </c>
      <c r="G53" s="3">
        <f t="shared" si="7"/>
        <v>79.066689481270046</v>
      </c>
      <c r="H53" s="99">
        <f t="shared" ref="H53:H66" si="8">ABS(G53-$A$2)</f>
        <v>24.233310518729951</v>
      </c>
    </row>
    <row r="54" spans="1:8" x14ac:dyDescent="0.3">
      <c r="A54" s="121" t="s">
        <v>28</v>
      </c>
      <c r="B54" s="116" t="s">
        <v>19</v>
      </c>
      <c r="C54" s="33">
        <f>0.04696499-40.19871198</f>
        <v>-40.151746989999999</v>
      </c>
      <c r="D54" s="33">
        <f>0.03050811-39.559645</f>
        <v>-39.529136890000004</v>
      </c>
      <c r="E54" s="33">
        <f>'H2=2H'!D59/2</f>
        <v>-0.49785866000000001</v>
      </c>
      <c r="F54" s="3">
        <f t="shared" si="6"/>
        <v>0.12475143999999716</v>
      </c>
      <c r="G54" s="3">
        <f t="shared" si="7"/>
        <v>78.281902854318218</v>
      </c>
      <c r="H54" s="99">
        <f t="shared" si="8"/>
        <v>25.018097145681779</v>
      </c>
    </row>
    <row r="55" spans="1:8" x14ac:dyDescent="0.3">
      <c r="A55" s="121" t="s">
        <v>28</v>
      </c>
      <c r="B55" s="116" t="s">
        <v>20</v>
      </c>
      <c r="C55" s="33">
        <f>0.04669113-40.19963317</f>
        <v>-40.152942039999999</v>
      </c>
      <c r="D55" s="33">
        <f>0.0304622-39.56166455</f>
        <v>-39.531202350000001</v>
      </c>
      <c r="E55" s="33">
        <f>'H2=2H'!D60/2</f>
        <v>-0.49826981999999997</v>
      </c>
      <c r="F55" s="3">
        <f t="shared" si="6"/>
        <v>0.12346987000000098</v>
      </c>
      <c r="G55" s="3">
        <f t="shared" si="7"/>
        <v>77.477713834610626</v>
      </c>
      <c r="H55" s="99">
        <f t="shared" si="8"/>
        <v>25.822286165389372</v>
      </c>
    </row>
    <row r="56" spans="1:8" ht="15" thickBot="1" x14ac:dyDescent="0.35">
      <c r="A56" s="78" t="s">
        <v>28</v>
      </c>
      <c r="B56" s="100" t="s">
        <v>21</v>
      </c>
      <c r="C56" s="77" t="s">
        <v>43</v>
      </c>
      <c r="D56" s="77" t="s">
        <v>43</v>
      </c>
      <c r="E56" s="77" t="e">
        <f>D56*627.503</f>
        <v>#VALUE!</v>
      </c>
      <c r="F56" s="77" t="e">
        <f t="shared" si="6"/>
        <v>#VALUE!</v>
      </c>
      <c r="G56" s="77" t="e">
        <f t="shared" si="7"/>
        <v>#VALUE!</v>
      </c>
      <c r="H56" s="100" t="e">
        <f t="shared" si="8"/>
        <v>#VALUE!</v>
      </c>
    </row>
    <row r="57" spans="1:8" x14ac:dyDescent="0.3">
      <c r="A57" s="122" t="s">
        <v>30</v>
      </c>
      <c r="B57" s="117" t="s">
        <v>31</v>
      </c>
      <c r="C57" s="113">
        <f>0.04556746-40.26560309</f>
        <v>-40.220035629999998</v>
      </c>
      <c r="D57" s="113">
        <f>0.02982904-39.58894174</f>
        <v>-39.5591127</v>
      </c>
      <c r="E57" s="113">
        <f>'H2=2H'!D57/2</f>
        <v>-0.49388664999999998</v>
      </c>
      <c r="F57" s="50">
        <f t="shared" si="6"/>
        <v>0.16703627999999782</v>
      </c>
      <c r="G57" s="50">
        <f t="shared" ref="G57:G59" si="9">F57*628.5095</f>
        <v>104.98388882465864</v>
      </c>
      <c r="H57" s="98">
        <f t="shared" si="8"/>
        <v>1.6838888246586379</v>
      </c>
    </row>
    <row r="58" spans="1:8" x14ac:dyDescent="0.3">
      <c r="A58" s="123" t="s">
        <v>30</v>
      </c>
      <c r="B58" s="118" t="s">
        <v>29</v>
      </c>
      <c r="C58" s="33">
        <f>0.0447281-40.48935929</f>
        <v>-40.444631190000003</v>
      </c>
      <c r="D58" s="33">
        <f>0.02975103-39.81284253</f>
        <v>-39.783091499999998</v>
      </c>
      <c r="E58" s="33">
        <f>'H2=2H'!D58/2</f>
        <v>-0.49686205</v>
      </c>
      <c r="F58" s="3">
        <f t="shared" si="6"/>
        <v>0.16467764000000784</v>
      </c>
      <c r="G58" s="3">
        <f t="shared" si="9"/>
        <v>103.50146117758493</v>
      </c>
      <c r="H58" s="99">
        <f t="shared" si="8"/>
        <v>0.20146117758493176</v>
      </c>
    </row>
    <row r="59" spans="1:8" x14ac:dyDescent="0.3">
      <c r="A59" s="123" t="s">
        <v>30</v>
      </c>
      <c r="B59" s="118" t="s">
        <v>19</v>
      </c>
      <c r="C59" s="33">
        <f>0.04430613-40.48037915</f>
        <v>-40.436073019999995</v>
      </c>
      <c r="D59" s="33">
        <f>0.02930089-39.80535126</f>
        <v>-39.77605037</v>
      </c>
      <c r="E59" s="33">
        <f>'H2=2H'!D59/2</f>
        <v>-0.49785866000000001</v>
      </c>
      <c r="F59" s="3">
        <f t="shared" si="6"/>
        <v>0.16216398999999626</v>
      </c>
      <c r="G59" s="3">
        <f t="shared" si="9"/>
        <v>101.92160827290265</v>
      </c>
      <c r="H59" s="99">
        <f t="shared" si="8"/>
        <v>1.3783917270973518</v>
      </c>
    </row>
    <row r="60" spans="1:8" x14ac:dyDescent="0.3">
      <c r="A60" s="123" t="s">
        <v>30</v>
      </c>
      <c r="B60" s="118" t="s">
        <v>20</v>
      </c>
      <c r="C60" s="33">
        <f>0.04418519-40.4846623</f>
        <v>-40.440477109999996</v>
      </c>
      <c r="D60" s="33">
        <f>0.0295803-39.81070267</f>
        <v>-39.781122369999999</v>
      </c>
      <c r="E60" s="33">
        <f>'H2=2H'!D60/2</f>
        <v>-0.49826981999999997</v>
      </c>
      <c r="F60" s="3">
        <f t="shared" si="6"/>
        <v>0.16108492000000041</v>
      </c>
      <c r="G60" s="3">
        <f>F60*627.503</f>
        <v>101.08127055476027</v>
      </c>
      <c r="H60" s="99">
        <f t="shared" si="8"/>
        <v>2.218729445239731</v>
      </c>
    </row>
    <row r="61" spans="1:8" ht="15" thickBot="1" x14ac:dyDescent="0.35">
      <c r="A61" s="78" t="s">
        <v>30</v>
      </c>
      <c r="B61" s="100" t="s">
        <v>21</v>
      </c>
      <c r="C61" s="77" t="s">
        <v>43</v>
      </c>
      <c r="D61" s="77" t="s">
        <v>43</v>
      </c>
      <c r="E61" s="77" t="e">
        <f>D61*627.503</f>
        <v>#VALUE!</v>
      </c>
      <c r="F61" s="77" t="e">
        <f t="shared" si="6"/>
        <v>#VALUE!</v>
      </c>
      <c r="G61" s="77" t="e">
        <f t="shared" ref="G61:G64" si="10">F61*628.5095</f>
        <v>#VALUE!</v>
      </c>
      <c r="H61" s="100" t="e">
        <f t="shared" si="8"/>
        <v>#VALUE!</v>
      </c>
    </row>
    <row r="62" spans="1:8" x14ac:dyDescent="0.3">
      <c r="A62" s="58" t="s">
        <v>32</v>
      </c>
      <c r="B62" s="119" t="s">
        <v>31</v>
      </c>
      <c r="C62" s="33">
        <f>0.04641571-40.075513138533</f>
        <v>-40.029097428532999</v>
      </c>
      <c r="D62" s="33">
        <f>0.03038148-39.4182378</f>
        <v>-39.387856319999997</v>
      </c>
      <c r="E62" s="33">
        <f>'H2=2H'!D62/2</f>
        <v>-0.49619864000000002</v>
      </c>
      <c r="F62" s="3">
        <f t="shared" si="6"/>
        <v>0.14504246853299918</v>
      </c>
      <c r="G62" s="3">
        <f t="shared" si="10"/>
        <v>91.160569376441046</v>
      </c>
      <c r="H62" s="99">
        <f t="shared" si="8"/>
        <v>12.139430623558951</v>
      </c>
    </row>
    <row r="63" spans="1:8" x14ac:dyDescent="0.3">
      <c r="A63" s="58" t="s">
        <v>32</v>
      </c>
      <c r="B63" s="99" t="s">
        <v>29</v>
      </c>
      <c r="C63" s="33">
        <f>0.04623424-40.36465269</f>
        <v>-40.318418450000003</v>
      </c>
      <c r="D63" s="33">
        <f>0.03077078-39.69504798</f>
        <v>-39.664277200000001</v>
      </c>
      <c r="E63" s="33">
        <f>'H2=2H'!D63/2</f>
        <v>-0.49823290999999997</v>
      </c>
      <c r="F63" s="3">
        <f t="shared" si="6"/>
        <v>0.15590834000000342</v>
      </c>
      <c r="G63" s="3">
        <f t="shared" si="10"/>
        <v>97.989872819232147</v>
      </c>
      <c r="H63" s="99">
        <f t="shared" si="8"/>
        <v>5.3101271807678501</v>
      </c>
    </row>
    <row r="64" spans="1:8" x14ac:dyDescent="0.3">
      <c r="A64" s="58" t="s">
        <v>32</v>
      </c>
      <c r="B64" s="99" t="s">
        <v>19</v>
      </c>
      <c r="C64" s="33">
        <f>0.04539751-40.36017514</f>
        <v>-40.314777630000002</v>
      </c>
      <c r="D64" s="112">
        <f>0.03003599-39.69064044</f>
        <v>-39.660604450000001</v>
      </c>
      <c r="E64" s="33">
        <f>'H2=2H'!D64/2</f>
        <v>-0.49927840000000001</v>
      </c>
      <c r="F64" s="3">
        <f t="shared" si="6"/>
        <v>0.15489477999999934</v>
      </c>
      <c r="G64" s="3">
        <f t="shared" si="10"/>
        <v>97.352840730409582</v>
      </c>
      <c r="H64" s="99">
        <f t="shared" si="8"/>
        <v>5.947159269590415</v>
      </c>
    </row>
    <row r="65" spans="1:8" x14ac:dyDescent="0.3">
      <c r="A65" s="58" t="s">
        <v>32</v>
      </c>
      <c r="B65" s="99" t="s">
        <v>20</v>
      </c>
      <c r="C65" s="33">
        <f>0.04500432-40.36772651</f>
        <v>-40.32272219</v>
      </c>
      <c r="D65" s="33">
        <f>0.03015404 -39.69826565</f>
        <v>-39.668111610000004</v>
      </c>
      <c r="E65" s="33">
        <f>'H2=2H'!D65/2</f>
        <v>-0.49933432</v>
      </c>
      <c r="F65" s="3">
        <f t="shared" si="6"/>
        <v>0.15527625999999373</v>
      </c>
      <c r="G65" s="3">
        <f>F65*627.503</f>
        <v>97.436318978776072</v>
      </c>
      <c r="H65" s="99">
        <f t="shared" si="8"/>
        <v>5.8636810212239254</v>
      </c>
    </row>
    <row r="66" spans="1:8" ht="15" thickBot="1" x14ac:dyDescent="0.35">
      <c r="A66" s="78" t="s">
        <v>32</v>
      </c>
      <c r="B66" s="100" t="s">
        <v>21</v>
      </c>
      <c r="C66" s="77" t="s">
        <v>43</v>
      </c>
      <c r="D66" s="77" t="s">
        <v>43</v>
      </c>
      <c r="E66" s="77" t="e">
        <f>D66*627.503</f>
        <v>#VALUE!</v>
      </c>
      <c r="F66" s="77" t="e">
        <f t="shared" si="6"/>
        <v>#VALUE!</v>
      </c>
      <c r="G66" s="77" t="e">
        <f>F66*628.5095</f>
        <v>#VALUE!</v>
      </c>
      <c r="H66" s="100" t="e">
        <f t="shared" si="8"/>
        <v>#VALUE!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E058-EA1D-49F2-B042-AF817885963B}">
  <dimension ref="A1:D38"/>
  <sheetViews>
    <sheetView tabSelected="1" topLeftCell="C16" workbookViewId="0">
      <selection activeCell="E36" sqref="E36"/>
    </sheetView>
  </sheetViews>
  <sheetFormatPr defaultRowHeight="14.4" x14ac:dyDescent="0.3"/>
  <cols>
    <col min="1" max="1" width="10.6640625" bestFit="1" customWidth="1"/>
    <col min="2" max="3" width="12.6640625" bestFit="1" customWidth="1"/>
    <col min="4" max="4" width="10.6640625" bestFit="1" customWidth="1"/>
  </cols>
  <sheetData>
    <row r="1" spans="1:4" x14ac:dyDescent="0.3">
      <c r="A1" s="169" t="s">
        <v>67</v>
      </c>
      <c r="B1" s="169" t="s">
        <v>69</v>
      </c>
      <c r="C1" s="169" t="s">
        <v>70</v>
      </c>
    </row>
    <row r="2" spans="1:4" x14ac:dyDescent="0.3">
      <c r="A2">
        <v>1.25</v>
      </c>
      <c r="B2">
        <v>-40.185921190000002</v>
      </c>
      <c r="C2">
        <v>-40.348851719999999</v>
      </c>
      <c r="D2" s="168" t="s">
        <v>68</v>
      </c>
    </row>
    <row r="3" spans="1:4" x14ac:dyDescent="0.3">
      <c r="A3">
        <v>1.5</v>
      </c>
      <c r="B3">
        <v>-40.141580179999998</v>
      </c>
      <c r="C3">
        <v>-40.30678357</v>
      </c>
      <c r="D3" s="168" t="s">
        <v>68</v>
      </c>
    </row>
    <row r="4" spans="1:4" x14ac:dyDescent="0.3">
      <c r="A4">
        <v>1.75</v>
      </c>
      <c r="B4">
        <v>-40.092720739999997</v>
      </c>
      <c r="C4">
        <v>-40.260511749999999</v>
      </c>
      <c r="D4" s="168" t="s">
        <v>68</v>
      </c>
    </row>
    <row r="5" spans="1:4" x14ac:dyDescent="0.3">
      <c r="A5">
        <v>2</v>
      </c>
      <c r="B5">
        <v>-40.048199930000003</v>
      </c>
      <c r="C5">
        <v>-40.219548349999997</v>
      </c>
      <c r="D5" s="168" t="s">
        <v>68</v>
      </c>
    </row>
    <row r="6" spans="1:4" x14ac:dyDescent="0.3">
      <c r="A6">
        <v>2.25</v>
      </c>
      <c r="B6">
        <v>-40.009746589999999</v>
      </c>
      <c r="C6">
        <v>-40.186053129999998</v>
      </c>
      <c r="D6" s="168" t="s">
        <v>68</v>
      </c>
    </row>
    <row r="7" spans="1:4" x14ac:dyDescent="0.3">
      <c r="A7">
        <v>2.5</v>
      </c>
      <c r="B7">
        <v>-39.9770994</v>
      </c>
      <c r="C7">
        <v>-40.16001996</v>
      </c>
      <c r="D7" s="168" t="s">
        <v>68</v>
      </c>
    </row>
    <row r="8" spans="1:4" x14ac:dyDescent="0.3">
      <c r="A8">
        <v>2.75</v>
      </c>
      <c r="B8">
        <v>-39.949542989999998</v>
      </c>
      <c r="C8">
        <v>-40.140863520000003</v>
      </c>
      <c r="D8" s="168" t="s">
        <v>68</v>
      </c>
    </row>
    <row r="9" spans="1:4" x14ac:dyDescent="0.3">
      <c r="A9">
        <v>3</v>
      </c>
      <c r="B9">
        <v>-39.926300920000003</v>
      </c>
      <c r="C9">
        <v>-40.127878959999997</v>
      </c>
      <c r="D9" s="168" t="s">
        <v>68</v>
      </c>
    </row>
    <row r="10" spans="1:4" x14ac:dyDescent="0.3">
      <c r="A10">
        <v>3.25</v>
      </c>
      <c r="B10">
        <v>-39.90668179</v>
      </c>
      <c r="C10">
        <v>-40.120387729999997</v>
      </c>
      <c r="D10" s="168" t="s">
        <v>68</v>
      </c>
    </row>
    <row r="11" spans="1:4" x14ac:dyDescent="0.3">
      <c r="A11">
        <v>3.5</v>
      </c>
      <c r="B11">
        <v>-39.890150310000003</v>
      </c>
      <c r="C11">
        <v>-40.117764860000001</v>
      </c>
      <c r="D11" s="168" t="s">
        <v>68</v>
      </c>
    </row>
    <row r="12" spans="1:4" x14ac:dyDescent="0.3">
      <c r="A12">
        <v>3.75</v>
      </c>
      <c r="B12">
        <v>-39.876303579999998</v>
      </c>
      <c r="C12">
        <v>-40.119369650000003</v>
      </c>
      <c r="D12" s="168" t="s">
        <v>68</v>
      </c>
    </row>
    <row r="13" spans="1:4" x14ac:dyDescent="0.3">
      <c r="A13">
        <v>4</v>
      </c>
      <c r="B13">
        <v>-39.86480985</v>
      </c>
      <c r="C13">
        <v>-40.124486539999999</v>
      </c>
      <c r="D13" s="168" t="s">
        <v>68</v>
      </c>
    </row>
    <row r="14" spans="1:4" x14ac:dyDescent="0.3">
      <c r="A14">
        <v>4.25</v>
      </c>
      <c r="B14">
        <v>-39.855360939999997</v>
      </c>
      <c r="C14">
        <v>-40.132348909999997</v>
      </c>
      <c r="D14" s="168" t="s">
        <v>68</v>
      </c>
    </row>
    <row r="15" spans="1:4" x14ac:dyDescent="0.3">
      <c r="A15">
        <v>4.5</v>
      </c>
      <c r="B15">
        <v>-39.847652869999997</v>
      </c>
      <c r="C15">
        <v>-40.142219490000002</v>
      </c>
      <c r="D15" s="168" t="s">
        <v>68</v>
      </c>
    </row>
    <row r="16" spans="1:4" x14ac:dyDescent="0.3">
      <c r="A16">
        <v>4.75</v>
      </c>
      <c r="B16">
        <v>-39.841389030000002</v>
      </c>
      <c r="C16">
        <v>-40.153465879999999</v>
      </c>
      <c r="D16" s="168" t="s">
        <v>68</v>
      </c>
    </row>
    <row r="17" spans="1:4" x14ac:dyDescent="0.3">
      <c r="A17">
        <v>5</v>
      </c>
      <c r="B17">
        <v>-39.836292829999998</v>
      </c>
      <c r="C17">
        <v>-40.165597460000001</v>
      </c>
      <c r="D17" s="168" t="s">
        <v>68</v>
      </c>
    </row>
    <row r="18" spans="1:4" x14ac:dyDescent="0.3">
      <c r="A18">
        <v>5.25</v>
      </c>
      <c r="B18">
        <v>-39.832119380000002</v>
      </c>
      <c r="C18">
        <v>-40.17826556</v>
      </c>
      <c r="D18" s="168" t="s">
        <v>68</v>
      </c>
    </row>
    <row r="19" spans="1:4" x14ac:dyDescent="0.3">
      <c r="A19">
        <v>5.5</v>
      </c>
      <c r="B19">
        <v>-39.828661750000002</v>
      </c>
      <c r="C19">
        <v>-40.191242750000001</v>
      </c>
      <c r="D19" s="168" t="s">
        <v>68</v>
      </c>
    </row>
    <row r="20" spans="1:4" x14ac:dyDescent="0.3">
      <c r="A20">
        <v>5.75</v>
      </c>
      <c r="B20">
        <v>-39.825752059999999</v>
      </c>
      <c r="C20">
        <v>-40.204394780000001</v>
      </c>
      <c r="D20" s="168" t="s">
        <v>68</v>
      </c>
    </row>
    <row r="21" spans="1:4" x14ac:dyDescent="0.3">
      <c r="A21">
        <v>6</v>
      </c>
      <c r="B21">
        <v>-39.823259059999998</v>
      </c>
      <c r="C21">
        <v>-40.217652610000002</v>
      </c>
      <c r="D21" s="168" t="s">
        <v>68</v>
      </c>
    </row>
    <row r="22" spans="1:4" x14ac:dyDescent="0.3">
      <c r="A22">
        <v>6.25</v>
      </c>
      <c r="B22">
        <v>-39.821083420000001</v>
      </c>
      <c r="C22">
        <v>-40.230988150000002</v>
      </c>
      <c r="D22" s="168" t="s">
        <v>68</v>
      </c>
    </row>
    <row r="23" spans="1:4" x14ac:dyDescent="0.3">
      <c r="A23">
        <v>6.5</v>
      </c>
      <c r="B23">
        <v>-39.819152099999997</v>
      </c>
      <c r="C23">
        <v>-40.244395689999998</v>
      </c>
      <c r="D23" s="168" t="s">
        <v>68</v>
      </c>
    </row>
    <row r="24" spans="1:4" x14ac:dyDescent="0.3">
      <c r="A24">
        <v>6.75</v>
      </c>
      <c r="B24">
        <v>-39.817412570000002</v>
      </c>
      <c r="C24">
        <v>-40.257878789999999</v>
      </c>
      <c r="D24" s="168" t="s">
        <v>68</v>
      </c>
    </row>
    <row r="25" spans="1:4" x14ac:dyDescent="0.3">
      <c r="A25">
        <v>7</v>
      </c>
      <c r="B25">
        <v>-39.815827460000001</v>
      </c>
      <c r="C25">
        <v>-40.27144285</v>
      </c>
      <c r="D25" s="168" t="s">
        <v>68</v>
      </c>
    </row>
    <row r="26" spans="1:4" x14ac:dyDescent="0.3">
      <c r="A26">
        <v>7.25</v>
      </c>
      <c r="B26">
        <v>-39.814370199999999</v>
      </c>
      <c r="C26">
        <v>-40.28509141</v>
      </c>
      <c r="D26" s="168" t="s">
        <v>68</v>
      </c>
    </row>
    <row r="27" spans="1:4" x14ac:dyDescent="0.3">
      <c r="A27">
        <v>7.5</v>
      </c>
      <c r="B27">
        <v>-39.813021589999998</v>
      </c>
      <c r="C27">
        <v>-40.298825049999998</v>
      </c>
      <c r="D27" s="168" t="s">
        <v>68</v>
      </c>
    </row>
    <row r="28" spans="1:4" x14ac:dyDescent="0.3">
      <c r="A28">
        <v>7.75</v>
      </c>
      <c r="B28">
        <v>-39.811767359999997</v>
      </c>
      <c r="C28">
        <v>-40.31264169</v>
      </c>
      <c r="D28" s="168" t="s">
        <v>68</v>
      </c>
    </row>
    <row r="29" spans="1:4" x14ac:dyDescent="0.3">
      <c r="A29">
        <v>8</v>
      </c>
      <c r="B29">
        <v>-39.810596500000003</v>
      </c>
      <c r="C29">
        <v>-40.326537379999998</v>
      </c>
      <c r="D29" s="168" t="s">
        <v>68</v>
      </c>
    </row>
    <row r="30" spans="1:4" x14ac:dyDescent="0.3">
      <c r="A30">
        <v>8.25</v>
      </c>
      <c r="B30">
        <v>-39.809500210000003</v>
      </c>
      <c r="C30">
        <v>-40.340507109999997</v>
      </c>
      <c r="D30" s="168" t="s">
        <v>68</v>
      </c>
    </row>
    <row r="31" spans="1:4" x14ac:dyDescent="0.3">
      <c r="A31">
        <v>8.5</v>
      </c>
      <c r="B31">
        <v>-39.808471179999998</v>
      </c>
      <c r="C31">
        <v>-40.354545469999998</v>
      </c>
      <c r="D31" s="168" t="s">
        <v>68</v>
      </c>
    </row>
    <row r="32" spans="1:4" x14ac:dyDescent="0.3">
      <c r="A32">
        <v>8.75</v>
      </c>
      <c r="B32">
        <v>-39.80750321</v>
      </c>
      <c r="C32">
        <v>-40.368647099999997</v>
      </c>
      <c r="D32" s="168" t="s">
        <v>68</v>
      </c>
    </row>
    <row r="33" spans="1:4" x14ac:dyDescent="0.3">
      <c r="A33">
        <v>9</v>
      </c>
      <c r="B33">
        <v>-39.806590919999998</v>
      </c>
      <c r="C33">
        <v>-40.382806870000003</v>
      </c>
      <c r="D33" s="168" t="s">
        <v>68</v>
      </c>
    </row>
    <row r="34" spans="1:4" x14ac:dyDescent="0.3">
      <c r="A34">
        <v>9.25</v>
      </c>
      <c r="B34">
        <v>-39.805729589999999</v>
      </c>
      <c r="C34">
        <v>-40.397020099999999</v>
      </c>
      <c r="D34" s="168" t="s">
        <v>68</v>
      </c>
    </row>
    <row r="35" spans="1:4" x14ac:dyDescent="0.3">
      <c r="A35">
        <v>9.5</v>
      </c>
      <c r="B35">
        <v>-39.804915020000003</v>
      </c>
      <c r="C35">
        <v>-40.411282479999997</v>
      </c>
      <c r="D35" s="168" t="s">
        <v>68</v>
      </c>
    </row>
    <row r="36" spans="1:4" x14ac:dyDescent="0.3">
      <c r="A36">
        <v>9.75</v>
      </c>
      <c r="B36">
        <v>-39.804143500000002</v>
      </c>
      <c r="C36">
        <v>-40.425590139999997</v>
      </c>
      <c r="D36" s="168" t="s">
        <v>68</v>
      </c>
    </row>
    <row r="37" spans="1:4" x14ac:dyDescent="0.3">
      <c r="A37">
        <v>10</v>
      </c>
      <c r="B37">
        <v>-39.803411670000003</v>
      </c>
      <c r="C37">
        <v>-40.439939610000003</v>
      </c>
      <c r="D37" s="168" t="s">
        <v>68</v>
      </c>
    </row>
    <row r="38" spans="1:4" x14ac:dyDescent="0.3">
      <c r="D38" s="168" t="s">
        <v>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d G 7 a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H R u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b t p Y U q J C z v c A A A C U A Q A A E w A c A E Z v c m 1 1 b G F z L 1 N l Y 3 R p b 2 4 x L m 0 g o h g A K K A U A A A A A A A A A A A A A A A A A A A A A A A A A A A A d Y + x b o M w E E B 3 J P 7 B c h e Q L C R o 2 q G I i T R b W l V k K x 2 M u a S W z B 2 y T d Q o 4 t 9 r l U b t w i 0 + 3 z u f 3 z l Q X h O y Z j n z M o 7 i y H 1 K C z 1 z o A h 7 G i f 0 x C p m w M c R C / F q 9 U k j h F L t z t m W 1 D Q A + m S n D W Q 1 o Q 8 X l / D 6 q W 1 + 5 u z I 9 G D 3 Z E B N R t r W y O 6 x / T 8 7 U + 7 M U / G + B a M H 7 c F W v O S C 1 W S m A V 2 1 E e w Z F f U a T 1 V e P B S C v U 3 k o f E X A 9 V f m r 0 Q w k c q F s c 7 v g 8 v j l r J 4 O 7 1 S D z o H m Q X + g 5 W o j u S H Z Y P D p c R X P K 7 k 7 h e + V L O g 4 E P i O E 0 d G B n w W 6 k W C X 3 q 2 R z I x 6 + / D y n c a R x T b T 8 B l B L A Q I t A B Q A A g A I A H R u 2 l g o R c Y 0 p Q A A A P Y A A A A S A A A A A A A A A A A A A A A A A A A A A A B D b 2 5 m a W c v U G F j a 2 F n Z S 5 4 b W x Q S w E C L Q A U A A I A C A B 0 b t p Y D 8 r p q 6 Q A A A D p A A A A E w A A A A A A A A A A A A A A A A D x A A A A W 0 N v b n R l b n R f V H l w Z X N d L n h t b F B L A Q I t A B Q A A g A I A H R u 2 l h S o k L O 9 w A A A J Q B A A A T A A A A A A A A A A A A A A A A A O I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K A A A A A A A A B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Y 2 9 u Z G 9 w d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N 2 Y 1 Z D E 2 L T M 5 O W U t N D B j Z S 0 5 M W Y x L T U 3 Z T Y 3 M m U 4 Z T g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W N v b m R v c H V u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Z U M T E 6 N T E 6 N D A u N T k x N D I 4 M 1 o i I C 8 + P E V u d H J 5 I F R 5 c G U 9 I k Z p b G x D b 2 x 1 b W 5 U e X B l c y I g V m F s d W U 9 I n N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b 2 5 k b 3 B 1 b n R v L 0 F 1 d G 9 S Z W 1 v d m V k Q 2 9 s d W 1 u c z E u e 0 N v b H V t b j E s M H 0 m c X V v d D s s J n F 1 b 3 Q 7 U 2 V j d G l v b j E v c 2 V j b 2 5 k b 3 B 1 b n R v L 0 F 1 d G 9 S Z W 1 v d m V k Q 2 9 s d W 1 u c z E u e 0 N v b H V t b j I s M X 0 m c X V v d D s s J n F 1 b 3 Q 7 U 2 V j d G l v b j E v c 2 V j b 2 5 k b 3 B 1 b n R v L 0 F 1 d G 9 S Z W 1 v d m V k Q 2 9 s d W 1 u c z E u e 0 N v b H V t b j M s M n 0 m c X V v d D s s J n F 1 b 3 Q 7 U 2 V j d G l v b j E v c 2 V j b 2 5 k b 3 B 1 b n R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j b 2 5 k b 3 B 1 b n R v L 0 F 1 d G 9 S Z W 1 v d m V k Q 2 9 s d W 1 u c z E u e 0 N v b H V t b j E s M H 0 m c X V v d D s s J n F 1 b 3 Q 7 U 2 V j d G l v b j E v c 2 V j b 2 5 k b 3 B 1 b n R v L 0 F 1 d G 9 S Z W 1 v d m V k Q 2 9 s d W 1 u c z E u e 0 N v b H V t b j I s M X 0 m c X V v d D s s J n F 1 b 3 Q 7 U 2 V j d G l v b j E v c 2 V j b 2 5 k b 3 B 1 b n R v L 0 F 1 d G 9 S Z W 1 v d m V k Q 2 9 s d W 1 u c z E u e 0 N v b H V t b j M s M n 0 m c X V v d D s s J n F 1 b 3 Q 7 U 2 V j d G l v b j E v c 2 V j b 2 5 k b 3 B 1 b n R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2 9 u Z G 9 w d W 5 0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b 2 5 k b 3 B 1 b n R v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Y e i M s 8 C j d J o o 7 F m z U X d b s A A A A A A g A A A A A A E G Y A A A A B A A A g A A A A D h d + M u r j v g Q H o u 0 U z 4 8 F H q S k + N B q y z m d t C a 3 E / Q 9 0 P c A A A A A D o A A A A A C A A A g A A A A C M x p l y V g k Q v E t d J 9 Z V L u p 0 t j e 0 S I Y I N w g t 2 Q u V 0 f 1 0 9 Q A A A A 3 u 0 B S z f y O c 4 o A 8 v c Q n h r 0 / j C g n L x 0 Y G f e w M 8 h p 3 k R L 0 I P U R 6 w N r G 6 o H H a z x m x G B T s N A a x k x s k g 4 p v l O z s 2 E 5 I V D a B T H 7 3 O l 8 / E 6 0 W x M 8 v J 1 A A A A A T U N b w p 8 o q p u Q o c f Q f q 8 b Z Z j p v + e t Z G 6 e r X p J c j U M m D V W i m 7 + E J X 1 c 0 g A c j W 2 c N / e q r u P J s E x g 2 h D T V 5 O V e 3 7 Q w = = < / D a t a M a s h u p > 
</file>

<file path=customXml/itemProps1.xml><?xml version="1.0" encoding="utf-8"?>
<ds:datastoreItem xmlns:ds="http://schemas.openxmlformats.org/officeDocument/2006/customXml" ds:itemID="{62964AA4-8E0C-46C1-AFF1-86CC91499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H2=2H</vt:lpstr>
      <vt:lpstr>CH4=CH3+H</vt:lpstr>
      <vt:lpstr>secondopunto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Filippo Buda</cp:lastModifiedBy>
  <dcterms:created xsi:type="dcterms:W3CDTF">2024-05-03T13:59:54Z</dcterms:created>
  <dcterms:modified xsi:type="dcterms:W3CDTF">2024-06-26T12:36:59Z</dcterms:modified>
</cp:coreProperties>
</file>