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useppe\Documents\.magistrale\secondo anno\Process\Final\project 10\"/>
    </mc:Choice>
  </mc:AlternateContent>
  <xr:revisionPtr revIDLastSave="0" documentId="13_ncr:1_{50F5F151-3C9A-4A70-A55A-674E83538702}" xr6:coauthVersionLast="47" xr6:coauthVersionMax="47" xr10:uidLastSave="{00000000-0000-0000-0000-000000000000}"/>
  <bookViews>
    <workbookView xWindow="-110" yWindow="-110" windowWidth="25820" windowHeight="16220" activeTab="1" xr2:uid="{B2857D79-01BD-4509-B5E7-523680E9FE6A}"/>
  </bookViews>
  <sheets>
    <sheet name="Ions" sheetId="1" r:id="rId1"/>
    <sheet name="Acido formico" sheetId="4" r:id="rId2"/>
    <sheet name="Prova acido latti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C12" i="4"/>
  <c r="B9" i="4"/>
  <c r="C9" i="4" s="1"/>
  <c r="B8" i="4"/>
  <c r="C8" i="4" s="1"/>
  <c r="B5" i="4"/>
  <c r="C5" i="4" s="1"/>
  <c r="C10" i="4" s="1"/>
  <c r="B27" i="3"/>
  <c r="C27" i="3"/>
  <c r="B32" i="3"/>
  <c r="C32" i="3"/>
  <c r="B33" i="3"/>
  <c r="C33" i="3"/>
  <c r="C35" i="3"/>
  <c r="C38" i="3" s="1"/>
  <c r="O27" i="3"/>
  <c r="P27" i="3"/>
  <c r="O32" i="3"/>
  <c r="P32" i="3"/>
  <c r="O33" i="3"/>
  <c r="P33" i="3"/>
  <c r="P35" i="3"/>
  <c r="P38" i="3"/>
  <c r="B11" i="3"/>
  <c r="C11" i="3" s="1"/>
  <c r="B10" i="3"/>
  <c r="C10" i="3" s="1"/>
  <c r="B5" i="3"/>
  <c r="C5" i="3" s="1"/>
  <c r="D8" i="1"/>
  <c r="C13" i="3" l="1"/>
  <c r="C15" i="3" s="1"/>
  <c r="D16" i="3"/>
  <c r="D13" i="1"/>
  <c r="E13" i="1" s="1"/>
  <c r="D11" i="1"/>
  <c r="E11" i="1" s="1"/>
  <c r="D9" i="1"/>
  <c r="E9" i="1" s="1"/>
  <c r="C8" i="1"/>
  <c r="E8" i="1"/>
  <c r="D12" i="1"/>
  <c r="C12" i="1"/>
  <c r="D10" i="1"/>
  <c r="C10" i="1"/>
  <c r="E10" i="1" l="1"/>
  <c r="E12" i="1"/>
</calcChain>
</file>

<file path=xl/sharedStrings.xml><?xml version="1.0" encoding="utf-8"?>
<sst xmlns="http://schemas.openxmlformats.org/spreadsheetml/2006/main" count="101" uniqueCount="54">
  <si>
    <t>NH2-</t>
  </si>
  <si>
    <t>water</t>
  </si>
  <si>
    <t>Solvent</t>
  </si>
  <si>
    <t>Electrostatic potential method</t>
  </si>
  <si>
    <t>PCM</t>
  </si>
  <si>
    <t>Energy gas phase [kJ]</t>
  </si>
  <si>
    <t>Energy solution [kJ]</t>
  </si>
  <si>
    <t>Ion</t>
  </si>
  <si>
    <t>HO2-</t>
  </si>
  <si>
    <t>CH3O-</t>
  </si>
  <si>
    <t>B3LYP/6-31+g(d,p)</t>
  </si>
  <si>
    <t>SCRF method</t>
  </si>
  <si>
    <t>CPCM</t>
  </si>
  <si>
    <t>GAS PHASE</t>
  </si>
  <si>
    <t>HA</t>
  </si>
  <si>
    <t>H2O</t>
  </si>
  <si>
    <t>H3O</t>
  </si>
  <si>
    <t>A-</t>
  </si>
  <si>
    <t>pka</t>
  </si>
  <si>
    <t>R [J/molK]</t>
  </si>
  <si>
    <t>R [kcal/molK]</t>
  </si>
  <si>
    <t>Acido</t>
  </si>
  <si>
    <t>Acido solv</t>
  </si>
  <si>
    <t>Anione</t>
  </si>
  <si>
    <t>Anione solv</t>
  </si>
  <si>
    <t>DeltaG acido</t>
  </si>
  <si>
    <t>DeltaG anione</t>
  </si>
  <si>
    <t>DeltaG h2o</t>
  </si>
  <si>
    <t>DeltaG h3o</t>
  </si>
  <si>
    <t>deltaGg</t>
  </si>
  <si>
    <t>deltaG soln</t>
  </si>
  <si>
    <t>Hartree</t>
  </si>
  <si>
    <t>kcal/mole</t>
  </si>
  <si>
    <t>HA solv</t>
  </si>
  <si>
    <t>A- solv</t>
  </si>
  <si>
    <t>log h2o</t>
  </si>
  <si>
    <t>R [kcal/mol]</t>
  </si>
  <si>
    <t>log H2O</t>
  </si>
  <si>
    <t>Correction</t>
  </si>
  <si>
    <t>http://pogorelov.scs.illinois.edu/wp-content/uploads/2019/09/pKa_Estimations_Tutorial_web.pdf</t>
  </si>
  <si>
    <t xml:space="preserve"> Sum of electronic and thermal Energies</t>
  </si>
  <si>
    <t>Correction factor</t>
  </si>
  <si>
    <t>ΔG H3O</t>
  </si>
  <si>
    <t>ΔG H2O</t>
  </si>
  <si>
    <t>ΔG HA</t>
  </si>
  <si>
    <t>ΔG A-</t>
  </si>
  <si>
    <t>ΔG soln</t>
  </si>
  <si>
    <t>experimental val</t>
  </si>
  <si>
    <t>PCM (Polarizable Continuum Model)</t>
  </si>
  <si>
    <t>ΔG [kJ/mol]</t>
  </si>
  <si>
    <t>ΔG gas</t>
  </si>
  <si>
    <t>pKa</t>
  </si>
  <si>
    <t>pKa paper</t>
  </si>
  <si>
    <t xml:space="preserve"> Source of error in the thermodynamic cycle arises with the solvation free energy
of hydronium.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</si>
</sst>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1" fontId="3" fillId="7" borderId="6" xfId="1" applyNumberFormat="1" applyFont="1" applyFill="1" applyBorder="1" applyAlignment="1">
      <alignment horizontal="center"/>
    </xf>
    <xf numFmtId="11" fontId="3" fillId="7" borderId="16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2" applyAlignment="1">
      <alignment horizontal="center"/>
    </xf>
    <xf numFmtId="0" fontId="0" fillId="9" borderId="23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3">
    <cellStyle name="Collegamento ipertestuale" xfId="2" builtinId="8"/>
    <cellStyle name="Normale" xfId="0" builtinId="0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pogorelov.scs.illinois.edu/wp-content/uploads/2019/09/pKa_Estimations_Tutorial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3C5F-08E8-4A6E-9E95-BC7D300801B4}">
  <dimension ref="A1:E13"/>
  <sheetViews>
    <sheetView workbookViewId="0">
      <selection activeCell="B16" sqref="B16"/>
    </sheetView>
  </sheetViews>
  <sheetFormatPr defaultColWidth="9.1796875" defaultRowHeight="14.5" x14ac:dyDescent="0.35"/>
  <cols>
    <col min="1" max="1" width="27.81640625" style="1" bestFit="1" customWidth="1"/>
    <col min="2" max="2" width="33.453125" style="1" bestFit="1" customWidth="1"/>
    <col min="3" max="3" width="29" style="1" customWidth="1"/>
    <col min="4" max="4" width="36" style="1" customWidth="1"/>
    <col min="5" max="5" width="19.1796875" style="1" customWidth="1"/>
    <col min="6" max="16384" width="9.1796875" style="1"/>
  </cols>
  <sheetData>
    <row r="1" spans="1:5" ht="15" thickBot="1" x14ac:dyDescent="0.4">
      <c r="A1" s="3" t="s">
        <v>10</v>
      </c>
    </row>
    <row r="2" spans="1:5" ht="15" thickBot="1" x14ac:dyDescent="0.4"/>
    <row r="3" spans="1:5" ht="15" thickBot="1" x14ac:dyDescent="0.4">
      <c r="A3" s="2" t="s">
        <v>2</v>
      </c>
      <c r="B3" s="3" t="s">
        <v>1</v>
      </c>
    </row>
    <row r="4" spans="1:5" ht="15" thickBot="1" x14ac:dyDescent="0.4">
      <c r="A4" s="2" t="s">
        <v>3</v>
      </c>
      <c r="B4" s="3" t="s">
        <v>48</v>
      </c>
    </row>
    <row r="5" spans="1:5" x14ac:dyDescent="0.35">
      <c r="E5"/>
    </row>
    <row r="6" spans="1:5" ht="15" thickBot="1" x14ac:dyDescent="0.4">
      <c r="A6"/>
      <c r="B6"/>
    </row>
    <row r="7" spans="1:5" ht="15" thickBot="1" x14ac:dyDescent="0.4">
      <c r="A7" s="25" t="s">
        <v>7</v>
      </c>
      <c r="B7" s="25" t="s">
        <v>11</v>
      </c>
      <c r="C7" s="25" t="s">
        <v>5</v>
      </c>
      <c r="D7" s="25" t="s">
        <v>6</v>
      </c>
      <c r="E7" s="25" t="s">
        <v>49</v>
      </c>
    </row>
    <row r="8" spans="1:5" ht="15" thickBot="1" x14ac:dyDescent="0.4">
      <c r="A8" s="21" t="s">
        <v>0</v>
      </c>
      <c r="B8" s="22" t="s">
        <v>4</v>
      </c>
      <c r="C8" s="22">
        <f>-55.9339985319*2625.5</f>
        <v>-146854.71314550345</v>
      </c>
      <c r="D8" s="23">
        <f>-56.0530839446*2625.5</f>
        <v>-147167.37189654729</v>
      </c>
      <c r="E8" s="24">
        <f>D8-C8</f>
        <v>-312.65875104384031</v>
      </c>
    </row>
    <row r="9" spans="1:5" ht="15" thickBot="1" x14ac:dyDescent="0.4">
      <c r="A9" s="9" t="s">
        <v>0</v>
      </c>
      <c r="B9" s="10" t="s">
        <v>12</v>
      </c>
      <c r="C9" s="22"/>
      <c r="D9" s="11">
        <f>-56.0484608188*2625.5</f>
        <v>-147155.23387975941</v>
      </c>
      <c r="E9" s="12">
        <f>(D9-C8)</f>
        <v>-300.52073425595881</v>
      </c>
    </row>
    <row r="10" spans="1:5" ht="15" thickBot="1" x14ac:dyDescent="0.4">
      <c r="A10" s="13" t="s">
        <v>8</v>
      </c>
      <c r="B10" s="14" t="s">
        <v>4</v>
      </c>
      <c r="C10" s="14">
        <f>-150.995463364*2625.5</f>
        <v>-396438.58906218194</v>
      </c>
      <c r="D10" s="15">
        <f xml:space="preserve"> -151.118202186*2625.5</f>
        <v>-396760.83983934298</v>
      </c>
      <c r="E10" s="16">
        <f t="shared" ref="E10" si="0">D10-C10</f>
        <v>-322.25077716103988</v>
      </c>
    </row>
    <row r="11" spans="1:5" ht="15" thickBot="1" x14ac:dyDescent="0.4">
      <c r="A11" s="13" t="s">
        <v>8</v>
      </c>
      <c r="B11" s="14" t="s">
        <v>12</v>
      </c>
      <c r="C11" s="14"/>
      <c r="D11" s="15">
        <f>-151.118283609*2625.5</f>
        <v>-396761.0536154295</v>
      </c>
      <c r="E11" s="16">
        <f>D11-C10</f>
        <v>-322.46455324755516</v>
      </c>
    </row>
    <row r="12" spans="1:5" ht="15" thickBot="1" x14ac:dyDescent="0.4">
      <c r="A12" s="17" t="s">
        <v>9</v>
      </c>
      <c r="B12" s="18" t="s">
        <v>4</v>
      </c>
      <c r="C12" s="18">
        <f>-115.146813781*2625.5</f>
        <v>-302317.95958201552</v>
      </c>
      <c r="D12" s="19">
        <f>-115.260659341*2625.5</f>
        <v>-302616.8610997955</v>
      </c>
      <c r="E12" s="20">
        <f>D12-C12</f>
        <v>-298.9015177799738</v>
      </c>
    </row>
    <row r="13" spans="1:5" ht="15" thickBot="1" x14ac:dyDescent="0.4">
      <c r="A13" s="17" t="s">
        <v>9</v>
      </c>
      <c r="B13" s="18" t="s">
        <v>12</v>
      </c>
      <c r="C13" s="18"/>
      <c r="D13" s="19">
        <f>-115.260736975*2625.5</f>
        <v>-302617.06492786249</v>
      </c>
      <c r="E13" s="20">
        <f>D13-C12</f>
        <v>-299.1053458469687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EA1-F5EE-4E3E-95E6-ED534FF2BCE8}">
  <dimension ref="A1:M14"/>
  <sheetViews>
    <sheetView tabSelected="1" workbookViewId="0">
      <selection activeCell="K4" sqref="K4"/>
    </sheetView>
  </sheetViews>
  <sheetFormatPr defaultColWidth="9.1796875" defaultRowHeight="14.5" x14ac:dyDescent="0.35"/>
  <cols>
    <col min="1" max="1" width="36.453125" style="1" bestFit="1" customWidth="1"/>
    <col min="2" max="2" width="11.7265625" style="1" bestFit="1" customWidth="1"/>
    <col min="3" max="3" width="12" style="1" bestFit="1" customWidth="1"/>
    <col min="4" max="4" width="16.54296875" style="1" bestFit="1" customWidth="1"/>
    <col min="5" max="5" width="11.7265625" style="1" bestFit="1" customWidth="1"/>
    <col min="6" max="7" width="10.7265625" style="1" bestFit="1" customWidth="1"/>
    <col min="8" max="9" width="9.1796875" style="1"/>
    <col min="10" max="10" width="12.7265625" style="1" bestFit="1" customWidth="1"/>
    <col min="11" max="11" width="29.81640625" style="1" customWidth="1"/>
    <col min="12" max="14" width="9.1796875" style="1"/>
    <col min="15" max="15" width="89" style="1" bestFit="1" customWidth="1"/>
    <col min="16" max="16384" width="9.1796875" style="1"/>
  </cols>
  <sheetData>
    <row r="1" spans="1:13" ht="15" thickBot="1" x14ac:dyDescent="0.4">
      <c r="A1" s="42" t="s">
        <v>13</v>
      </c>
      <c r="B1" s="43" t="s">
        <v>14</v>
      </c>
      <c r="C1" s="42" t="s">
        <v>17</v>
      </c>
      <c r="D1" s="42" t="s">
        <v>33</v>
      </c>
      <c r="E1" s="42" t="s">
        <v>34</v>
      </c>
      <c r="F1" s="42" t="s">
        <v>15</v>
      </c>
      <c r="G1" s="42" t="s">
        <v>16</v>
      </c>
      <c r="J1" s="6" t="s">
        <v>20</v>
      </c>
      <c r="K1" s="7" t="s">
        <v>41</v>
      </c>
    </row>
    <row r="2" spans="1:13" ht="15" thickBot="1" x14ac:dyDescent="0.4">
      <c r="A2" s="44" t="s">
        <v>40</v>
      </c>
      <c r="B2" s="28">
        <v>-189.73853500000001</v>
      </c>
      <c r="C2" s="29">
        <v>-189.19773900000001</v>
      </c>
      <c r="D2" s="29">
        <v>-189.74653699999999</v>
      </c>
      <c r="E2" s="29">
        <v>-189.30211800000001</v>
      </c>
      <c r="F2" s="29">
        <v>-76.409934000000007</v>
      </c>
      <c r="G2" s="30">
        <v>-76.670539000000005</v>
      </c>
      <c r="J2" s="31">
        <v>1.9870000000000001E-3</v>
      </c>
      <c r="K2" s="51">
        <v>4.54</v>
      </c>
    </row>
    <row r="3" spans="1:13" ht="58.5" thickBot="1" x14ac:dyDescent="0.4">
      <c r="K3" s="52" t="s">
        <v>53</v>
      </c>
    </row>
    <row r="4" spans="1:13" ht="15" thickBot="1" x14ac:dyDescent="0.4">
      <c r="A4" s="39"/>
      <c r="B4" s="8" t="s">
        <v>31</v>
      </c>
      <c r="C4" s="8" t="s">
        <v>32</v>
      </c>
      <c r="K4" s="50"/>
    </row>
    <row r="5" spans="1:13" x14ac:dyDescent="0.35">
      <c r="A5" s="41" t="s">
        <v>50</v>
      </c>
      <c r="B5" s="36">
        <f>G2+C2-B2-F2</f>
        <v>0.28019099999998787</v>
      </c>
      <c r="C5" s="5">
        <f>B5*627.5</f>
        <v>175.81985249999238</v>
      </c>
    </row>
    <row r="6" spans="1:13" x14ac:dyDescent="0.35">
      <c r="A6" s="41" t="s">
        <v>42</v>
      </c>
      <c r="B6" s="37"/>
      <c r="C6" s="4">
        <v>-110.3</v>
      </c>
      <c r="D6" s="1" t="s">
        <v>47</v>
      </c>
    </row>
    <row r="7" spans="1:13" x14ac:dyDescent="0.35">
      <c r="A7" s="41" t="s">
        <v>43</v>
      </c>
      <c r="B7" s="37"/>
      <c r="C7" s="4">
        <v>-6.32</v>
      </c>
      <c r="D7" s="1" t="s">
        <v>47</v>
      </c>
    </row>
    <row r="8" spans="1:13" x14ac:dyDescent="0.35">
      <c r="A8" s="41" t="s">
        <v>44</v>
      </c>
      <c r="B8" s="37">
        <f>D2-B2</f>
        <v>-8.0019999999763058E-3</v>
      </c>
      <c r="C8" s="4">
        <f>B8*627.5</f>
        <v>-5.0212549999851319</v>
      </c>
      <c r="M8" s="46" t="s">
        <v>39</v>
      </c>
    </row>
    <row r="9" spans="1:13" x14ac:dyDescent="0.35">
      <c r="A9" s="41" t="s">
        <v>45</v>
      </c>
      <c r="B9" s="37">
        <f>E2-C2</f>
        <v>-0.10437899999999445</v>
      </c>
      <c r="C9" s="4">
        <f>B9*627.5</f>
        <v>-65.497822499996516</v>
      </c>
    </row>
    <row r="10" spans="1:13" x14ac:dyDescent="0.35">
      <c r="A10" s="41" t="s">
        <v>46</v>
      </c>
      <c r="B10" s="37"/>
      <c r="C10" s="45">
        <f>C5+C9+C6-C8-C7</f>
        <v>11.363284999980998</v>
      </c>
    </row>
    <row r="11" spans="1:13" ht="15" thickBot="1" x14ac:dyDescent="0.4">
      <c r="A11" s="40"/>
      <c r="B11" s="38"/>
      <c r="C11" s="32"/>
    </row>
    <row r="12" spans="1:13" ht="15" thickBot="1" x14ac:dyDescent="0.4">
      <c r="A12" s="35" t="s">
        <v>51</v>
      </c>
      <c r="B12" s="34">
        <f>C12/627.5</f>
        <v>6.0617728587618021E-3</v>
      </c>
      <c r="C12" s="33">
        <f>C10/(2.3*J2*298)-K2</f>
        <v>3.8037624688730309</v>
      </c>
    </row>
    <row r="13" spans="1:13" ht="15" thickBot="1" x14ac:dyDescent="0.4"/>
    <row r="14" spans="1:13" ht="15" thickBot="1" x14ac:dyDescent="0.4">
      <c r="A14" s="49" t="s">
        <v>52</v>
      </c>
      <c r="B14" s="47"/>
      <c r="C14" s="48">
        <v>3.75</v>
      </c>
    </row>
  </sheetData>
  <hyperlinks>
    <hyperlink ref="M8" r:id="rId1" xr:uid="{EC022890-8D4E-41A4-B1BF-3C4A2014A4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9C022-FB34-44BA-AA7E-58EAAA651A41}">
  <dimension ref="A1:T38"/>
  <sheetViews>
    <sheetView topLeftCell="A4" workbookViewId="0">
      <selection activeCell="N23" sqref="N23:T38"/>
    </sheetView>
  </sheetViews>
  <sheetFormatPr defaultRowHeight="14.5" x14ac:dyDescent="0.35"/>
  <cols>
    <col min="1" max="1" width="13.54296875" bestFit="1" customWidth="1"/>
    <col min="2" max="2" width="11.7265625" bestFit="1" customWidth="1"/>
    <col min="3" max="3" width="12" bestFit="1" customWidth="1"/>
    <col min="4" max="5" width="11.7265625" bestFit="1" customWidth="1"/>
    <col min="6" max="6" width="9.7265625" bestFit="1" customWidth="1"/>
    <col min="14" max="14" width="13.54296875" bestFit="1" customWidth="1"/>
    <col min="15" max="16" width="12" bestFit="1" customWidth="1"/>
    <col min="17" max="18" width="11.7265625" bestFit="1" customWidth="1"/>
    <col min="19" max="19" width="12.7265625" bestFit="1" customWidth="1"/>
    <col min="20" max="20" width="11.7265625" bestFit="1" customWidth="1"/>
  </cols>
  <sheetData>
    <row r="1" spans="1:15" x14ac:dyDescent="0.35">
      <c r="B1" t="s">
        <v>21</v>
      </c>
      <c r="C1" t="s">
        <v>23</v>
      </c>
      <c r="D1" t="s">
        <v>22</v>
      </c>
      <c r="E1" t="s">
        <v>24</v>
      </c>
      <c r="F1" t="s">
        <v>15</v>
      </c>
      <c r="G1" t="s">
        <v>16</v>
      </c>
    </row>
    <row r="2" spans="1:15" x14ac:dyDescent="0.35">
      <c r="B2">
        <v>-307.384162</v>
      </c>
      <c r="C2">
        <v>-306.83376299999998</v>
      </c>
      <c r="D2">
        <v>-307.39125200000001</v>
      </c>
      <c r="E2">
        <v>-306.92991899999998</v>
      </c>
      <c r="F2">
        <v>-76.41001</v>
      </c>
      <c r="G2">
        <v>-76.670643999999996</v>
      </c>
    </row>
    <row r="4" spans="1:15" x14ac:dyDescent="0.35">
      <c r="B4" t="s">
        <v>31</v>
      </c>
      <c r="C4" t="s">
        <v>32</v>
      </c>
    </row>
    <row r="5" spans="1:15" x14ac:dyDescent="0.35">
      <c r="A5" t="s">
        <v>29</v>
      </c>
      <c r="B5">
        <f>G2+C2-B2-F2</f>
        <v>0.28976500000004535</v>
      </c>
      <c r="C5">
        <f>B5*627.509</f>
        <v>181.83014538502846</v>
      </c>
    </row>
    <row r="7" spans="1:15" x14ac:dyDescent="0.35">
      <c r="A7" t="s">
        <v>28</v>
      </c>
      <c r="C7">
        <v>-110.3</v>
      </c>
      <c r="F7" t="s">
        <v>36</v>
      </c>
      <c r="O7" s="1" t="s">
        <v>19</v>
      </c>
    </row>
    <row r="8" spans="1:15" x14ac:dyDescent="0.35">
      <c r="A8" t="s">
        <v>27</v>
      </c>
      <c r="C8">
        <v>-6.32</v>
      </c>
      <c r="F8" s="26">
        <v>1.9870000000000001E-3</v>
      </c>
      <c r="O8">
        <v>8.3144626180000003</v>
      </c>
    </row>
    <row r="9" spans="1:15" x14ac:dyDescent="0.35">
      <c r="O9" s="1" t="s">
        <v>20</v>
      </c>
    </row>
    <row r="10" spans="1:15" x14ac:dyDescent="0.35">
      <c r="A10" t="s">
        <v>25</v>
      </c>
      <c r="B10">
        <f>D2-B2</f>
        <v>-7.0900000000051477E-3</v>
      </c>
      <c r="C10">
        <f>B10*627.509</f>
        <v>-4.4490388100032305</v>
      </c>
      <c r="O10" s="26">
        <v>1.9870000000000001E-3</v>
      </c>
    </row>
    <row r="11" spans="1:15" x14ac:dyDescent="0.35">
      <c r="A11" t="s">
        <v>26</v>
      </c>
      <c r="B11">
        <f>E2-C2</f>
        <v>-9.615600000000768E-2</v>
      </c>
      <c r="C11">
        <f>B11*627.509</f>
        <v>-60.338755404004822</v>
      </c>
    </row>
    <row r="13" spans="1:15" x14ac:dyDescent="0.35">
      <c r="B13" t="s">
        <v>30</v>
      </c>
      <c r="C13">
        <f>C5+C11+C7-C10-C8</f>
        <v>21.960428791026878</v>
      </c>
    </row>
    <row r="14" spans="1:15" x14ac:dyDescent="0.35">
      <c r="B14" t="s">
        <v>35</v>
      </c>
      <c r="C14">
        <v>1.744214725</v>
      </c>
    </row>
    <row r="15" spans="1:15" x14ac:dyDescent="0.35">
      <c r="C15">
        <f>(C13/1.346)-C14 -4.54</f>
        <v>10.03111127130526</v>
      </c>
    </row>
    <row r="16" spans="1:15" x14ac:dyDescent="0.35">
      <c r="C16" t="s">
        <v>18</v>
      </c>
      <c r="D16">
        <f>(C13-2.36)/1.36</f>
        <v>14.412079993402116</v>
      </c>
    </row>
    <row r="18" spans="1:20" x14ac:dyDescent="0.35">
      <c r="C18" s="26"/>
    </row>
    <row r="23" spans="1:20" x14ac:dyDescent="0.35">
      <c r="A23" s="1" t="s">
        <v>13</v>
      </c>
      <c r="B23" s="1" t="s">
        <v>14</v>
      </c>
      <c r="C23" s="1" t="s">
        <v>17</v>
      </c>
      <c r="D23" s="1" t="s">
        <v>33</v>
      </c>
      <c r="E23" s="1" t="s">
        <v>34</v>
      </c>
      <c r="F23" s="1" t="s">
        <v>15</v>
      </c>
      <c r="G23" s="1" t="s">
        <v>16</v>
      </c>
      <c r="N23" s="1" t="s">
        <v>13</v>
      </c>
      <c r="O23" s="1" t="s">
        <v>14</v>
      </c>
      <c r="P23" s="1" t="s">
        <v>17</v>
      </c>
      <c r="Q23" s="1" t="s">
        <v>33</v>
      </c>
      <c r="R23" s="1" t="s">
        <v>34</v>
      </c>
      <c r="S23" s="1" t="s">
        <v>15</v>
      </c>
      <c r="T23" s="1" t="s">
        <v>16</v>
      </c>
    </row>
    <row r="24" spans="1:20" x14ac:dyDescent="0.35">
      <c r="A24" s="1" t="s">
        <v>14</v>
      </c>
      <c r="B24" s="1">
        <v>-189.73853500000001</v>
      </c>
      <c r="C24" s="1">
        <v>-189.19773900000001</v>
      </c>
      <c r="D24" s="1">
        <v>-189.74653699999999</v>
      </c>
      <c r="E24" s="1">
        <v>-189.30211800000001</v>
      </c>
      <c r="F24" s="1">
        <v>-76.458530768399996</v>
      </c>
      <c r="G24" s="1">
        <v>-76.731235500699995</v>
      </c>
      <c r="N24" s="1" t="s">
        <v>14</v>
      </c>
      <c r="O24" s="1">
        <v>-189.73853500000001</v>
      </c>
      <c r="P24" s="1">
        <v>-189.19773900000001</v>
      </c>
      <c r="Q24" s="1">
        <v>-189.74653699999999</v>
      </c>
      <c r="R24" s="1">
        <v>-189.30211800000001</v>
      </c>
      <c r="S24" s="1">
        <v>-76.409934000000007</v>
      </c>
      <c r="T24">
        <v>-76.670539000000005</v>
      </c>
    </row>
    <row r="25" spans="1:20" x14ac:dyDescent="0.35">
      <c r="F25">
        <v>-76.409934000000007</v>
      </c>
      <c r="G25">
        <v>-76.670539000000005</v>
      </c>
    </row>
    <row r="26" spans="1:20" x14ac:dyDescent="0.35">
      <c r="B26" t="s">
        <v>31</v>
      </c>
      <c r="C26" t="s">
        <v>32</v>
      </c>
      <c r="O26" t="s">
        <v>31</v>
      </c>
      <c r="P26" t="s">
        <v>32</v>
      </c>
    </row>
    <row r="27" spans="1:20" x14ac:dyDescent="0.35">
      <c r="A27" t="s">
        <v>29</v>
      </c>
      <c r="B27">
        <f>G24+C24-B24-F24</f>
        <v>0.26809126770000091</v>
      </c>
      <c r="C27">
        <f>B27*627.5</f>
        <v>168.22727048175057</v>
      </c>
      <c r="N27" t="s">
        <v>29</v>
      </c>
      <c r="O27">
        <f>T24+P24-O24-S24</f>
        <v>0.28019099999998787</v>
      </c>
      <c r="P27">
        <f>O27*627.5</f>
        <v>175.81985249999238</v>
      </c>
    </row>
    <row r="29" spans="1:20" x14ac:dyDescent="0.35">
      <c r="A29" t="s">
        <v>28</v>
      </c>
      <c r="C29">
        <v>-110.3</v>
      </c>
      <c r="N29" t="s">
        <v>28</v>
      </c>
      <c r="P29">
        <v>-110.3</v>
      </c>
    </row>
    <row r="30" spans="1:20" x14ac:dyDescent="0.35">
      <c r="A30" t="s">
        <v>27</v>
      </c>
      <c r="C30">
        <v>-6.32</v>
      </c>
      <c r="N30" t="s">
        <v>27</v>
      </c>
      <c r="P30">
        <v>-6.32</v>
      </c>
    </row>
    <row r="32" spans="1:20" x14ac:dyDescent="0.35">
      <c r="A32" t="s">
        <v>25</v>
      </c>
      <c r="B32">
        <f>D24-B24</f>
        <v>-8.0019999999763058E-3</v>
      </c>
      <c r="C32">
        <f>B32*627.5</f>
        <v>-5.0212549999851319</v>
      </c>
      <c r="N32" t="s">
        <v>25</v>
      </c>
      <c r="O32">
        <f>Q24-O24</f>
        <v>-8.0019999999763058E-3</v>
      </c>
      <c r="P32">
        <f>O32*627.5</f>
        <v>-5.0212549999851319</v>
      </c>
    </row>
    <row r="33" spans="1:16" x14ac:dyDescent="0.35">
      <c r="A33" t="s">
        <v>26</v>
      </c>
      <c r="B33">
        <f>E24-C24</f>
        <v>-0.10437899999999445</v>
      </c>
      <c r="C33">
        <f>B33*627.5</f>
        <v>-65.497822499996516</v>
      </c>
      <c r="N33" t="s">
        <v>26</v>
      </c>
      <c r="O33">
        <f>R24-P24</f>
        <v>-0.10437899999999445</v>
      </c>
      <c r="P33">
        <f>O33*627.5</f>
        <v>-65.497822499996516</v>
      </c>
    </row>
    <row r="35" spans="1:16" x14ac:dyDescent="0.35">
      <c r="B35" t="s">
        <v>30</v>
      </c>
      <c r="C35">
        <f>C27+C33+C29-C32-C30</f>
        <v>3.7707029817391842</v>
      </c>
      <c r="E35" s="27"/>
      <c r="O35" t="s">
        <v>30</v>
      </c>
      <c r="P35">
        <f>P27+P33+P29-P32-P30</f>
        <v>11.363284999980998</v>
      </c>
    </row>
    <row r="36" spans="1:16" x14ac:dyDescent="0.35">
      <c r="B36" t="s">
        <v>37</v>
      </c>
      <c r="C36">
        <v>1.744214725</v>
      </c>
      <c r="O36" t="s">
        <v>37</v>
      </c>
      <c r="P36">
        <v>1.744214725</v>
      </c>
    </row>
    <row r="37" spans="1:16" x14ac:dyDescent="0.35">
      <c r="B37" t="s">
        <v>38</v>
      </c>
      <c r="C37">
        <v>4.54</v>
      </c>
      <c r="O37" t="s">
        <v>38</v>
      </c>
      <c r="P37">
        <v>4.54</v>
      </c>
    </row>
    <row r="38" spans="1:16" x14ac:dyDescent="0.35">
      <c r="C38">
        <f>ABS((C35/1.346)-C36 -C37)</f>
        <v>3.4828009198445886</v>
      </c>
      <c r="P38" s="27">
        <f>P35/(2.3*O10*298)-P37</f>
        <v>3.8037624688730309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Ions</vt:lpstr>
      <vt:lpstr>Acido formico</vt:lpstr>
      <vt:lpstr>Prova acido lattico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Gentile</dc:creator>
  <cp:lastModifiedBy>Giuseppe Gentile</cp:lastModifiedBy>
  <dcterms:created xsi:type="dcterms:W3CDTF">2024-06-23T17:12:42Z</dcterms:created>
  <dcterms:modified xsi:type="dcterms:W3CDTF">2024-06-29T18:23:41Z</dcterms:modified>
</cp:coreProperties>
</file>