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4\"/>
    </mc:Choice>
  </mc:AlternateContent>
  <xr:revisionPtr revIDLastSave="0" documentId="13_ncr:1_{1BAC725B-5748-4B49-BA11-0C55D1C488D9}" xr6:coauthVersionLast="47" xr6:coauthVersionMax="47" xr10:uidLastSave="{00000000-0000-0000-0000-000000000000}"/>
  <bookViews>
    <workbookView xWindow="-110" yWindow="-110" windowWidth="25820" windowHeight="16220" activeTab="2" xr2:uid="{420F3527-AA47-4232-826E-72FEC2CB875C}"/>
  </bookViews>
  <sheets>
    <sheet name="co" sheetId="8" r:id="rId1"/>
    <sheet name="no2" sheetId="5" r:id="rId2"/>
    <sheet name="metano" sheetId="3" r:id="rId3"/>
    <sheet name="Acqua" sheetId="4" r:id="rId4"/>
    <sheet name="etano" sheetId="1" r:id="rId5"/>
    <sheet name="Comparisons" sheetId="9" r:id="rId6"/>
  </sheets>
  <definedNames>
    <definedName name="Qtable" localSheetId="0">co!$C$14</definedName>
    <definedName name="Qtable" localSheetId="2">metano!$K$14</definedName>
    <definedName name="Qtable" localSheetId="1">'no2'!$E$14</definedName>
    <definedName name="Qtable">etano!$T$14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9" l="1"/>
  <c r="E21" i="9"/>
  <c r="C21" i="9"/>
  <c r="B21" i="9"/>
  <c r="A21" i="9"/>
  <c r="B109" i="8"/>
  <c r="F109" i="8"/>
  <c r="C9" i="8"/>
  <c r="B15" i="8" a="1"/>
  <c r="B15" i="8"/>
  <c r="B16" i="8" a="1"/>
  <c r="B16" i="8"/>
  <c r="B17" i="8" a="1"/>
  <c r="B17" i="8"/>
  <c r="B18" i="8" a="1"/>
  <c r="B18" i="8" s="1"/>
  <c r="B19" i="8" a="1"/>
  <c r="B19" i="8"/>
  <c r="B20" i="8" a="1"/>
  <c r="B20" i="8"/>
  <c r="B21" i="8" a="1"/>
  <c r="B21" i="8"/>
  <c r="B22" i="8" a="1"/>
  <c r="B22" i="8"/>
  <c r="B23" i="8" a="1"/>
  <c r="B23" i="8" s="1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F152" i="8"/>
  <c r="C152" i="8" a="1"/>
  <c r="C152" i="8" s="1"/>
  <c r="B152" i="8" a="1"/>
  <c r="B152" i="8" s="1"/>
  <c r="A152" i="8" a="1"/>
  <c r="A152" i="8" s="1"/>
  <c r="D152" i="8" s="1"/>
  <c r="B275" i="9"/>
  <c r="C275" i="9"/>
  <c r="D275" i="9"/>
  <c r="E275" i="9"/>
  <c r="A275" i="9"/>
  <c r="G122" i="8"/>
  <c r="F122" i="8"/>
  <c r="H122" i="8" s="1"/>
  <c r="H120" i="8"/>
  <c r="H119" i="8"/>
  <c r="H118" i="8"/>
  <c r="G116" i="8"/>
  <c r="H114" i="8"/>
  <c r="H112" i="8"/>
  <c r="G110" i="8"/>
  <c r="H108" i="8"/>
  <c r="H107" i="8"/>
  <c r="C122" i="8"/>
  <c r="B122" i="8"/>
  <c r="D122" i="8" s="1"/>
  <c r="D120" i="8"/>
  <c r="D119" i="8"/>
  <c r="D118" i="8"/>
  <c r="D114" i="8"/>
  <c r="D112" i="8"/>
  <c r="C116" i="8"/>
  <c r="C110" i="8"/>
  <c r="D107" i="8"/>
  <c r="D108" i="8"/>
  <c r="G122" i="5"/>
  <c r="F115" i="5" a="1"/>
  <c r="F115" i="5" s="1"/>
  <c r="G116" i="5"/>
  <c r="G110" i="5"/>
  <c r="F58" i="1" a="1"/>
  <c r="F58" i="1" s="1"/>
  <c r="B109" i="1" s="1"/>
  <c r="F59" i="1" a="1"/>
  <c r="F59" i="1"/>
  <c r="F60" i="1" a="1"/>
  <c r="F60" i="1" s="1"/>
  <c r="F61" i="1" a="1"/>
  <c r="F61" i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F71" i="1" a="1"/>
  <c r="F71" i="1"/>
  <c r="F72" i="1" a="1"/>
  <c r="F72" i="1"/>
  <c r="F73" i="1" a="1"/>
  <c r="F73" i="1" s="1"/>
  <c r="F74" i="1" a="1"/>
  <c r="F74" i="1" s="1"/>
  <c r="F75" i="1" a="1"/>
  <c r="F75" i="1"/>
  <c r="F58" i="4" a="1"/>
  <c r="F58" i="4" s="1"/>
  <c r="B109" i="4" s="1"/>
  <c r="F59" i="4" a="1"/>
  <c r="F59" i="4"/>
  <c r="F60" i="4" a="1"/>
  <c r="F60" i="4" s="1"/>
  <c r="F61" i="4" a="1"/>
  <c r="F61" i="4"/>
  <c r="F62" i="4" a="1"/>
  <c r="F62" i="4" s="1"/>
  <c r="F63" i="4" a="1"/>
  <c r="F63" i="4"/>
  <c r="F64" i="4" a="1"/>
  <c r="F64" i="4" s="1"/>
  <c r="F65" i="4" a="1"/>
  <c r="F65" i="4"/>
  <c r="F66" i="4" a="1"/>
  <c r="F66" i="4" s="1"/>
  <c r="F67" i="4" a="1"/>
  <c r="F67" i="4"/>
  <c r="F68" i="4" a="1"/>
  <c r="F68" i="4"/>
  <c r="F69" i="4" a="1"/>
  <c r="F69" i="4"/>
  <c r="F70" i="4" a="1"/>
  <c r="F70" i="4"/>
  <c r="F71" i="4" a="1"/>
  <c r="F71" i="4" s="1"/>
  <c r="F72" i="4" a="1"/>
  <c r="F72" i="4" s="1"/>
  <c r="F73" i="4" a="1"/>
  <c r="F73" i="4"/>
  <c r="F74" i="4" a="1"/>
  <c r="F74" i="4" s="1"/>
  <c r="F75" i="4" a="1"/>
  <c r="F75" i="4" s="1"/>
  <c r="F58" i="3" a="1"/>
  <c r="F58" i="3" s="1"/>
  <c r="B109" i="3" s="1"/>
  <c r="F59" i="3" a="1"/>
  <c r="F59" i="3" s="1"/>
  <c r="F60" i="3" a="1"/>
  <c r="F60" i="3"/>
  <c r="F61" i="3" a="1"/>
  <c r="F61" i="3" s="1"/>
  <c r="F62" i="3" a="1"/>
  <c r="F62" i="3" s="1"/>
  <c r="F63" i="3" a="1"/>
  <c r="F63" i="3"/>
  <c r="F64" i="3" a="1"/>
  <c r="F64" i="3" s="1"/>
  <c r="F65" i="3" a="1"/>
  <c r="F65" i="3" s="1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 s="1"/>
  <c r="F74" i="3" a="1"/>
  <c r="F74" i="3" s="1"/>
  <c r="F75" i="3" a="1"/>
  <c r="F75" i="3" s="1"/>
  <c r="F58" i="5" a="1"/>
  <c r="F58" i="5" s="1"/>
  <c r="B109" i="5" s="1"/>
  <c r="B115" i="5" s="1" a="1"/>
  <c r="B115" i="5" s="1"/>
  <c r="F59" i="5" a="1"/>
  <c r="F59" i="5" s="1"/>
  <c r="F60" i="5" a="1"/>
  <c r="F60" i="5" s="1"/>
  <c r="F61" i="5" a="1"/>
  <c r="F61" i="5" s="1"/>
  <c r="F62" i="5" a="1"/>
  <c r="F62" i="5"/>
  <c r="F63" i="5" a="1"/>
  <c r="F63" i="5" s="1"/>
  <c r="F64" i="5" a="1"/>
  <c r="F64" i="5" s="1"/>
  <c r="F65" i="5" a="1"/>
  <c r="F65" i="5"/>
  <c r="F66" i="5" a="1"/>
  <c r="F66" i="5" s="1"/>
  <c r="F67" i="5" a="1"/>
  <c r="F67" i="5" s="1"/>
  <c r="F68" i="5" a="1"/>
  <c r="F68" i="5"/>
  <c r="F69" i="5" a="1"/>
  <c r="F69" i="5"/>
  <c r="F70" i="5" a="1"/>
  <c r="F70" i="5"/>
  <c r="F71" i="5" a="1"/>
  <c r="F71" i="5" s="1"/>
  <c r="F72" i="5" a="1"/>
  <c r="F72" i="5"/>
  <c r="F73" i="5" a="1"/>
  <c r="F73" i="5" s="1"/>
  <c r="F74" i="5" a="1"/>
  <c r="F74" i="5" s="1"/>
  <c r="F75" i="5" a="1"/>
  <c r="F75" i="5" s="1"/>
  <c r="C122" i="5"/>
  <c r="D121" i="5"/>
  <c r="C116" i="5"/>
  <c r="C110" i="5"/>
  <c r="G122" i="4"/>
  <c r="G110" i="4"/>
  <c r="C122" i="4"/>
  <c r="C116" i="4"/>
  <c r="C110" i="4"/>
  <c r="G122" i="1"/>
  <c r="G116" i="1"/>
  <c r="G110" i="1"/>
  <c r="C122" i="1"/>
  <c r="C116" i="1"/>
  <c r="C110" i="1"/>
  <c r="C237" i="9"/>
  <c r="C236" i="9"/>
  <c r="C235" i="9"/>
  <c r="C234" i="9"/>
  <c r="B227" i="9"/>
  <c r="E58" i="4" a="1"/>
  <c r="E58" i="4"/>
  <c r="E59" i="4" a="1"/>
  <c r="E59" i="4" s="1"/>
  <c r="E60" i="4" a="1"/>
  <c r="E60" i="4" s="1"/>
  <c r="E61" i="4" a="1"/>
  <c r="E61" i="4"/>
  <c r="E62" i="4" a="1"/>
  <c r="E62" i="4"/>
  <c r="E63" i="4" a="1"/>
  <c r="E63" i="4"/>
  <c r="E64" i="4" a="1"/>
  <c r="E64" i="4"/>
  <c r="E65" i="4" a="1"/>
  <c r="E65" i="4" s="1"/>
  <c r="E66" i="4" a="1"/>
  <c r="E66" i="4" s="1"/>
  <c r="E67" i="4" a="1"/>
  <c r="E67" i="4" s="1"/>
  <c r="E68" i="4" a="1"/>
  <c r="E68" i="4" s="1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 s="1"/>
  <c r="E75" i="4" a="1"/>
  <c r="E75" i="4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C122" i="3"/>
  <c r="C116" i="3"/>
  <c r="C110" i="3"/>
  <c r="B178" i="8" l="1" a="1"/>
  <c r="B178" i="8" s="1"/>
  <c r="B162" i="8" a="1"/>
  <c r="B162" i="8" s="1"/>
  <c r="B177" i="8" a="1"/>
  <c r="B177" i="8" s="1"/>
  <c r="B161" i="8" a="1"/>
  <c r="B161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0" i="8" a="1"/>
  <c r="B170" i="8" s="1"/>
  <c r="B169" i="8" a="1"/>
  <c r="B169" i="8" s="1"/>
  <c r="B168" i="8" a="1"/>
  <c r="B168" i="8" s="1"/>
  <c r="B167" i="8" a="1"/>
  <c r="B167" i="8" s="1"/>
  <c r="B165" i="8" a="1"/>
  <c r="B165" i="8" s="1"/>
  <c r="B164" i="8" a="1"/>
  <c r="B164" i="8" s="1"/>
  <c r="B163" i="8" a="1"/>
  <c r="B163" i="8" s="1"/>
  <c r="B171" i="8" a="1"/>
  <c r="B171" i="8" s="1"/>
  <c r="B166" i="8" a="1"/>
  <c r="B166" i="8" s="1"/>
  <c r="E98" i="8"/>
  <c r="K76" i="8"/>
  <c r="J76" i="8"/>
  <c r="E76" i="8"/>
  <c r="B107" i="8"/>
  <c r="F120" i="8"/>
  <c r="F119" i="8"/>
  <c r="H109" i="8"/>
  <c r="F122" i="3"/>
  <c r="F116" i="3"/>
  <c r="F110" i="3"/>
  <c r="H121" i="4"/>
  <c r="F37" i="8" a="1"/>
  <c r="F37" i="8"/>
  <c r="B112" i="8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37" i="8" a="1"/>
  <c r="E37" i="8"/>
  <c r="B80" i="8" a="1"/>
  <c r="B80" i="8" s="1"/>
  <c r="B81" i="8" a="1"/>
  <c r="B81" i="8" s="1"/>
  <c r="B82" i="8" a="1"/>
  <c r="B82" i="8" s="1"/>
  <c r="B83" i="8" a="1"/>
  <c r="B83" i="8"/>
  <c r="B84" i="8" a="1"/>
  <c r="B84" i="8" s="1"/>
  <c r="B85" i="8" a="1"/>
  <c r="B85" i="8"/>
  <c r="B86" i="8" a="1"/>
  <c r="B86" i="8" s="1"/>
  <c r="B87" i="8" a="1"/>
  <c r="B87" i="8"/>
  <c r="B88" i="8" a="1"/>
  <c r="B88" i="8" s="1"/>
  <c r="B89" i="8" a="1"/>
  <c r="B89" i="8" s="1"/>
  <c r="B90" i="8" a="1"/>
  <c r="B90" i="8"/>
  <c r="B91" i="8" a="1"/>
  <c r="B91" i="8" s="1"/>
  <c r="B92" i="8" a="1"/>
  <c r="B92" i="8" s="1"/>
  <c r="B93" i="8" a="1"/>
  <c r="B93" i="8" s="1"/>
  <c r="B94" i="8" a="1"/>
  <c r="B94" i="8"/>
  <c r="B95" i="8" a="1"/>
  <c r="B95" i="8"/>
  <c r="B96" i="8" a="1"/>
  <c r="B96" i="8" s="1"/>
  <c r="B97" i="8" a="1"/>
  <c r="B97" i="8" s="1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 s="1"/>
  <c r="F113" i="8" s="1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 s="1"/>
  <c r="N74" i="8" a="1"/>
  <c r="N74" i="8" s="1"/>
  <c r="N75" i="8" a="1"/>
  <c r="N75" i="8" s="1"/>
  <c r="N58" i="5" a="1"/>
  <c r="N58" i="5" s="1"/>
  <c r="N59" i="5" a="1"/>
  <c r="N59" i="5" s="1"/>
  <c r="N60" i="5" a="1"/>
  <c r="N60" i="5" s="1"/>
  <c r="N61" i="5" a="1"/>
  <c r="N61" i="5" s="1"/>
  <c r="N62" i="5" a="1"/>
  <c r="N62" i="5" s="1"/>
  <c r="N63" i="5" a="1"/>
  <c r="N63" i="5" s="1"/>
  <c r="N64" i="5" a="1"/>
  <c r="N64" i="5" s="1"/>
  <c r="N65" i="5" a="1"/>
  <c r="N65" i="5" s="1"/>
  <c r="F113" i="5" s="1"/>
  <c r="H113" i="5" s="1"/>
  <c r="N66" i="5" a="1"/>
  <c r="N66" i="5" s="1"/>
  <c r="N67" i="5" a="1"/>
  <c r="N67" i="5" s="1"/>
  <c r="N68" i="5" a="1"/>
  <c r="N68" i="5" s="1"/>
  <c r="N69" i="5" a="1"/>
  <c r="N69" i="5" s="1"/>
  <c r="N70" i="5" a="1"/>
  <c r="N70" i="5" s="1"/>
  <c r="N71" i="5" a="1"/>
  <c r="N71" i="5" s="1"/>
  <c r="N72" i="5" a="1"/>
  <c r="N72" i="5" s="1"/>
  <c r="N73" i="5" a="1"/>
  <c r="N73" i="5" s="1"/>
  <c r="N74" i="5" a="1"/>
  <c r="N74" i="5" s="1"/>
  <c r="N75" i="5" a="1"/>
  <c r="N75" i="5" s="1"/>
  <c r="D109" i="8"/>
  <c r="H113" i="8" l="1"/>
  <c r="F116" i="8"/>
  <c r="H116" i="8" s="1"/>
  <c r="D115" i="5"/>
  <c r="C33" i="8"/>
  <c r="F106" i="8"/>
  <c r="N76" i="8"/>
  <c r="B33" i="8"/>
  <c r="F107" i="8"/>
  <c r="H106" i="8" l="1"/>
  <c r="F110" i="8"/>
  <c r="H110" i="8" s="1"/>
  <c r="C97" i="8" a="1"/>
  <c r="C97" i="8" s="1"/>
  <c r="C96" i="8" a="1"/>
  <c r="C96" i="8" s="1"/>
  <c r="C95" i="8" a="1"/>
  <c r="C95" i="8" s="1"/>
  <c r="C94" i="8" a="1"/>
  <c r="C94" i="8" s="1"/>
  <c r="C93" i="8" a="1"/>
  <c r="C93" i="8" s="1"/>
  <c r="C92" i="8" a="1"/>
  <c r="C92" i="8" s="1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B120" i="8" s="1"/>
  <c r="J75" i="8" a="1"/>
  <c r="J75" i="8" s="1"/>
  <c r="B75" i="8" a="1"/>
  <c r="B75" i="8" s="1"/>
  <c r="J74" i="8" a="1"/>
  <c r="J74" i="8" s="1"/>
  <c r="B74" i="8" a="1"/>
  <c r="B74" i="8" s="1"/>
  <c r="J73" i="8" a="1"/>
  <c r="J73" i="8" s="1"/>
  <c r="B73" i="8" a="1"/>
  <c r="B73" i="8" s="1"/>
  <c r="J72" i="8" a="1"/>
  <c r="J72" i="8" s="1"/>
  <c r="B72" i="8" a="1"/>
  <c r="B72" i="8" s="1"/>
  <c r="J71" i="8" a="1"/>
  <c r="J71" i="8" s="1"/>
  <c r="B71" i="8" a="1"/>
  <c r="B71" i="8" s="1"/>
  <c r="J70" i="8" a="1"/>
  <c r="J70" i="8" s="1"/>
  <c r="B70" i="8" a="1"/>
  <c r="B70" i="8" s="1"/>
  <c r="J69" i="8" a="1"/>
  <c r="J69" i="8" s="1"/>
  <c r="B69" i="8" a="1"/>
  <c r="B69" i="8" s="1"/>
  <c r="J68" i="8" a="1"/>
  <c r="J68" i="8" s="1"/>
  <c r="B68" i="8" a="1"/>
  <c r="B68" i="8" s="1"/>
  <c r="J67" i="8" a="1"/>
  <c r="J67" i="8" s="1"/>
  <c r="B67" i="8" a="1"/>
  <c r="B67" i="8" s="1"/>
  <c r="J66" i="8" a="1"/>
  <c r="J66" i="8" s="1"/>
  <c r="B66" i="8" a="1"/>
  <c r="B66" i="8" s="1"/>
  <c r="J65" i="8" a="1"/>
  <c r="J65" i="8" s="1"/>
  <c r="B65" i="8" a="1"/>
  <c r="B65" i="8" s="1"/>
  <c r="J64" i="8" a="1"/>
  <c r="J64" i="8" s="1"/>
  <c r="B64" i="8" a="1"/>
  <c r="B64" i="8" s="1"/>
  <c r="J63" i="8" a="1"/>
  <c r="J63" i="8" s="1"/>
  <c r="B63" i="8" a="1"/>
  <c r="B63" i="8" s="1"/>
  <c r="J62" i="8" a="1"/>
  <c r="J62" i="8" s="1"/>
  <c r="B62" i="8" a="1"/>
  <c r="B62" i="8" s="1"/>
  <c r="J61" i="8" a="1"/>
  <c r="J61" i="8" s="1"/>
  <c r="B61" i="8" a="1"/>
  <c r="B61" i="8" s="1"/>
  <c r="J60" i="8" a="1"/>
  <c r="J60" i="8" s="1"/>
  <c r="B60" i="8" a="1"/>
  <c r="B60" i="8" s="1"/>
  <c r="J59" i="8" a="1"/>
  <c r="J59" i="8" s="1"/>
  <c r="B59" i="8" a="1"/>
  <c r="B59" i="8" s="1"/>
  <c r="B113" i="8"/>
  <c r="J58" i="8" a="1"/>
  <c r="J58" i="8" s="1"/>
  <c r="B58" i="8" a="1"/>
  <c r="B58" i="8" s="1"/>
  <c r="E35" i="8"/>
  <c r="D80" i="8" s="1" a="1"/>
  <c r="D80" i="8" s="1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B13" i="8" a="1"/>
  <c r="B13" i="8" s="1"/>
  <c r="B2" i="8"/>
  <c r="I70" i="8" s="1" a="1"/>
  <c r="I70" i="8" s="1"/>
  <c r="A2" i="8"/>
  <c r="F107" i="4"/>
  <c r="H107" i="4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F107" i="1" s="1"/>
  <c r="H10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C97" i="5" a="1"/>
  <c r="C97" i="5" s="1"/>
  <c r="B97" i="5" a="1"/>
  <c r="B97" i="5" s="1"/>
  <c r="C96" i="5" a="1"/>
  <c r="C96" i="5" s="1"/>
  <c r="B96" i="5" a="1"/>
  <c r="B96" i="5" s="1"/>
  <c r="C95" i="5" a="1"/>
  <c r="C95" i="5" s="1"/>
  <c r="B95" i="5" a="1"/>
  <c r="B95" i="5" s="1"/>
  <c r="C94" i="5" a="1"/>
  <c r="C94" i="5" s="1"/>
  <c r="B94" i="5" a="1"/>
  <c r="B94" i="5" s="1"/>
  <c r="C93" i="5" a="1"/>
  <c r="C93" i="5" s="1"/>
  <c r="B93" i="5" a="1"/>
  <c r="B93" i="5" s="1"/>
  <c r="C92" i="5" a="1"/>
  <c r="C92" i="5" s="1"/>
  <c r="B92" i="5" a="1"/>
  <c r="B92" i="5" s="1"/>
  <c r="C91" i="5" a="1"/>
  <c r="C91" i="5" s="1"/>
  <c r="B91" i="5" a="1"/>
  <c r="B91" i="5" s="1"/>
  <c r="C90" i="5" a="1"/>
  <c r="C90" i="5" s="1"/>
  <c r="B90" i="5" a="1"/>
  <c r="B90" i="5" s="1"/>
  <c r="C89" i="5" a="1"/>
  <c r="C89" i="5" s="1"/>
  <c r="B89" i="5" a="1"/>
  <c r="B89" i="5" s="1"/>
  <c r="C88" i="5" a="1"/>
  <c r="C88" i="5" s="1"/>
  <c r="B88" i="5" a="1"/>
  <c r="B88" i="5" s="1"/>
  <c r="C87" i="5" a="1"/>
  <c r="C87" i="5" s="1"/>
  <c r="F120" i="5" s="1"/>
  <c r="H120" i="5" s="1"/>
  <c r="B87" i="5" a="1"/>
  <c r="B87" i="5" s="1"/>
  <c r="F119" i="5" s="1"/>
  <c r="H119" i="5" s="1"/>
  <c r="C86" i="5" a="1"/>
  <c r="C86" i="5" s="1"/>
  <c r="B86" i="5" a="1"/>
  <c r="B86" i="5" s="1"/>
  <c r="C85" i="5" a="1"/>
  <c r="C85" i="5" s="1"/>
  <c r="B85" i="5" a="1"/>
  <c r="B85" i="5" s="1"/>
  <c r="C84" i="5" a="1"/>
  <c r="C84" i="5" s="1"/>
  <c r="B84" i="5" a="1"/>
  <c r="B84" i="5" s="1"/>
  <c r="C83" i="5" a="1"/>
  <c r="C83" i="5" s="1"/>
  <c r="B83" i="5" a="1"/>
  <c r="B83" i="5" s="1"/>
  <c r="C82" i="5" a="1"/>
  <c r="C82" i="5" s="1"/>
  <c r="B82" i="5" a="1"/>
  <c r="B82" i="5" s="1"/>
  <c r="C81" i="5" a="1"/>
  <c r="C81" i="5" s="1"/>
  <c r="B81" i="5" a="1"/>
  <c r="B81" i="5" s="1"/>
  <c r="C80" i="5" a="1"/>
  <c r="C80" i="5" s="1"/>
  <c r="B120" i="5" s="1"/>
  <c r="D120" i="5" s="1"/>
  <c r="B80" i="5" a="1"/>
  <c r="B80" i="5" s="1"/>
  <c r="B119" i="5" s="1"/>
  <c r="D119" i="5" s="1"/>
  <c r="J75" i="5" a="1"/>
  <c r="J75" i="5" s="1"/>
  <c r="J76" i="5" s="1"/>
  <c r="E75" i="5" a="1"/>
  <c r="E75" i="5" s="1"/>
  <c r="E76" i="5" s="1"/>
  <c r="B75" i="5" a="1"/>
  <c r="B75" i="5" s="1"/>
  <c r="J74" i="5" a="1"/>
  <c r="J74" i="5" s="1"/>
  <c r="E74" i="5" a="1"/>
  <c r="E74" i="5" s="1"/>
  <c r="B74" i="5" a="1"/>
  <c r="B74" i="5" s="1"/>
  <c r="J73" i="5" a="1"/>
  <c r="J73" i="5" s="1"/>
  <c r="E73" i="5" a="1"/>
  <c r="E73" i="5" s="1"/>
  <c r="B73" i="5" a="1"/>
  <c r="B73" i="5" s="1"/>
  <c r="J72" i="5" a="1"/>
  <c r="J72" i="5" s="1"/>
  <c r="E72" i="5" a="1"/>
  <c r="E72" i="5" s="1"/>
  <c r="B72" i="5" a="1"/>
  <c r="B72" i="5" s="1"/>
  <c r="J71" i="5" a="1"/>
  <c r="J71" i="5" s="1"/>
  <c r="E71" i="5" a="1"/>
  <c r="E71" i="5" s="1"/>
  <c r="B71" i="5" a="1"/>
  <c r="B71" i="5" s="1"/>
  <c r="J70" i="5" a="1"/>
  <c r="J70" i="5" s="1"/>
  <c r="E70" i="5" a="1"/>
  <c r="E70" i="5" s="1"/>
  <c r="B70" i="5" a="1"/>
  <c r="B70" i="5" s="1"/>
  <c r="J69" i="5" a="1"/>
  <c r="J69" i="5" s="1"/>
  <c r="E69" i="5" a="1"/>
  <c r="E69" i="5" s="1"/>
  <c r="B69" i="5" a="1"/>
  <c r="B69" i="5" s="1"/>
  <c r="J68" i="5" a="1"/>
  <c r="J68" i="5" s="1"/>
  <c r="E68" i="5" a="1"/>
  <c r="E68" i="5" s="1"/>
  <c r="B68" i="5" a="1"/>
  <c r="B68" i="5" s="1"/>
  <c r="J67" i="5" a="1"/>
  <c r="J67" i="5" s="1"/>
  <c r="E67" i="5" a="1"/>
  <c r="E67" i="5" s="1"/>
  <c r="B67" i="5" a="1"/>
  <c r="B67" i="5" s="1"/>
  <c r="J66" i="5" a="1"/>
  <c r="J66" i="5" s="1"/>
  <c r="E66" i="5" a="1"/>
  <c r="E66" i="5" s="1"/>
  <c r="B66" i="5" a="1"/>
  <c r="B66" i="5" s="1"/>
  <c r="J65" i="5" a="1"/>
  <c r="J65" i="5" s="1"/>
  <c r="E65" i="5" a="1"/>
  <c r="E65" i="5" s="1"/>
  <c r="F107" i="5" s="1"/>
  <c r="H107" i="5" s="1"/>
  <c r="B65" i="5" a="1"/>
  <c r="B65" i="5" s="1"/>
  <c r="J64" i="5" a="1"/>
  <c r="J64" i="5" s="1"/>
  <c r="E64" i="5" a="1"/>
  <c r="E64" i="5" s="1"/>
  <c r="B64" i="5" a="1"/>
  <c r="B64" i="5" s="1"/>
  <c r="J63" i="5" a="1"/>
  <c r="J63" i="5" s="1"/>
  <c r="E63" i="5" a="1"/>
  <c r="E63" i="5" s="1"/>
  <c r="B63" i="5" a="1"/>
  <c r="B63" i="5" s="1"/>
  <c r="J62" i="5" a="1"/>
  <c r="J62" i="5" s="1"/>
  <c r="E62" i="5" a="1"/>
  <c r="E62" i="5" s="1"/>
  <c r="B62" i="5" a="1"/>
  <c r="B62" i="5" s="1"/>
  <c r="J61" i="5" a="1"/>
  <c r="J61" i="5" s="1"/>
  <c r="E61" i="5" a="1"/>
  <c r="E61" i="5" s="1"/>
  <c r="B61" i="5" a="1"/>
  <c r="B61" i="5" s="1"/>
  <c r="J60" i="5" a="1"/>
  <c r="J60" i="5" s="1"/>
  <c r="E60" i="5" a="1"/>
  <c r="E60" i="5" s="1"/>
  <c r="B60" i="5" a="1"/>
  <c r="B60" i="5" s="1"/>
  <c r="J59" i="5" a="1"/>
  <c r="J59" i="5" s="1"/>
  <c r="E59" i="5" a="1"/>
  <c r="E59" i="5" s="1"/>
  <c r="B59" i="5" a="1"/>
  <c r="B59" i="5" s="1"/>
  <c r="B113" i="5"/>
  <c r="D113" i="5" s="1"/>
  <c r="J58" i="5" a="1"/>
  <c r="J58" i="5" s="1"/>
  <c r="E58" i="5" a="1"/>
  <c r="E58" i="5" s="1"/>
  <c r="B107" i="5" s="1"/>
  <c r="D107" i="5" s="1"/>
  <c r="B58" i="5" a="1"/>
  <c r="B58" i="5" s="1"/>
  <c r="G35" i="5"/>
  <c r="G43" i="5" s="1" a="1"/>
  <c r="G43" i="5" s="1"/>
  <c r="F35" i="5"/>
  <c r="F51" i="5" s="1" a="1"/>
  <c r="F51" i="5" s="1"/>
  <c r="E35" i="5"/>
  <c r="E49" i="5" s="1" a="1"/>
  <c r="E49" i="5" s="1"/>
  <c r="D13" i="5" a="1"/>
  <c r="D13" i="5" s="1"/>
  <c r="C13" i="5" a="1"/>
  <c r="C13" i="5" s="1"/>
  <c r="B13" i="5" a="1"/>
  <c r="B13" i="5" s="1"/>
  <c r="B2" i="5"/>
  <c r="I68" i="5" s="1" a="1"/>
  <c r="I68" i="5" s="1"/>
  <c r="A2" i="5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E107" i="3" l="1"/>
  <c r="G107" i="3" s="1"/>
  <c r="C27" i="5" a="1"/>
  <c r="C27" i="5" s="1"/>
  <c r="C28" i="5" a="1"/>
  <c r="C28" i="5" s="1"/>
  <c r="C29" i="5" a="1"/>
  <c r="C29" i="5" s="1"/>
  <c r="C16" i="5" a="1"/>
  <c r="C16" i="5" s="1"/>
  <c r="C17" i="5" a="1"/>
  <c r="C17" i="5" s="1"/>
  <c r="C19" i="5" a="1"/>
  <c r="C19" i="5" s="1"/>
  <c r="C30" i="5" a="1"/>
  <c r="C30" i="5" s="1"/>
  <c r="C15" i="5" a="1"/>
  <c r="C15" i="5" s="1"/>
  <c r="C31" i="5" a="1"/>
  <c r="C31" i="5" s="1"/>
  <c r="C32" i="5" a="1"/>
  <c r="C32" i="5" s="1"/>
  <c r="C33" i="5" s="1"/>
  <c r="C21" i="5" a="1"/>
  <c r="C21" i="5" s="1"/>
  <c r="C22" i="5" a="1"/>
  <c r="C22" i="5" s="1"/>
  <c r="C23" i="5" a="1"/>
  <c r="C23" i="5" s="1"/>
  <c r="C20" i="5" a="1"/>
  <c r="C20" i="5" s="1"/>
  <c r="C18" i="5" a="1"/>
  <c r="C18" i="5" s="1"/>
  <c r="C24" i="5" a="1"/>
  <c r="C24" i="5" s="1"/>
  <c r="C26" i="5" a="1"/>
  <c r="C26" i="5" s="1"/>
  <c r="C25" i="5" a="1"/>
  <c r="C25" i="5" s="1"/>
  <c r="D15" i="5" a="1"/>
  <c r="D15" i="5" s="1"/>
  <c r="D16" i="5" a="1"/>
  <c r="D16" i="5" s="1"/>
  <c r="D32" i="5" a="1"/>
  <c r="D32" i="5" s="1"/>
  <c r="D17" i="5" a="1"/>
  <c r="D17" i="5" s="1"/>
  <c r="D31" i="5" a="1"/>
  <c r="D31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4" i="5" a="1"/>
  <c r="D24" i="5" s="1"/>
  <c r="D23" i="5" a="1"/>
  <c r="D23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B116" i="8"/>
  <c r="D116" i="8" s="1"/>
  <c r="D113" i="8"/>
  <c r="B26" i="5" a="1"/>
  <c r="B26" i="5" s="1"/>
  <c r="B29" i="5" a="1"/>
  <c r="B29" i="5" s="1"/>
  <c r="B30" i="5" a="1"/>
  <c r="B30" i="5" s="1"/>
  <c r="B28" i="5" a="1"/>
  <c r="B28" i="5" s="1"/>
  <c r="E28" i="5" s="1"/>
  <c r="D71" i="5" s="1"/>
  <c r="B16" i="5" a="1"/>
  <c r="B16" i="5" s="1"/>
  <c r="B17" i="5" a="1"/>
  <c r="B17" i="5" s="1"/>
  <c r="B18" i="5" a="1"/>
  <c r="B18" i="5" s="1"/>
  <c r="B19" i="5" a="1"/>
  <c r="B19" i="5" s="1"/>
  <c r="B25" i="5" a="1"/>
  <c r="B25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7" i="5" a="1"/>
  <c r="B27" i="5" s="1"/>
  <c r="E27" i="5" s="1"/>
  <c r="D70" i="5" s="1"/>
  <c r="B32" i="5" a="1"/>
  <c r="B32" i="5" s="1"/>
  <c r="B31" i="5" a="1"/>
  <c r="B31" i="5" s="1"/>
  <c r="B15" i="5" a="1"/>
  <c r="B15" i="5" s="1"/>
  <c r="E76" i="1"/>
  <c r="D76" i="8"/>
  <c r="E76" i="3"/>
  <c r="B118" i="8"/>
  <c r="F118" i="8"/>
  <c r="E76" i="4"/>
  <c r="D87" i="8" a="1"/>
  <c r="D87" i="8" s="1"/>
  <c r="E87" i="8" s="1"/>
  <c r="I73" i="8" a="1"/>
  <c r="I73" i="8" s="1"/>
  <c r="K73" i="8" s="1" a="1"/>
  <c r="K73" i="8" s="1"/>
  <c r="I74" i="8" a="1"/>
  <c r="I74" i="8" s="1"/>
  <c r="K74" i="8" s="1" a="1"/>
  <c r="K74" i="8" s="1"/>
  <c r="I60" i="8" a="1"/>
  <c r="I60" i="8" s="1"/>
  <c r="K60" i="8" s="1" a="1"/>
  <c r="K60" i="8" s="1"/>
  <c r="C60" i="8" a="1"/>
  <c r="C60" i="8" s="1"/>
  <c r="C68" i="8" a="1"/>
  <c r="C68" i="8" s="1"/>
  <c r="D88" i="8" a="1"/>
  <c r="D88" i="8" s="1"/>
  <c r="E88" i="8" s="1"/>
  <c r="E44" i="8" a="1"/>
  <c r="E44" i="8" s="1"/>
  <c r="F44" i="8" s="1" a="1"/>
  <c r="F44" i="8" s="1"/>
  <c r="F112" i="8" s="1"/>
  <c r="E46" i="8" a="1"/>
  <c r="E46" i="8" s="1"/>
  <c r="F46" i="8" s="1" a="1"/>
  <c r="F46" i="8" s="1"/>
  <c r="E42" i="8" a="1"/>
  <c r="E42" i="8" s="1"/>
  <c r="F42" i="8" s="1" a="1"/>
  <c r="F42" i="8" s="1"/>
  <c r="D85" i="8" a="1"/>
  <c r="D85" i="8" s="1"/>
  <c r="E85" i="8" s="1"/>
  <c r="D86" i="8" a="1"/>
  <c r="D86" i="8" s="1"/>
  <c r="E86" i="8" s="1"/>
  <c r="D95" i="8" a="1"/>
  <c r="D95" i="8" s="1"/>
  <c r="E95" i="8" s="1"/>
  <c r="D97" i="8" a="1"/>
  <c r="D97" i="8" s="1"/>
  <c r="E50" i="8" a="1"/>
  <c r="E50" i="8" s="1"/>
  <c r="F50" i="8" s="1" a="1"/>
  <c r="F50" i="8" s="1"/>
  <c r="E38" i="8" a="1"/>
  <c r="E38" i="8" s="1"/>
  <c r="F38" i="8" s="1" a="1"/>
  <c r="F38" i="8" s="1"/>
  <c r="D94" i="8" a="1"/>
  <c r="D94" i="8" s="1"/>
  <c r="E94" i="8" s="1"/>
  <c r="E51" i="8" a="1"/>
  <c r="E51" i="8" s="1"/>
  <c r="F51" i="8" s="1" a="1"/>
  <c r="F51" i="8" s="1"/>
  <c r="D96" i="8" a="1"/>
  <c r="D96" i="8" s="1"/>
  <c r="E96" i="8" s="1"/>
  <c r="E52" i="8" a="1"/>
  <c r="E52" i="8" s="1"/>
  <c r="F52" i="8" s="1" a="1"/>
  <c r="F52" i="8" s="1"/>
  <c r="C72" i="8" a="1"/>
  <c r="C72" i="8" s="1"/>
  <c r="E43" i="8" a="1"/>
  <c r="E43" i="8" s="1"/>
  <c r="F43" i="8" s="1" a="1"/>
  <c r="F43" i="8" s="1"/>
  <c r="C75" i="8" a="1"/>
  <c r="C75" i="8" s="1"/>
  <c r="C76" i="8" s="1"/>
  <c r="I64" i="8" a="1"/>
  <c r="I64" i="8" s="1"/>
  <c r="K64" i="8" s="1" a="1"/>
  <c r="K64" i="8" s="1"/>
  <c r="I58" i="8" a="1"/>
  <c r="I58" i="8" s="1"/>
  <c r="K58" i="8" s="1" a="1"/>
  <c r="K58" i="8" s="1"/>
  <c r="B114" i="8" s="1"/>
  <c r="D91" i="8" a="1"/>
  <c r="D91" i="8" s="1"/>
  <c r="E91" i="8" s="1"/>
  <c r="E47" i="8" a="1"/>
  <c r="E47" i="8" s="1"/>
  <c r="F47" i="8" s="1" a="1"/>
  <c r="F47" i="8" s="1"/>
  <c r="C71" i="8" a="1"/>
  <c r="C71" i="8" s="1"/>
  <c r="D81" i="8" a="1"/>
  <c r="D81" i="8" s="1"/>
  <c r="E81" i="8" s="1"/>
  <c r="E39" i="8" a="1"/>
  <c r="E39" i="8" s="1"/>
  <c r="F39" i="8" s="1" a="1"/>
  <c r="F39" i="8" s="1"/>
  <c r="C65" i="8" a="1"/>
  <c r="C65" i="8" s="1"/>
  <c r="F108" i="8" s="1"/>
  <c r="D82" i="8" a="1"/>
  <c r="D82" i="8" s="1"/>
  <c r="E82" i="8" s="1"/>
  <c r="D92" i="8" a="1"/>
  <c r="D92" i="8" s="1"/>
  <c r="E92" i="8" s="1"/>
  <c r="E48" i="8" a="1"/>
  <c r="E48" i="8" s="1"/>
  <c r="F48" i="8" s="1" a="1"/>
  <c r="F48" i="8" s="1"/>
  <c r="I59" i="8" a="1"/>
  <c r="I59" i="8" s="1"/>
  <c r="K59" i="8" s="1" a="1"/>
  <c r="K59" i="8" s="1"/>
  <c r="E40" i="8" a="1"/>
  <c r="E40" i="8" s="1"/>
  <c r="F40" i="8" s="1" a="1"/>
  <c r="F40" i="8" s="1"/>
  <c r="C66" i="8" a="1"/>
  <c r="C66" i="8" s="1"/>
  <c r="D83" i="8" a="1"/>
  <c r="D83" i="8" s="1"/>
  <c r="E83" i="8" s="1"/>
  <c r="I75" i="8" a="1"/>
  <c r="I75" i="8" s="1"/>
  <c r="E54" i="8" a="1"/>
  <c r="E54" i="8" s="1"/>
  <c r="E80" i="8"/>
  <c r="D90" i="8" a="1"/>
  <c r="D90" i="8" s="1"/>
  <c r="E90" i="8" s="1"/>
  <c r="C73" i="8" a="1"/>
  <c r="C73" i="8" s="1"/>
  <c r="I62" i="8" a="1"/>
  <c r="I62" i="8" s="1"/>
  <c r="K62" i="8" s="1" a="1"/>
  <c r="K62" i="8" s="1"/>
  <c r="I69" i="8" a="1"/>
  <c r="I69" i="8" s="1"/>
  <c r="K69" i="8" s="1" a="1"/>
  <c r="K69" i="8" s="1"/>
  <c r="C58" i="8" a="1"/>
  <c r="C58" i="8" s="1"/>
  <c r="B106" i="8"/>
  <c r="K70" i="8" a="1"/>
  <c r="K70" i="8" s="1"/>
  <c r="C74" i="8" a="1"/>
  <c r="C74" i="8" s="1"/>
  <c r="C61" i="8" a="1"/>
  <c r="C61" i="8" s="1"/>
  <c r="C63" i="8" a="1"/>
  <c r="C63" i="8" s="1"/>
  <c r="C59" i="8" a="1"/>
  <c r="C59" i="8" s="1"/>
  <c r="C62" i="8" a="1"/>
  <c r="C62" i="8" s="1"/>
  <c r="I63" i="8" a="1"/>
  <c r="I63" i="8" s="1"/>
  <c r="K63" i="8" s="1" a="1"/>
  <c r="K63" i="8" s="1"/>
  <c r="I65" i="8" a="1"/>
  <c r="I65" i="8" s="1"/>
  <c r="K65" i="8" s="1" a="1"/>
  <c r="K65" i="8" s="1"/>
  <c r="F114" i="8" s="1"/>
  <c r="I67" i="8" a="1"/>
  <c r="I67" i="8" s="1"/>
  <c r="K67" i="8" s="1" a="1"/>
  <c r="K67" i="8" s="1"/>
  <c r="I68" i="8" a="1"/>
  <c r="I68" i="8" s="1"/>
  <c r="K68" i="8" s="1" a="1"/>
  <c r="K68" i="8" s="1"/>
  <c r="C67" i="8" a="1"/>
  <c r="C67" i="8" s="1"/>
  <c r="I72" i="8" a="1"/>
  <c r="I72" i="8" s="1"/>
  <c r="K72" i="8" s="1" a="1"/>
  <c r="K72" i="8" s="1"/>
  <c r="C70" i="8" a="1"/>
  <c r="C70" i="8" s="1"/>
  <c r="I61" i="8" a="1"/>
  <c r="I61" i="8" s="1"/>
  <c r="K61" i="8" s="1" a="1"/>
  <c r="K61" i="8" s="1"/>
  <c r="I66" i="8" a="1"/>
  <c r="I66" i="8" s="1"/>
  <c r="K66" i="8" s="1" a="1"/>
  <c r="K66" i="8" s="1"/>
  <c r="I71" i="8" a="1"/>
  <c r="I71" i="8" s="1"/>
  <c r="K71" i="8" s="1" a="1"/>
  <c r="K71" i="8" s="1"/>
  <c r="B119" i="8"/>
  <c r="C64" i="8" a="1"/>
  <c r="C64" i="8" s="1"/>
  <c r="C69" i="8" a="1"/>
  <c r="C69" i="8" s="1"/>
  <c r="D89" i="8" a="1"/>
  <c r="D89" i="8" s="1"/>
  <c r="E89" i="8" s="1"/>
  <c r="D93" i="8" a="1"/>
  <c r="D93" i="8" s="1"/>
  <c r="E93" i="8" s="1"/>
  <c r="D84" i="8" a="1"/>
  <c r="D84" i="8" s="1"/>
  <c r="E84" i="8" s="1"/>
  <c r="E41" i="8" a="1"/>
  <c r="E41" i="8" s="1"/>
  <c r="F41" i="8" s="1" a="1"/>
  <c r="F41" i="8" s="1"/>
  <c r="E45" i="8" a="1"/>
  <c r="E45" i="8" s="1"/>
  <c r="F45" i="8" s="1" a="1"/>
  <c r="F45" i="8" s="1"/>
  <c r="E49" i="8" a="1"/>
  <c r="E49" i="8" s="1"/>
  <c r="F49" i="8" s="1" a="1"/>
  <c r="F49" i="8" s="1"/>
  <c r="E53" i="8" a="1"/>
  <c r="E53" i="8" s="1"/>
  <c r="F53" i="8" s="1" a="1"/>
  <c r="F53" i="8" s="1"/>
  <c r="E53" i="5" a="1"/>
  <c r="E53" i="5" s="1"/>
  <c r="E54" i="5" a="1"/>
  <c r="E54" i="5" s="1"/>
  <c r="E37" i="5" a="1"/>
  <c r="E37" i="5" s="1"/>
  <c r="E50" i="5" a="1"/>
  <c r="E50" i="5" s="1"/>
  <c r="H50" i="5" s="1" a="1"/>
  <c r="H50" i="5" s="1"/>
  <c r="E52" i="5" a="1"/>
  <c r="E52" i="5" s="1"/>
  <c r="E38" i="5" a="1"/>
  <c r="E38" i="5" s="1"/>
  <c r="H38" i="5" s="1" a="1"/>
  <c r="H38" i="5" s="1"/>
  <c r="E39" i="5" a="1"/>
  <c r="E39" i="5" s="1"/>
  <c r="H39" i="5" s="1" a="1"/>
  <c r="H39" i="5" s="1"/>
  <c r="E40" i="5" a="1"/>
  <c r="E40" i="5" s="1"/>
  <c r="E44" i="5" a="1"/>
  <c r="E44" i="5" s="1"/>
  <c r="H44" i="5" s="1" a="1"/>
  <c r="H44" i="5" s="1"/>
  <c r="F112" i="5" s="1"/>
  <c r="E41" i="5" a="1"/>
  <c r="E41" i="5" s="1"/>
  <c r="E45" i="5" a="1"/>
  <c r="E45" i="5" s="1"/>
  <c r="H45" i="5" s="1" a="1"/>
  <c r="H45" i="5" s="1"/>
  <c r="E42" i="5" a="1"/>
  <c r="E42" i="5" s="1"/>
  <c r="E46" i="5" a="1"/>
  <c r="E46" i="5" s="1"/>
  <c r="G46" i="5" a="1"/>
  <c r="G46" i="5" s="1"/>
  <c r="E47" i="5" a="1"/>
  <c r="E47" i="5" s="1"/>
  <c r="E48" i="5" a="1"/>
  <c r="E48" i="5" s="1"/>
  <c r="C65" i="5" a="1"/>
  <c r="C65" i="5" s="1"/>
  <c r="F108" i="5" s="1"/>
  <c r="H108" i="5" s="1"/>
  <c r="F53" i="5" a="1"/>
  <c r="F53" i="5" s="1"/>
  <c r="G53" i="5" a="1"/>
  <c r="G53" i="5" s="1"/>
  <c r="F41" i="5" a="1"/>
  <c r="F41" i="5" s="1"/>
  <c r="F47" i="5" a="1"/>
  <c r="F47" i="5" s="1"/>
  <c r="G41" i="5" a="1"/>
  <c r="G41" i="5" s="1"/>
  <c r="G47" i="5" a="1"/>
  <c r="G47" i="5" s="1"/>
  <c r="F54" i="5" a="1"/>
  <c r="F54" i="5" s="1"/>
  <c r="F55" i="5" s="1"/>
  <c r="G54" i="5" a="1"/>
  <c r="G54" i="5" s="1"/>
  <c r="G55" i="5" s="1"/>
  <c r="C64" i="5" a="1"/>
  <c r="C64" i="5" s="1"/>
  <c r="D83" i="5" a="1"/>
  <c r="D83" i="5" s="1"/>
  <c r="E83" i="5" s="1"/>
  <c r="F38" i="5" a="1"/>
  <c r="F38" i="5" s="1"/>
  <c r="G38" i="5" a="1"/>
  <c r="G38" i="5" s="1"/>
  <c r="G49" i="5" a="1"/>
  <c r="G49" i="5" s="1"/>
  <c r="F44" i="5" a="1"/>
  <c r="F44" i="5" s="1"/>
  <c r="F50" i="5" a="1"/>
  <c r="F50" i="5" s="1"/>
  <c r="G44" i="5" a="1"/>
  <c r="G44" i="5" s="1"/>
  <c r="G50" i="5" a="1"/>
  <c r="G50" i="5" s="1"/>
  <c r="F39" i="5" a="1"/>
  <c r="F39" i="5" s="1"/>
  <c r="G39" i="5" a="1"/>
  <c r="G39" i="5" s="1"/>
  <c r="G51" i="5" a="1"/>
  <c r="G51" i="5" s="1"/>
  <c r="F45" i="5" a="1"/>
  <c r="F45" i="5" s="1"/>
  <c r="G45" i="5" a="1"/>
  <c r="G45" i="5" s="1"/>
  <c r="F40" i="5" a="1"/>
  <c r="F40" i="5" s="1"/>
  <c r="F52" i="5" a="1"/>
  <c r="F52" i="5" s="1"/>
  <c r="G40" i="5" a="1"/>
  <c r="G40" i="5" s="1"/>
  <c r="G52" i="5" a="1"/>
  <c r="G52" i="5" s="1"/>
  <c r="F46" i="5" a="1"/>
  <c r="F46" i="5" s="1"/>
  <c r="F37" i="5" a="1"/>
  <c r="F37" i="5" s="1"/>
  <c r="F42" i="5" a="1"/>
  <c r="F42" i="5" s="1"/>
  <c r="F48" i="5" a="1"/>
  <c r="F48" i="5" s="1"/>
  <c r="G37" i="5" a="1"/>
  <c r="G37" i="5" s="1"/>
  <c r="G48" i="5" a="1"/>
  <c r="G48" i="5" s="1"/>
  <c r="G42" i="5" a="1"/>
  <c r="G42" i="5" s="1"/>
  <c r="F49" i="5" a="1"/>
  <c r="F49" i="5" s="1"/>
  <c r="H49" i="5" s="1" a="1"/>
  <c r="H49" i="5" s="1"/>
  <c r="C69" i="5" a="1"/>
  <c r="C69" i="5" s="1"/>
  <c r="C75" i="5" a="1"/>
  <c r="C75" i="5" s="1"/>
  <c r="C58" i="5" a="1"/>
  <c r="C58" i="5" s="1"/>
  <c r="B108" i="5" s="1"/>
  <c r="D108" i="5" s="1"/>
  <c r="I75" i="5" a="1"/>
  <c r="I75" i="5" s="1"/>
  <c r="C70" i="5" a="1"/>
  <c r="C70" i="5" s="1"/>
  <c r="I70" i="5" a="1"/>
  <c r="I70" i="5" s="1"/>
  <c r="K70" i="5" s="1" a="1"/>
  <c r="K70" i="5" s="1"/>
  <c r="I72" i="5" a="1"/>
  <c r="I72" i="5" s="1"/>
  <c r="K72" i="5" s="1" a="1"/>
  <c r="K72" i="5" s="1"/>
  <c r="I64" i="5" a="1"/>
  <c r="I64" i="5" s="1"/>
  <c r="K64" i="5" s="1" a="1"/>
  <c r="K64" i="5" s="1"/>
  <c r="C60" i="5" a="1"/>
  <c r="C60" i="5" s="1"/>
  <c r="C72" i="5" a="1"/>
  <c r="C72" i="5" s="1"/>
  <c r="I60" i="5" a="1"/>
  <c r="I60" i="5" s="1"/>
  <c r="C67" i="5" a="1"/>
  <c r="C67" i="5" s="1"/>
  <c r="C73" i="5" a="1"/>
  <c r="C73" i="5" s="1"/>
  <c r="K60" i="5" a="1"/>
  <c r="K60" i="5" s="1"/>
  <c r="D84" i="5" a="1"/>
  <c r="D84" i="5" s="1"/>
  <c r="E84" i="5" s="1"/>
  <c r="D93" i="5" a="1"/>
  <c r="D93" i="5" s="1"/>
  <c r="E93" i="5" s="1"/>
  <c r="D91" i="5" a="1"/>
  <c r="D91" i="5" s="1"/>
  <c r="E91" i="5" s="1"/>
  <c r="D85" i="5" a="1"/>
  <c r="D85" i="5" s="1"/>
  <c r="E85" i="5" s="1"/>
  <c r="D96" i="5" a="1"/>
  <c r="D96" i="5" s="1"/>
  <c r="E96" i="5" s="1"/>
  <c r="D95" i="5" a="1"/>
  <c r="D95" i="5" s="1"/>
  <c r="E95" i="5" s="1"/>
  <c r="D94" i="5" a="1"/>
  <c r="D94" i="5" s="1"/>
  <c r="E94" i="5" s="1"/>
  <c r="D87" i="5" a="1"/>
  <c r="D87" i="5" s="1"/>
  <c r="D97" i="5" a="1"/>
  <c r="D97" i="5" s="1"/>
  <c r="D88" i="5" a="1"/>
  <c r="D88" i="5" s="1"/>
  <c r="E88" i="5" s="1"/>
  <c r="D82" i="5" a="1"/>
  <c r="D82" i="5" s="1"/>
  <c r="E82" i="5" s="1"/>
  <c r="D81" i="5" a="1"/>
  <c r="D81" i="5" s="1"/>
  <c r="E81" i="5" s="1"/>
  <c r="D92" i="5" a="1"/>
  <c r="D92" i="5" s="1"/>
  <c r="E92" i="5" s="1"/>
  <c r="D86" i="5" a="1"/>
  <c r="D86" i="5" s="1"/>
  <c r="E86" i="5" s="1"/>
  <c r="D90" i="5" a="1"/>
  <c r="D90" i="5" s="1"/>
  <c r="E90" i="5" s="1"/>
  <c r="I59" i="5" a="1"/>
  <c r="I59" i="5" s="1"/>
  <c r="K59" i="5" s="1" a="1"/>
  <c r="K59" i="5" s="1"/>
  <c r="C68" i="5" a="1"/>
  <c r="C68" i="5" s="1"/>
  <c r="I62" i="5" a="1"/>
  <c r="I62" i="5" s="1"/>
  <c r="K62" i="5" s="1" a="1"/>
  <c r="K62" i="5" s="1"/>
  <c r="I71" i="5" a="1"/>
  <c r="I71" i="5" s="1"/>
  <c r="K71" i="5" s="1" a="1"/>
  <c r="K71" i="5" s="1"/>
  <c r="I74" i="5" a="1"/>
  <c r="I74" i="5" s="1"/>
  <c r="K74" i="5" s="1" a="1"/>
  <c r="K74" i="5" s="1"/>
  <c r="C74" i="5" a="1"/>
  <c r="C74" i="5" s="1"/>
  <c r="C59" i="5" a="1"/>
  <c r="C59" i="5" s="1"/>
  <c r="C61" i="5" a="1"/>
  <c r="C61" i="5" s="1"/>
  <c r="C63" i="5" a="1"/>
  <c r="C63" i="5" s="1"/>
  <c r="C71" i="5" a="1"/>
  <c r="C71" i="5" s="1"/>
  <c r="C66" i="5" a="1"/>
  <c r="C66" i="5" s="1"/>
  <c r="I63" i="5" a="1"/>
  <c r="I63" i="5" s="1"/>
  <c r="K63" i="5" s="1" a="1"/>
  <c r="K63" i="5" s="1"/>
  <c r="I65" i="5" a="1"/>
  <c r="I65" i="5" s="1"/>
  <c r="K65" i="5" s="1" a="1"/>
  <c r="K65" i="5" s="1"/>
  <c r="F114" i="5" s="1"/>
  <c r="H114" i="5" s="1"/>
  <c r="I67" i="5" a="1"/>
  <c r="I67" i="5" s="1"/>
  <c r="K67" i="5" s="1" a="1"/>
  <c r="K67" i="5" s="1"/>
  <c r="I69" i="5" a="1"/>
  <c r="I69" i="5" s="1"/>
  <c r="K69" i="5" s="1" a="1"/>
  <c r="K69" i="5" s="1"/>
  <c r="I66" i="5" a="1"/>
  <c r="I66" i="5" s="1"/>
  <c r="K66" i="5" s="1" a="1"/>
  <c r="K66" i="5" s="1"/>
  <c r="I61" i="5" a="1"/>
  <c r="I61" i="5" s="1"/>
  <c r="K61" i="5" s="1" a="1"/>
  <c r="K61" i="5" s="1"/>
  <c r="I58" i="5" a="1"/>
  <c r="I58" i="5" s="1"/>
  <c r="K58" i="5" s="1" a="1"/>
  <c r="K58" i="5" s="1"/>
  <c r="B114" i="5" s="1"/>
  <c r="D114" i="5" s="1"/>
  <c r="I73" i="5" a="1"/>
  <c r="I73" i="5" s="1"/>
  <c r="K73" i="5" s="1" a="1"/>
  <c r="K73" i="5" s="1"/>
  <c r="C62" i="5" a="1"/>
  <c r="C62" i="5" s="1"/>
  <c r="K68" i="5" a="1"/>
  <c r="K68" i="5" s="1"/>
  <c r="D80" i="5" a="1"/>
  <c r="D80" i="5" s="1"/>
  <c r="B118" i="5" s="1"/>
  <c r="E43" i="5" a="1"/>
  <c r="E43" i="5" s="1"/>
  <c r="E51" i="5" a="1"/>
  <c r="E51" i="5" s="1"/>
  <c r="H51" i="5" s="1" a="1"/>
  <c r="H51" i="5" s="1"/>
  <c r="D89" i="5" a="1"/>
  <c r="D89" i="5" s="1"/>
  <c r="E89" i="5" s="1"/>
  <c r="F43" i="5" a="1"/>
  <c r="F43" i="5" s="1"/>
  <c r="E15" i="5" l="1"/>
  <c r="B106" i="5" s="1"/>
  <c r="E31" i="5"/>
  <c r="D74" i="5" s="1"/>
  <c r="H47" i="5" a="1"/>
  <c r="H47" i="5" s="1"/>
  <c r="E32" i="5"/>
  <c r="B33" i="5"/>
  <c r="D33" i="5"/>
  <c r="E24" i="5"/>
  <c r="D67" i="5" s="1"/>
  <c r="E21" i="5"/>
  <c r="D64" i="5" s="1"/>
  <c r="H112" i="5"/>
  <c r="F116" i="5"/>
  <c r="H116" i="5" s="1"/>
  <c r="E29" i="5"/>
  <c r="D72" i="5" s="1"/>
  <c r="E26" i="5"/>
  <c r="D69" i="5" s="1"/>
  <c r="H41" i="5" a="1"/>
  <c r="H41" i="5" s="1"/>
  <c r="E16" i="5"/>
  <c r="D59" i="5" s="1"/>
  <c r="H53" i="5" a="1"/>
  <c r="H53" i="5" s="1"/>
  <c r="E23" i="5"/>
  <c r="D66" i="5" s="1"/>
  <c r="E25" i="5"/>
  <c r="D68" i="5" s="1"/>
  <c r="E19" i="5"/>
  <c r="D62" i="5" s="1"/>
  <c r="E18" i="5"/>
  <c r="D61" i="5" s="1"/>
  <c r="E17" i="5"/>
  <c r="D60" i="5" s="1"/>
  <c r="E30" i="5"/>
  <c r="D73" i="5" s="1"/>
  <c r="B110" i="5"/>
  <c r="D110" i="5" s="1"/>
  <c r="D106" i="5"/>
  <c r="E22" i="5"/>
  <c r="E20" i="5"/>
  <c r="D63" i="5" s="1"/>
  <c r="B122" i="5"/>
  <c r="D122" i="5" s="1"/>
  <c r="D118" i="5"/>
  <c r="B110" i="8"/>
  <c r="D110" i="8" s="1"/>
  <c r="D106" i="8"/>
  <c r="E97" i="8"/>
  <c r="D98" i="8"/>
  <c r="K75" i="8" a="1"/>
  <c r="K75" i="8" s="1"/>
  <c r="I76" i="8"/>
  <c r="E55" i="8"/>
  <c r="F54" i="8" a="1"/>
  <c r="F54" i="8" s="1"/>
  <c r="E97" i="5"/>
  <c r="D98" i="5"/>
  <c r="E87" i="5"/>
  <c r="F118" i="5"/>
  <c r="K75" i="5" a="1"/>
  <c r="K75" i="5" s="1"/>
  <c r="K76" i="5" s="1"/>
  <c r="I76" i="5"/>
  <c r="C76" i="5"/>
  <c r="H48" i="5" a="1"/>
  <c r="H48" i="5" s="1"/>
  <c r="H43" i="5" a="1"/>
  <c r="H43" i="5" s="1"/>
  <c r="H46" i="5" a="1"/>
  <c r="H46" i="5" s="1"/>
  <c r="H42" i="5" a="1"/>
  <c r="H42" i="5" s="1"/>
  <c r="H40" i="5" a="1"/>
  <c r="H40" i="5" s="1"/>
  <c r="H52" i="5" a="1"/>
  <c r="H52" i="5" s="1"/>
  <c r="H37" i="5" a="1"/>
  <c r="H37" i="5" s="1"/>
  <c r="B112" i="5" s="1"/>
  <c r="E55" i="5"/>
  <c r="H54" i="5" a="1"/>
  <c r="H54" i="5" s="1"/>
  <c r="H55" i="5" s="1"/>
  <c r="B108" i="8"/>
  <c r="E80" i="5"/>
  <c r="D112" i="5" l="1"/>
  <c r="B116" i="5"/>
  <c r="D116" i="5" s="1"/>
  <c r="F106" i="5"/>
  <c r="D65" i="5"/>
  <c r="F122" i="5"/>
  <c r="H122" i="5" s="1"/>
  <c r="H118" i="5"/>
  <c r="E98" i="5"/>
  <c r="E33" i="5"/>
  <c r="D75" i="5"/>
  <c r="E35" i="3"/>
  <c r="H106" i="5" l="1"/>
  <c r="F110" i="5"/>
  <c r="H110" i="5" s="1"/>
  <c r="E46" i="3" a="1"/>
  <c r="E46" i="3" s="1"/>
  <c r="E47" i="3" a="1"/>
  <c r="E47" i="3" s="1"/>
  <c r="E39" i="3" a="1"/>
  <c r="E39" i="3" s="1"/>
  <c r="E40" i="3" a="1"/>
  <c r="E40" i="3" s="1"/>
  <c r="E50" i="3" a="1"/>
  <c r="E5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8" i="3" a="1"/>
  <c r="E48" i="3" s="1"/>
  <c r="E49" i="3" a="1"/>
  <c r="E49" i="3" s="1"/>
  <c r="E37" i="3" a="1"/>
  <c r="E37" i="3" s="1"/>
  <c r="E38" i="3" a="1"/>
  <c r="E38" i="3" s="1"/>
  <c r="E51" i="3" a="1"/>
  <c r="E51" i="3" s="1"/>
  <c r="E53" i="3" a="1"/>
  <c r="E53" i="3" s="1"/>
  <c r="E52" i="3" a="1"/>
  <c r="E52" i="3" s="1"/>
  <c r="E54" i="3" a="1"/>
  <c r="E54" i="3" s="1"/>
  <c r="C97" i="4" a="1"/>
  <c r="C97" i="4" s="1"/>
  <c r="B97" i="4" a="1"/>
  <c r="B97" i="4" s="1"/>
  <c r="C96" i="4" a="1"/>
  <c r="C96" i="4" s="1"/>
  <c r="B96" i="4" a="1"/>
  <c r="B96" i="4" s="1"/>
  <c r="C95" i="4" a="1"/>
  <c r="C95" i="4" s="1"/>
  <c r="B95" i="4" a="1"/>
  <c r="B95" i="4" s="1"/>
  <c r="C94" i="4" a="1"/>
  <c r="C94" i="4" s="1"/>
  <c r="B94" i="4" a="1"/>
  <c r="B94" i="4" s="1"/>
  <c r="C93" i="4" a="1"/>
  <c r="C93" i="4" s="1"/>
  <c r="B93" i="4" a="1"/>
  <c r="B93" i="4" s="1"/>
  <c r="C92" i="4" a="1"/>
  <c r="C92" i="4" s="1"/>
  <c r="B92" i="4" a="1"/>
  <c r="B92" i="4" s="1"/>
  <c r="C91" i="4" a="1"/>
  <c r="C91" i="4" s="1"/>
  <c r="B91" i="4" a="1"/>
  <c r="B91" i="4" s="1"/>
  <c r="C90" i="4" a="1"/>
  <c r="C90" i="4" s="1"/>
  <c r="B90" i="4" a="1"/>
  <c r="B90" i="4" s="1"/>
  <c r="C89" i="4" a="1"/>
  <c r="C89" i="4" s="1"/>
  <c r="B89" i="4" a="1"/>
  <c r="B89" i="4" s="1"/>
  <c r="C88" i="4" a="1"/>
  <c r="C88" i="4" s="1"/>
  <c r="B88" i="4" a="1"/>
  <c r="B88" i="4" s="1"/>
  <c r="C87" i="4" a="1"/>
  <c r="C87" i="4" s="1"/>
  <c r="F120" i="4" s="1"/>
  <c r="H120" i="4" s="1"/>
  <c r="B87" i="4" a="1"/>
  <c r="B87" i="4" s="1"/>
  <c r="F119" i="4" s="1"/>
  <c r="H119" i="4" s="1"/>
  <c r="C86" i="4" a="1"/>
  <c r="C86" i="4" s="1"/>
  <c r="B86" i="4" a="1"/>
  <c r="B86" i="4" s="1"/>
  <c r="C85" i="4" a="1"/>
  <c r="C85" i="4" s="1"/>
  <c r="B85" i="4" a="1"/>
  <c r="B85" i="4" s="1"/>
  <c r="C84" i="4" a="1"/>
  <c r="C84" i="4" s="1"/>
  <c r="B84" i="4" a="1"/>
  <c r="B84" i="4" s="1"/>
  <c r="C83" i="4" a="1"/>
  <c r="C83" i="4" s="1"/>
  <c r="B83" i="4" a="1"/>
  <c r="B83" i="4" s="1"/>
  <c r="C82" i="4" a="1"/>
  <c r="C82" i="4" s="1"/>
  <c r="B82" i="4" a="1"/>
  <c r="B82" i="4" s="1"/>
  <c r="C81" i="4" a="1"/>
  <c r="C81" i="4" s="1"/>
  <c r="B81" i="4" a="1"/>
  <c r="B81" i="4" s="1"/>
  <c r="C80" i="4" a="1"/>
  <c r="C80" i="4" s="1"/>
  <c r="B120" i="4" s="1"/>
  <c r="D120" i="4" s="1"/>
  <c r="B80" i="4" a="1"/>
  <c r="B80" i="4" s="1"/>
  <c r="N75" i="4" a="1"/>
  <c r="N75" i="4" s="1"/>
  <c r="J75" i="4" a="1"/>
  <c r="J75" i="4" s="1"/>
  <c r="B75" i="4" a="1"/>
  <c r="B75" i="4" s="1"/>
  <c r="N74" i="4" a="1"/>
  <c r="N74" i="4" s="1"/>
  <c r="J74" i="4" a="1"/>
  <c r="J74" i="4" s="1"/>
  <c r="B74" i="4" a="1"/>
  <c r="B74" i="4" s="1"/>
  <c r="N73" i="4" a="1"/>
  <c r="N73" i="4" s="1"/>
  <c r="J73" i="4" a="1"/>
  <c r="J73" i="4" s="1"/>
  <c r="B73" i="4" a="1"/>
  <c r="B73" i="4" s="1"/>
  <c r="N72" i="4" a="1"/>
  <c r="N72" i="4" s="1"/>
  <c r="J72" i="4" a="1"/>
  <c r="J72" i="4" s="1"/>
  <c r="B72" i="4" a="1"/>
  <c r="B72" i="4" s="1"/>
  <c r="N71" i="4" a="1"/>
  <c r="N71" i="4" s="1"/>
  <c r="J71" i="4" a="1"/>
  <c r="J71" i="4" s="1"/>
  <c r="B71" i="4" a="1"/>
  <c r="B71" i="4" s="1"/>
  <c r="N70" i="4" a="1"/>
  <c r="N70" i="4" s="1"/>
  <c r="J70" i="4" a="1"/>
  <c r="J70" i="4" s="1"/>
  <c r="B70" i="4" a="1"/>
  <c r="B70" i="4" s="1"/>
  <c r="N69" i="4" a="1"/>
  <c r="N69" i="4" s="1"/>
  <c r="J69" i="4" a="1"/>
  <c r="J69" i="4" s="1"/>
  <c r="B69" i="4" a="1"/>
  <c r="B69" i="4" s="1"/>
  <c r="N68" i="4" a="1"/>
  <c r="N68" i="4" s="1"/>
  <c r="J68" i="4" a="1"/>
  <c r="J68" i="4" s="1"/>
  <c r="B68" i="4" a="1"/>
  <c r="B68" i="4" s="1"/>
  <c r="N67" i="4" a="1"/>
  <c r="N67" i="4" s="1"/>
  <c r="J67" i="4" a="1"/>
  <c r="J67" i="4" s="1"/>
  <c r="B67" i="4" a="1"/>
  <c r="B67" i="4" s="1"/>
  <c r="N66" i="4" a="1"/>
  <c r="N66" i="4" s="1"/>
  <c r="J66" i="4" a="1"/>
  <c r="J66" i="4" s="1"/>
  <c r="B66" i="4" a="1"/>
  <c r="B66" i="4" s="1"/>
  <c r="N65" i="4" a="1"/>
  <c r="N65" i="4" s="1"/>
  <c r="F113" i="4" s="1"/>
  <c r="H113" i="4" s="1"/>
  <c r="J65" i="4" a="1"/>
  <c r="J65" i="4" s="1"/>
  <c r="B65" i="4" a="1"/>
  <c r="B65" i="4" s="1"/>
  <c r="N64" i="4" a="1"/>
  <c r="N64" i="4" s="1"/>
  <c r="J64" i="4" a="1"/>
  <c r="J64" i="4" s="1"/>
  <c r="B64" i="4" a="1"/>
  <c r="B64" i="4" s="1"/>
  <c r="N63" i="4" a="1"/>
  <c r="N63" i="4" s="1"/>
  <c r="J63" i="4" a="1"/>
  <c r="J63" i="4" s="1"/>
  <c r="B63" i="4" a="1"/>
  <c r="B63" i="4" s="1"/>
  <c r="N62" i="4" a="1"/>
  <c r="N62" i="4" s="1"/>
  <c r="J62" i="4" a="1"/>
  <c r="J62" i="4" s="1"/>
  <c r="B62" i="4" a="1"/>
  <c r="B62" i="4" s="1"/>
  <c r="N61" i="4" a="1"/>
  <c r="N61" i="4" s="1"/>
  <c r="J61" i="4" a="1"/>
  <c r="J61" i="4" s="1"/>
  <c r="B61" i="4" a="1"/>
  <c r="B61" i="4" s="1"/>
  <c r="N60" i="4" a="1"/>
  <c r="N60" i="4" s="1"/>
  <c r="J60" i="4" a="1"/>
  <c r="J60" i="4" s="1"/>
  <c r="B60" i="4" a="1"/>
  <c r="B60" i="4" s="1"/>
  <c r="N59" i="4" a="1"/>
  <c r="N59" i="4" s="1"/>
  <c r="J59" i="4" a="1"/>
  <c r="J59" i="4" s="1"/>
  <c r="B59" i="4" a="1"/>
  <c r="B59" i="4" s="1"/>
  <c r="N58" i="4" a="1"/>
  <c r="N58" i="4" s="1"/>
  <c r="J58" i="4" a="1"/>
  <c r="J58" i="4" s="1"/>
  <c r="B58" i="4" a="1"/>
  <c r="B58" i="4" s="1"/>
  <c r="G35" i="4"/>
  <c r="F35" i="4"/>
  <c r="E35" i="4"/>
  <c r="D13" i="4" a="1"/>
  <c r="D13" i="4" s="1"/>
  <c r="C13" i="4" a="1"/>
  <c r="C13" i="4" s="1"/>
  <c r="B13" i="4" a="1"/>
  <c r="B13" i="4" s="1"/>
  <c r="B2" i="4"/>
  <c r="I59" i="4" s="1" a="1"/>
  <c r="I59" i="4" s="1"/>
  <c r="A2" i="4"/>
  <c r="C97" i="3" a="1"/>
  <c r="C97" i="3" s="1"/>
  <c r="B97" i="3" a="1"/>
  <c r="B97" i="3" s="1"/>
  <c r="C96" i="3" a="1"/>
  <c r="C96" i="3" s="1"/>
  <c r="B96" i="3" a="1"/>
  <c r="B96" i="3" s="1"/>
  <c r="C95" i="3" a="1"/>
  <c r="C95" i="3" s="1"/>
  <c r="B95" i="3" a="1"/>
  <c r="B95" i="3" s="1"/>
  <c r="C94" i="3" a="1"/>
  <c r="C94" i="3" s="1"/>
  <c r="B94" i="3" a="1"/>
  <c r="B94" i="3" s="1"/>
  <c r="C93" i="3" a="1"/>
  <c r="C93" i="3" s="1"/>
  <c r="B93" i="3" a="1"/>
  <c r="B93" i="3" s="1"/>
  <c r="C92" i="3" a="1"/>
  <c r="C92" i="3" s="1"/>
  <c r="B92" i="3" a="1"/>
  <c r="B92" i="3" s="1"/>
  <c r="C91" i="3" a="1"/>
  <c r="C91" i="3" s="1"/>
  <c r="B91" i="3" a="1"/>
  <c r="B91" i="3" s="1"/>
  <c r="C90" i="3" a="1"/>
  <c r="C90" i="3" s="1"/>
  <c r="B90" i="3" a="1"/>
  <c r="B90" i="3" s="1"/>
  <c r="C89" i="3" a="1"/>
  <c r="C89" i="3" s="1"/>
  <c r="B89" i="3" a="1"/>
  <c r="B89" i="3" s="1"/>
  <c r="C88" i="3" a="1"/>
  <c r="C88" i="3" s="1"/>
  <c r="B88" i="3" a="1"/>
  <c r="B88" i="3" s="1"/>
  <c r="C87" i="3" a="1"/>
  <c r="C87" i="3" s="1"/>
  <c r="E120" i="3" s="1"/>
  <c r="G120" i="3" s="1"/>
  <c r="B87" i="3" a="1"/>
  <c r="B87" i="3" s="1"/>
  <c r="E119" i="3" s="1"/>
  <c r="G119" i="3" s="1"/>
  <c r="C86" i="3" a="1"/>
  <c r="C86" i="3" s="1"/>
  <c r="B86" i="3" a="1"/>
  <c r="B86" i="3" s="1"/>
  <c r="C85" i="3" a="1"/>
  <c r="C85" i="3" s="1"/>
  <c r="B85" i="3" a="1"/>
  <c r="B85" i="3" s="1"/>
  <c r="C84" i="3" a="1"/>
  <c r="C84" i="3" s="1"/>
  <c r="B84" i="3" a="1"/>
  <c r="B84" i="3" s="1"/>
  <c r="C83" i="3" a="1"/>
  <c r="C83" i="3" s="1"/>
  <c r="B83" i="3" a="1"/>
  <c r="B83" i="3" s="1"/>
  <c r="C82" i="3" a="1"/>
  <c r="C82" i="3" s="1"/>
  <c r="B82" i="3" a="1"/>
  <c r="B82" i="3" s="1"/>
  <c r="C81" i="3" a="1"/>
  <c r="C81" i="3" s="1"/>
  <c r="B81" i="3" a="1"/>
  <c r="B81" i="3" s="1"/>
  <c r="C80" i="3" a="1"/>
  <c r="C80" i="3" s="1"/>
  <c r="B120" i="3" s="1"/>
  <c r="D120" i="3" s="1"/>
  <c r="B80" i="3" a="1"/>
  <c r="B80" i="3" s="1"/>
  <c r="B119" i="3" s="1"/>
  <c r="D119" i="3" s="1"/>
  <c r="N75" i="3" a="1"/>
  <c r="N75" i="3" s="1"/>
  <c r="J75" i="3" a="1"/>
  <c r="J75" i="3" s="1"/>
  <c r="B75" i="3" a="1"/>
  <c r="B75" i="3" s="1"/>
  <c r="N74" i="3" a="1"/>
  <c r="N74" i="3" s="1"/>
  <c r="J74" i="3" a="1"/>
  <c r="J74" i="3" s="1"/>
  <c r="B74" i="3" a="1"/>
  <c r="B74" i="3" s="1"/>
  <c r="N73" i="3" a="1"/>
  <c r="N73" i="3" s="1"/>
  <c r="J73" i="3" a="1"/>
  <c r="J73" i="3" s="1"/>
  <c r="B73" i="3" a="1"/>
  <c r="B73" i="3" s="1"/>
  <c r="N72" i="3" a="1"/>
  <c r="N72" i="3" s="1"/>
  <c r="J72" i="3" a="1"/>
  <c r="J72" i="3" s="1"/>
  <c r="B72" i="3" a="1"/>
  <c r="B72" i="3" s="1"/>
  <c r="N71" i="3" a="1"/>
  <c r="N71" i="3" s="1"/>
  <c r="J71" i="3" a="1"/>
  <c r="J71" i="3" s="1"/>
  <c r="B71" i="3" a="1"/>
  <c r="B71" i="3" s="1"/>
  <c r="N70" i="3" a="1"/>
  <c r="N70" i="3" s="1"/>
  <c r="J70" i="3" a="1"/>
  <c r="J70" i="3" s="1"/>
  <c r="B70" i="3" a="1"/>
  <c r="B70" i="3" s="1"/>
  <c r="N69" i="3" a="1"/>
  <c r="N69" i="3" s="1"/>
  <c r="J69" i="3" a="1"/>
  <c r="J69" i="3" s="1"/>
  <c r="B69" i="3" a="1"/>
  <c r="B69" i="3" s="1"/>
  <c r="N68" i="3" a="1"/>
  <c r="N68" i="3" s="1"/>
  <c r="J68" i="3" a="1"/>
  <c r="J68" i="3" s="1"/>
  <c r="B68" i="3" a="1"/>
  <c r="B68" i="3" s="1"/>
  <c r="N67" i="3" a="1"/>
  <c r="N67" i="3" s="1"/>
  <c r="J67" i="3" a="1"/>
  <c r="J67" i="3" s="1"/>
  <c r="B67" i="3" a="1"/>
  <c r="B67" i="3" s="1"/>
  <c r="N66" i="3" a="1"/>
  <c r="N66" i="3" s="1"/>
  <c r="J66" i="3" a="1"/>
  <c r="J66" i="3" s="1"/>
  <c r="B66" i="3" a="1"/>
  <c r="B66" i="3" s="1"/>
  <c r="N65" i="3" a="1"/>
  <c r="N65" i="3" s="1"/>
  <c r="E113" i="3" s="1"/>
  <c r="G113" i="3" s="1"/>
  <c r="J65" i="3" a="1"/>
  <c r="J65" i="3" s="1"/>
  <c r="B65" i="3" a="1"/>
  <c r="B65" i="3" s="1"/>
  <c r="N64" i="3" a="1"/>
  <c r="N64" i="3" s="1"/>
  <c r="J64" i="3" a="1"/>
  <c r="J64" i="3" s="1"/>
  <c r="B64" i="3" a="1"/>
  <c r="B64" i="3" s="1"/>
  <c r="N63" i="3" a="1"/>
  <c r="N63" i="3" s="1"/>
  <c r="J63" i="3" a="1"/>
  <c r="J63" i="3" s="1"/>
  <c r="B63" i="3" a="1"/>
  <c r="B63" i="3" s="1"/>
  <c r="N62" i="3" a="1"/>
  <c r="N62" i="3" s="1"/>
  <c r="J62" i="3" a="1"/>
  <c r="J62" i="3" s="1"/>
  <c r="B62" i="3" a="1"/>
  <c r="B62" i="3" s="1"/>
  <c r="N61" i="3" a="1"/>
  <c r="N61" i="3" s="1"/>
  <c r="J61" i="3" a="1"/>
  <c r="J61" i="3" s="1"/>
  <c r="B61" i="3" a="1"/>
  <c r="B61" i="3" s="1"/>
  <c r="N60" i="3" a="1"/>
  <c r="N60" i="3" s="1"/>
  <c r="J60" i="3" a="1"/>
  <c r="J60" i="3" s="1"/>
  <c r="B60" i="3" a="1"/>
  <c r="B60" i="3" s="1"/>
  <c r="N59" i="3" a="1"/>
  <c r="N59" i="3" s="1"/>
  <c r="J59" i="3" a="1"/>
  <c r="J59" i="3" s="1"/>
  <c r="B59" i="3" a="1"/>
  <c r="B59" i="3" s="1"/>
  <c r="N58" i="3" a="1"/>
  <c r="N58" i="3" s="1"/>
  <c r="B113" i="3" s="1"/>
  <c r="D113" i="3" s="1"/>
  <c r="J58" i="3" a="1"/>
  <c r="J58" i="3" s="1"/>
  <c r="B58" i="3" a="1"/>
  <c r="B58" i="3" s="1"/>
  <c r="M35" i="3"/>
  <c r="L35" i="3"/>
  <c r="K35" i="3"/>
  <c r="J35" i="3"/>
  <c r="I35" i="3"/>
  <c r="H35" i="3"/>
  <c r="G35" i="3"/>
  <c r="F35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B2" i="3"/>
  <c r="I60" i="3" s="1" a="1"/>
  <c r="I60" i="3" s="1"/>
  <c r="A2" i="3"/>
  <c r="B107" i="1"/>
  <c r="D107" i="1" s="1"/>
  <c r="E35" i="1"/>
  <c r="N58" i="1" a="1"/>
  <c r="N58" i="1" s="1"/>
  <c r="B113" i="1" s="1"/>
  <c r="D113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F113" i="1" s="1"/>
  <c r="H113" i="1" s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 s="1"/>
  <c r="R35" i="1"/>
  <c r="Q35" i="1"/>
  <c r="P35" i="1"/>
  <c r="O35" i="1"/>
  <c r="N35" i="1"/>
  <c r="M35" i="1"/>
  <c r="V35" i="1"/>
  <c r="U35" i="1"/>
  <c r="T35" i="1"/>
  <c r="S35" i="1"/>
  <c r="K35" i="1"/>
  <c r="J30" i="4" l="1" a="1"/>
  <c r="J30" i="4" s="1"/>
  <c r="J19" i="4" a="1"/>
  <c r="J19" i="4" s="1"/>
  <c r="J29" i="4" a="1"/>
  <c r="J29" i="4" s="1"/>
  <c r="J18" i="4" a="1"/>
  <c r="J18" i="4" s="1"/>
  <c r="J28" i="4" a="1"/>
  <c r="J28" i="4" s="1"/>
  <c r="J17" i="4" a="1"/>
  <c r="J17" i="4" s="1"/>
  <c r="J27" i="4" a="1"/>
  <c r="J27" i="4" s="1"/>
  <c r="J16" i="4" a="1"/>
  <c r="J16" i="4" s="1"/>
  <c r="J26" i="4" a="1"/>
  <c r="J26" i="4" s="1"/>
  <c r="J15" i="4" a="1"/>
  <c r="J15" i="4" s="1"/>
  <c r="J25" i="4" a="1"/>
  <c r="J25" i="4" s="1"/>
  <c r="J24" i="4" a="1"/>
  <c r="J24" i="4" s="1"/>
  <c r="J23" i="4" a="1"/>
  <c r="J23" i="4" s="1"/>
  <c r="J22" i="4" a="1"/>
  <c r="J22" i="4" s="1"/>
  <c r="J32" i="4" a="1"/>
  <c r="J32" i="4" s="1"/>
  <c r="J33" i="4" s="1"/>
  <c r="J21" i="4" a="1"/>
  <c r="J21" i="4" s="1"/>
  <c r="J31" i="4" a="1"/>
  <c r="J31" i="4" s="1"/>
  <c r="J20" i="4" a="1"/>
  <c r="J20" i="4" s="1"/>
  <c r="H31" i="4" a="1"/>
  <c r="H31" i="4" s="1"/>
  <c r="H20" i="4" a="1"/>
  <c r="H20" i="4" s="1"/>
  <c r="H30" i="4" a="1"/>
  <c r="H30" i="4" s="1"/>
  <c r="H19" i="4" a="1"/>
  <c r="H19" i="4" s="1"/>
  <c r="H29" i="4" a="1"/>
  <c r="H29" i="4" s="1"/>
  <c r="H18" i="4" a="1"/>
  <c r="H18" i="4" s="1"/>
  <c r="H28" i="4" a="1"/>
  <c r="H28" i="4" s="1"/>
  <c r="H17" i="4" a="1"/>
  <c r="H17" i="4" s="1"/>
  <c r="H27" i="4" a="1"/>
  <c r="H27" i="4" s="1"/>
  <c r="H16" i="4" a="1"/>
  <c r="H16" i="4" s="1"/>
  <c r="H26" i="4" a="1"/>
  <c r="H26" i="4" s="1"/>
  <c r="H15" i="4" a="1"/>
  <c r="H15" i="4" s="1"/>
  <c r="H25" i="4" a="1"/>
  <c r="H25" i="4" s="1"/>
  <c r="H24" i="4" a="1"/>
  <c r="H24" i="4" s="1"/>
  <c r="H23" i="4" a="1"/>
  <c r="H23" i="4" s="1"/>
  <c r="H22" i="4" a="1"/>
  <c r="H22" i="4" s="1"/>
  <c r="H32" i="4" a="1"/>
  <c r="H32" i="4" s="1"/>
  <c r="H21" i="4" a="1"/>
  <c r="H21" i="4" s="1"/>
  <c r="I20" i="4" a="1"/>
  <c r="I20" i="4" s="1"/>
  <c r="I30" i="4" a="1"/>
  <c r="I30" i="4" s="1"/>
  <c r="I19" i="4" a="1"/>
  <c r="I19" i="4" s="1"/>
  <c r="I29" i="4" a="1"/>
  <c r="I29" i="4" s="1"/>
  <c r="I18" i="4" a="1"/>
  <c r="I18" i="4" s="1"/>
  <c r="I28" i="4" a="1"/>
  <c r="I28" i="4" s="1"/>
  <c r="I17" i="4" a="1"/>
  <c r="I17" i="4" s="1"/>
  <c r="I27" i="4" a="1"/>
  <c r="I27" i="4" s="1"/>
  <c r="I16" i="4" a="1"/>
  <c r="I16" i="4" s="1"/>
  <c r="I26" i="4" a="1"/>
  <c r="I26" i="4" s="1"/>
  <c r="I15" i="4" a="1"/>
  <c r="I15" i="4" s="1"/>
  <c r="I25" i="4" a="1"/>
  <c r="I25" i="4" s="1"/>
  <c r="I24" i="4" a="1"/>
  <c r="I24" i="4" s="1"/>
  <c r="I23" i="4" a="1"/>
  <c r="I23" i="4" s="1"/>
  <c r="I22" i="4" a="1"/>
  <c r="I22" i="4" s="1"/>
  <c r="I32" i="4" a="1"/>
  <c r="I32" i="4" s="1"/>
  <c r="I21" i="4" a="1"/>
  <c r="I21" i="4" s="1"/>
  <c r="I31" i="4" a="1"/>
  <c r="I31" i="4" s="1"/>
  <c r="K44" i="1" a="1"/>
  <c r="K44" i="1" s="1"/>
  <c r="K45" i="1" a="1"/>
  <c r="K45" i="1" s="1"/>
  <c r="K40" i="1" a="1"/>
  <c r="K40" i="1" s="1"/>
  <c r="K41" i="1" a="1"/>
  <c r="K41" i="1" s="1"/>
  <c r="K42" i="1" a="1"/>
  <c r="K42" i="1" s="1"/>
  <c r="K37" i="1" a="1"/>
  <c r="K37" i="1" s="1"/>
  <c r="K38" i="1" a="1"/>
  <c r="K38" i="1" s="1"/>
  <c r="K39" i="1" a="1"/>
  <c r="K39" i="1" s="1"/>
  <c r="K43" i="1" a="1"/>
  <c r="K43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s="1"/>
  <c r="T43" i="1" a="1"/>
  <c r="T43" i="1" s="1"/>
  <c r="T44" i="1" a="1"/>
  <c r="T44" i="1" s="1"/>
  <c r="T46" i="1" a="1"/>
  <c r="T46" i="1" s="1"/>
  <c r="T47" i="1" a="1"/>
  <c r="T47" i="1" s="1"/>
  <c r="T51" i="1" a="1"/>
  <c r="T51" i="1" s="1"/>
  <c r="T52" i="1" a="1"/>
  <c r="T52" i="1" s="1"/>
  <c r="T53" i="1" a="1"/>
  <c r="T53" i="1" s="1"/>
  <c r="T54" i="1" a="1"/>
  <c r="T54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5" i="1" a="1"/>
  <c r="T45" i="1" s="1"/>
  <c r="T48" i="1" a="1"/>
  <c r="T48" i="1" s="1"/>
  <c r="T49" i="1" a="1"/>
  <c r="T49" i="1" s="1"/>
  <c r="T50" i="1" a="1"/>
  <c r="T50" i="1" s="1"/>
  <c r="N38" i="1" a="1"/>
  <c r="N38" i="1" s="1"/>
  <c r="N54" i="1" a="1"/>
  <c r="N54" i="1" s="1"/>
  <c r="O53" i="1" a="1"/>
  <c r="O53" i="1" s="1"/>
  <c r="N39" i="1" a="1"/>
  <c r="N39" i="1" s="1"/>
  <c r="O37" i="1" a="1"/>
  <c r="O37" i="1" s="1"/>
  <c r="O54" i="1" a="1"/>
  <c r="O54" i="1" s="1"/>
  <c r="O55" i="1" s="1"/>
  <c r="N43" i="1" a="1"/>
  <c r="N43" i="1" s="1"/>
  <c r="O43" i="1" a="1"/>
  <c r="O43" i="1" s="1"/>
  <c r="N44" i="1" a="1"/>
  <c r="N44" i="1" s="1"/>
  <c r="O44" i="1" a="1"/>
  <c r="O44" i="1" s="1"/>
  <c r="N45" i="1" a="1"/>
  <c r="N45" i="1" s="1"/>
  <c r="O45" i="1" a="1"/>
  <c r="O45" i="1" s="1"/>
  <c r="N50" i="1" a="1"/>
  <c r="N50" i="1" s="1"/>
  <c r="N51" i="1" a="1"/>
  <c r="N51" i="1" s="1"/>
  <c r="N52" i="1" a="1"/>
  <c r="N52" i="1" s="1"/>
  <c r="N53" i="1" a="1"/>
  <c r="N53" i="1" s="1"/>
  <c r="O38" i="1" a="1"/>
  <c r="O38" i="1" s="1"/>
  <c r="O39" i="1" a="1"/>
  <c r="O39" i="1" s="1"/>
  <c r="O40" i="1" a="1"/>
  <c r="O40" i="1" s="1"/>
  <c r="O41" i="1" a="1"/>
  <c r="O41" i="1" s="1"/>
  <c r="N37" i="1" a="1"/>
  <c r="N37" i="1" s="1"/>
  <c r="O42" i="1" a="1"/>
  <c r="O42" i="1" s="1"/>
  <c r="N40" i="1" a="1"/>
  <c r="N40" i="1" s="1"/>
  <c r="N41" i="1" a="1"/>
  <c r="N41" i="1" s="1"/>
  <c r="O46" i="1" a="1"/>
  <c r="O46" i="1" s="1"/>
  <c r="O47" i="1" a="1"/>
  <c r="O47" i="1" s="1"/>
  <c r="N42" i="1" a="1"/>
  <c r="N42" i="1" s="1"/>
  <c r="O48" i="1" a="1"/>
  <c r="O48" i="1" s="1"/>
  <c r="N46" i="1" a="1"/>
  <c r="N46" i="1" s="1"/>
  <c r="O49" i="1" a="1"/>
  <c r="O49" i="1" s="1"/>
  <c r="N47" i="1" a="1"/>
  <c r="N47" i="1" s="1"/>
  <c r="N48" i="1" a="1"/>
  <c r="N48" i="1" s="1"/>
  <c r="N49" i="1" a="1"/>
  <c r="N49" i="1" s="1"/>
  <c r="O50" i="1" a="1"/>
  <c r="O50" i="1" s="1"/>
  <c r="O51" i="1" a="1"/>
  <c r="O51" i="1" s="1"/>
  <c r="O52" i="1" a="1"/>
  <c r="O52" i="1" s="1"/>
  <c r="S44" i="1" a="1"/>
  <c r="S44" i="1" s="1"/>
  <c r="S45" i="1" a="1"/>
  <c r="S45" i="1" s="1"/>
  <c r="S46" i="1" a="1"/>
  <c r="S46" i="1" s="1"/>
  <c r="S43" i="1" a="1"/>
  <c r="S43" i="1" s="1"/>
  <c r="S47" i="1" a="1"/>
  <c r="S47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37" i="1" a="1"/>
  <c r="S37" i="1" s="1"/>
  <c r="S38" i="1" a="1"/>
  <c r="S38" i="1" s="1"/>
  <c r="S39" i="1" a="1"/>
  <c r="S39" i="1" s="1"/>
  <c r="S42" i="1" a="1"/>
  <c r="S42" i="1" s="1"/>
  <c r="S48" i="1" a="1"/>
  <c r="S48" i="1" s="1"/>
  <c r="S40" i="1" a="1"/>
  <c r="S40" i="1" s="1"/>
  <c r="S41" i="1" a="1"/>
  <c r="S41" i="1" s="1"/>
  <c r="U40" i="1" a="1"/>
  <c r="U40" i="1" s="1"/>
  <c r="U41" i="1" a="1"/>
  <c r="U41" i="1" s="1"/>
  <c r="U42" i="1" a="1"/>
  <c r="U42" i="1" s="1"/>
  <c r="U46" i="1" a="1"/>
  <c r="U46" i="1" s="1"/>
  <c r="U47" i="1" a="1"/>
  <c r="U47" i="1" s="1"/>
  <c r="U48" i="1" a="1"/>
  <c r="U48" i="1" s="1"/>
  <c r="U54" i="1" a="1"/>
  <c r="U54" i="1" s="1"/>
  <c r="U37" i="1" a="1"/>
  <c r="U37" i="1" s="1"/>
  <c r="U38" i="1" a="1"/>
  <c r="U38" i="1" s="1"/>
  <c r="U39" i="1" a="1"/>
  <c r="U39" i="1" s="1"/>
  <c r="U43" i="1" a="1"/>
  <c r="U43" i="1" s="1"/>
  <c r="U44" i="1" a="1"/>
  <c r="U44" i="1" s="1"/>
  <c r="U45" i="1" a="1"/>
  <c r="U45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V39" i="1" a="1"/>
  <c r="V39" i="1" s="1"/>
  <c r="V40" i="1" a="1"/>
  <c r="V40" i="1" s="1"/>
  <c r="V46" i="1" a="1"/>
  <c r="V46" i="1" s="1"/>
  <c r="V47" i="1" a="1"/>
  <c r="V47" i="1" s="1"/>
  <c r="V37" i="1" a="1"/>
  <c r="V37" i="1" s="1"/>
  <c r="V38" i="1" a="1"/>
  <c r="V38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M40" i="1" a="1"/>
  <c r="M40" i="1" s="1"/>
  <c r="M41" i="1" a="1"/>
  <c r="M41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37" i="1" a="1"/>
  <c r="M37" i="1" s="1"/>
  <c r="M38" i="1" a="1"/>
  <c r="M38" i="1" s="1"/>
  <c r="M42" i="1" a="1"/>
  <c r="M42" i="1" s="1"/>
  <c r="M46" i="1" a="1"/>
  <c r="M46" i="1" s="1"/>
  <c r="M39" i="1" a="1"/>
  <c r="M39" i="1" s="1"/>
  <c r="P50" i="1" a="1"/>
  <c r="P50" i="1" s="1"/>
  <c r="P51" i="1" a="1"/>
  <c r="P51" i="1" s="1"/>
  <c r="P43" i="1" a="1"/>
  <c r="P43" i="1" s="1"/>
  <c r="P44" i="1" a="1"/>
  <c r="P44" i="1" s="1"/>
  <c r="P45" i="1" a="1"/>
  <c r="P45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Q48" i="1" a="1"/>
  <c r="Q48" i="1" s="1"/>
  <c r="Q49" i="1" a="1"/>
  <c r="Q49" i="1" s="1"/>
  <c r="Q43" i="1" a="1"/>
  <c r="Q43" i="1" s="1"/>
  <c r="Q44" i="1" a="1"/>
  <c r="Q44" i="1" s="1"/>
  <c r="Q45" i="1" a="1"/>
  <c r="Q45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6" i="1" a="1"/>
  <c r="Q46" i="1" s="1"/>
  <c r="Q47" i="1" a="1"/>
  <c r="Q47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37" i="1" a="1"/>
  <c r="Q37" i="1" s="1"/>
  <c r="R46" i="1" a="1"/>
  <c r="R46" i="1" s="1"/>
  <c r="R47" i="1" a="1"/>
  <c r="R47" i="1" s="1"/>
  <c r="R43" i="1" a="1"/>
  <c r="R43" i="1" s="1"/>
  <c r="R44" i="1" a="1"/>
  <c r="R44" i="1" s="1"/>
  <c r="R45" i="1" a="1"/>
  <c r="R45" i="1" s="1"/>
  <c r="R41" i="1" a="1"/>
  <c r="R41" i="1" s="1"/>
  <c r="R42" i="1" a="1"/>
  <c r="R42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37" i="1" a="1"/>
  <c r="R37" i="1" s="1"/>
  <c r="R38" i="1" a="1"/>
  <c r="R38" i="1" s="1"/>
  <c r="R39" i="1" a="1"/>
  <c r="R39" i="1" s="1"/>
  <c r="R40" i="1" a="1"/>
  <c r="R40" i="1" s="1"/>
  <c r="N76" i="1"/>
  <c r="D23" i="4" a="1"/>
  <c r="D23" i="4" s="1"/>
  <c r="D27" i="4" a="1"/>
  <c r="D27" i="4" s="1"/>
  <c r="D28" i="4" a="1"/>
  <c r="D28" i="4" s="1"/>
  <c r="D32" i="4" a="1"/>
  <c r="D32" i="4" s="1"/>
  <c r="D24" i="4" a="1"/>
  <c r="D24" i="4" s="1"/>
  <c r="D25" i="4" a="1"/>
  <c r="D25" i="4" s="1"/>
  <c r="D26" i="4" a="1"/>
  <c r="D26" i="4" s="1"/>
  <c r="D29" i="4" a="1"/>
  <c r="D29" i="4" s="1"/>
  <c r="D30" i="4" a="1"/>
  <c r="D30" i="4" s="1"/>
  <c r="D31" i="4" a="1"/>
  <c r="D31" i="4" s="1"/>
  <c r="D17" i="4" a="1"/>
  <c r="D17" i="4" s="1"/>
  <c r="D18" i="4" a="1"/>
  <c r="D18" i="4" s="1"/>
  <c r="D19" i="4" a="1"/>
  <c r="D19" i="4" s="1"/>
  <c r="D21" i="4" a="1"/>
  <c r="D21" i="4" s="1"/>
  <c r="D15" i="4" a="1"/>
  <c r="D15" i="4" s="1"/>
  <c r="D16" i="4" a="1"/>
  <c r="D16" i="4" s="1"/>
  <c r="D20" i="4" a="1"/>
  <c r="D20" i="4" s="1"/>
  <c r="D22" i="4" a="1"/>
  <c r="D22" i="4" s="1"/>
  <c r="E54" i="4" a="1"/>
  <c r="E54" i="4" s="1"/>
  <c r="E38" i="4" a="1"/>
  <c r="E38" i="4" s="1"/>
  <c r="E39" i="4" a="1"/>
  <c r="E39" i="4" s="1"/>
  <c r="E51" i="4" a="1"/>
  <c r="E51" i="4" s="1"/>
  <c r="E52" i="4" a="1"/>
  <c r="E52" i="4" s="1"/>
  <c r="E53" i="4" a="1"/>
  <c r="E53" i="4" s="1"/>
  <c r="E37" i="4" a="1"/>
  <c r="E37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F48" i="4" a="1"/>
  <c r="F48" i="4" s="1"/>
  <c r="F52" i="4" a="1"/>
  <c r="F52" i="4" s="1"/>
  <c r="F53" i="4" a="1"/>
  <c r="F53" i="4" s="1"/>
  <c r="F37" i="4" a="1"/>
  <c r="F37" i="4" s="1"/>
  <c r="F38" i="4" a="1"/>
  <c r="F38" i="4" s="1"/>
  <c r="F49" i="4" a="1"/>
  <c r="F49" i="4" s="1"/>
  <c r="F50" i="4" a="1"/>
  <c r="F50" i="4" s="1"/>
  <c r="F51" i="4" a="1"/>
  <c r="F51" i="4" s="1"/>
  <c r="F54" i="4" a="1"/>
  <c r="F54" i="4" s="1"/>
  <c r="F55" i="4" s="1"/>
  <c r="F39" i="4" a="1"/>
  <c r="F39" i="4" s="1"/>
  <c r="F40" i="4" a="1"/>
  <c r="F40" i="4" s="1"/>
  <c r="F41" i="4" a="1"/>
  <c r="F41" i="4" s="1"/>
  <c r="F44" i="4" a="1"/>
  <c r="F44" i="4" s="1"/>
  <c r="F46" i="4" a="1"/>
  <c r="F46" i="4" s="1"/>
  <c r="F47" i="4" a="1"/>
  <c r="F47" i="4" s="1"/>
  <c r="F42" i="4" a="1"/>
  <c r="F42" i="4" s="1"/>
  <c r="F43" i="4" a="1"/>
  <c r="F43" i="4" s="1"/>
  <c r="F45" i="4" a="1"/>
  <c r="F45" i="4" s="1"/>
  <c r="G50" i="4" a="1"/>
  <c r="G50" i="4" s="1"/>
  <c r="G52" i="4" a="1"/>
  <c r="G52" i="4" s="1"/>
  <c r="G53" i="4" a="1"/>
  <c r="G53" i="4" s="1"/>
  <c r="G37" i="4" a="1"/>
  <c r="G37" i="4" s="1"/>
  <c r="G54" i="4" a="1"/>
  <c r="G54" i="4" s="1"/>
  <c r="G47" i="4" a="1"/>
  <c r="G47" i="4" s="1"/>
  <c r="G48" i="4" a="1"/>
  <c r="G48" i="4" s="1"/>
  <c r="G49" i="4" a="1"/>
  <c r="G49" i="4" s="1"/>
  <c r="G51" i="4" a="1"/>
  <c r="G51" i="4" s="1"/>
  <c r="G38" i="4" a="1"/>
  <c r="G38" i="4" s="1"/>
  <c r="G39" i="4" a="1"/>
  <c r="G39" i="4" s="1"/>
  <c r="G40" i="4" a="1"/>
  <c r="G40" i="4" s="1"/>
  <c r="G42" i="4" a="1"/>
  <c r="G42" i="4" s="1"/>
  <c r="G41" i="4" a="1"/>
  <c r="G41" i="4" s="1"/>
  <c r="G43" i="4" a="1"/>
  <c r="G43" i="4" s="1"/>
  <c r="G44" i="4" a="1"/>
  <c r="G44" i="4" s="1"/>
  <c r="G45" i="4" a="1"/>
  <c r="G45" i="4" s="1"/>
  <c r="G46" i="4" a="1"/>
  <c r="G46" i="4" s="1"/>
  <c r="B18" i="4" a="1"/>
  <c r="B18" i="4" s="1"/>
  <c r="B19" i="4" a="1"/>
  <c r="B19" i="4" s="1"/>
  <c r="B20" i="4" a="1"/>
  <c r="B20" i="4" s="1"/>
  <c r="B22" i="4" a="1"/>
  <c r="B22" i="4" s="1"/>
  <c r="B23" i="4" a="1"/>
  <c r="B23" i="4" s="1"/>
  <c r="B25" i="4" a="1"/>
  <c r="B25" i="4" s="1"/>
  <c r="B27" i="4" a="1"/>
  <c r="B27" i="4" s="1"/>
  <c r="B15" i="4" a="1"/>
  <c r="B15" i="4" s="1"/>
  <c r="B16" i="4" a="1"/>
  <c r="B16" i="4" s="1"/>
  <c r="B17" i="4" a="1"/>
  <c r="B17" i="4" s="1"/>
  <c r="B21" i="4" a="1"/>
  <c r="B21" i="4" s="1"/>
  <c r="E21" i="4" s="1"/>
  <c r="B24" i="4" a="1"/>
  <c r="B24" i="4" s="1"/>
  <c r="E24" i="4" s="1"/>
  <c r="B26" i="4" a="1"/>
  <c r="B26" i="4" s="1"/>
  <c r="B28" i="4" a="1"/>
  <c r="B28" i="4" s="1"/>
  <c r="B32" i="4" a="1"/>
  <c r="B32" i="4" s="1"/>
  <c r="B29" i="4" a="1"/>
  <c r="B29" i="4" s="1"/>
  <c r="B30" i="4" a="1"/>
  <c r="B30" i="4" s="1"/>
  <c r="B31" i="4" a="1"/>
  <c r="B31" i="4" s="1"/>
  <c r="C30" i="4" a="1"/>
  <c r="C30" i="4" s="1"/>
  <c r="C31" i="4" a="1"/>
  <c r="C31" i="4" s="1"/>
  <c r="C32" i="4" a="1"/>
  <c r="C32" i="4" s="1"/>
  <c r="C15" i="4" a="1"/>
  <c r="C15" i="4" s="1"/>
  <c r="C16" i="4" a="1"/>
  <c r="C16" i="4" s="1"/>
  <c r="C22" i="4" a="1"/>
  <c r="C22" i="4" s="1"/>
  <c r="C27" i="4" a="1"/>
  <c r="C27" i="4" s="1"/>
  <c r="C29" i="4" a="1"/>
  <c r="C29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3" i="4" a="1"/>
  <c r="C23" i="4" s="1"/>
  <c r="C24" i="4" a="1"/>
  <c r="C24" i="4" s="1"/>
  <c r="C25" i="4" a="1"/>
  <c r="C25" i="4" s="1"/>
  <c r="C26" i="4" a="1"/>
  <c r="C26" i="4" s="1"/>
  <c r="C28" i="4" a="1"/>
  <c r="C28" i="4" s="1"/>
  <c r="J76" i="3"/>
  <c r="F27" i="3" a="1"/>
  <c r="F27" i="3" s="1"/>
  <c r="F28" i="3" a="1"/>
  <c r="F28" i="3" s="1"/>
  <c r="F16" i="3" a="1"/>
  <c r="F16" i="3" s="1"/>
  <c r="F17" i="3" a="1"/>
  <c r="F17" i="3" s="1"/>
  <c r="F18" i="3" a="1"/>
  <c r="F18" i="3" s="1"/>
  <c r="F19" i="3" a="1"/>
  <c r="F19" i="3" s="1"/>
  <c r="F24" i="3" a="1"/>
  <c r="F24" i="3" s="1"/>
  <c r="F25" i="3" a="1"/>
  <c r="F25" i="3" s="1"/>
  <c r="F26" i="3" a="1"/>
  <c r="F26" i="3" s="1"/>
  <c r="F29" i="3" a="1"/>
  <c r="F29" i="3" s="1"/>
  <c r="F30" i="3" a="1"/>
  <c r="F30" i="3" s="1"/>
  <c r="F31" i="3" a="1"/>
  <c r="F31" i="3" s="1"/>
  <c r="F32" i="3" a="1"/>
  <c r="F32" i="3" s="1"/>
  <c r="F20" i="3" a="1"/>
  <c r="F20" i="3" s="1"/>
  <c r="F21" i="3" a="1"/>
  <c r="F21" i="3" s="1"/>
  <c r="F22" i="3" a="1"/>
  <c r="F22" i="3" s="1"/>
  <c r="F23" i="3" a="1"/>
  <c r="F23" i="3" s="1"/>
  <c r="F15" i="3" a="1"/>
  <c r="F15" i="3" s="1"/>
  <c r="G23" i="3" a="1"/>
  <c r="G23" i="3" s="1"/>
  <c r="G24" i="3" a="1"/>
  <c r="G24" i="3" s="1"/>
  <c r="G25" i="3" a="1"/>
  <c r="G25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30" i="3" a="1"/>
  <c r="G30" i="3" s="1"/>
  <c r="G32" i="3" a="1"/>
  <c r="G32" i="3" s="1"/>
  <c r="G27" i="3" a="1"/>
  <c r="G27" i="3" s="1"/>
  <c r="G28" i="3" a="1"/>
  <c r="G28" i="3" s="1"/>
  <c r="G29" i="3" a="1"/>
  <c r="G29" i="3" s="1"/>
  <c r="G26" i="3" a="1"/>
  <c r="G26" i="3" s="1"/>
  <c r="G31" i="3" a="1"/>
  <c r="G31" i="3" s="1"/>
  <c r="I20" i="3" a="1"/>
  <c r="I20" i="3" s="1"/>
  <c r="I21" i="3" a="1"/>
  <c r="I21" i="3" s="1"/>
  <c r="I22" i="3" a="1"/>
  <c r="I22" i="3" s="1"/>
  <c r="I30" i="3" a="1"/>
  <c r="I30" i="3" s="1"/>
  <c r="I31" i="3" a="1"/>
  <c r="I31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2" i="3" a="1"/>
  <c r="I32" i="3" s="1"/>
  <c r="I16" i="3" a="1"/>
  <c r="I16" i="3" s="1"/>
  <c r="I15" i="3" a="1"/>
  <c r="I15" i="3" s="1"/>
  <c r="I17" i="3" a="1"/>
  <c r="I17" i="3" s="1"/>
  <c r="I18" i="3" a="1"/>
  <c r="I18" i="3" s="1"/>
  <c r="I19" i="3" a="1"/>
  <c r="I19" i="3" s="1"/>
  <c r="I23" i="3" a="1"/>
  <c r="I23" i="3" s="1"/>
  <c r="I24" i="3" a="1"/>
  <c r="I24" i="3" s="1"/>
  <c r="F43" i="3" a="1"/>
  <c r="F43" i="3" s="1"/>
  <c r="F44" i="3" a="1"/>
  <c r="F44" i="3" s="1"/>
  <c r="F45" i="3" a="1"/>
  <c r="F45" i="3" s="1"/>
  <c r="F53" i="3" a="1"/>
  <c r="F53" i="3" s="1"/>
  <c r="F37" i="3" a="1"/>
  <c r="F37" i="3" s="1"/>
  <c r="F54" i="3" a="1"/>
  <c r="F54" i="3" s="1"/>
  <c r="F38" i="3" a="1"/>
  <c r="F38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41" i="3" a="1"/>
  <c r="F41" i="3" s="1"/>
  <c r="F42" i="3" a="1"/>
  <c r="F42" i="3" s="1"/>
  <c r="F40" i="3" a="1"/>
  <c r="F40" i="3" s="1"/>
  <c r="F39" i="3" a="1"/>
  <c r="F39" i="3" s="1"/>
  <c r="G41" i="3" a="1"/>
  <c r="G41" i="3" s="1"/>
  <c r="G42" i="3" a="1"/>
  <c r="G42" i="3" s="1"/>
  <c r="G43" i="3" a="1"/>
  <c r="G43" i="3" s="1"/>
  <c r="G50" i="3" a="1"/>
  <c r="G50" i="3" s="1"/>
  <c r="G51" i="3" a="1"/>
  <c r="G51" i="3" s="1"/>
  <c r="G52" i="3" a="1"/>
  <c r="G52" i="3" s="1"/>
  <c r="G37" i="3" a="1"/>
  <c r="G37" i="3" s="1"/>
  <c r="G49" i="3" a="1"/>
  <c r="G49" i="3" s="1"/>
  <c r="G53" i="3" a="1"/>
  <c r="G53" i="3" s="1"/>
  <c r="G54" i="3" a="1"/>
  <c r="G54" i="3" s="1"/>
  <c r="G40" i="3" a="1"/>
  <c r="G40" i="3" s="1"/>
  <c r="G45" i="3" a="1"/>
  <c r="G45" i="3" s="1"/>
  <c r="G38" i="3" a="1"/>
  <c r="G38" i="3" s="1"/>
  <c r="G39" i="3" a="1"/>
  <c r="G39" i="3" s="1"/>
  <c r="G44" i="3" a="1"/>
  <c r="G44" i="3" s="1"/>
  <c r="G48" i="3" a="1"/>
  <c r="G48" i="3" s="1"/>
  <c r="G46" i="3" a="1"/>
  <c r="G46" i="3" s="1"/>
  <c r="G47" i="3" a="1"/>
  <c r="G47" i="3" s="1"/>
  <c r="H39" i="3" a="1"/>
  <c r="H39" i="3" s="1"/>
  <c r="H40" i="3" a="1"/>
  <c r="H40" i="3" s="1"/>
  <c r="H48" i="3" a="1"/>
  <c r="H48" i="3" s="1"/>
  <c r="H49" i="3" a="1"/>
  <c r="H49" i="3" s="1"/>
  <c r="H50" i="3" a="1"/>
  <c r="H50" i="3" s="1"/>
  <c r="H42" i="3" a="1"/>
  <c r="H42" i="3" s="1"/>
  <c r="H37" i="3" a="1"/>
  <c r="H37" i="3" s="1"/>
  <c r="H38" i="3" a="1"/>
  <c r="H38" i="3" s="1"/>
  <c r="H41" i="3" a="1"/>
  <c r="H41" i="3" s="1"/>
  <c r="H53" i="3" a="1"/>
  <c r="H53" i="3" s="1"/>
  <c r="H47" i="3" a="1"/>
  <c r="H47" i="3" s="1"/>
  <c r="H51" i="3" a="1"/>
  <c r="H51" i="3" s="1"/>
  <c r="H52" i="3" a="1"/>
  <c r="H52" i="3" s="1"/>
  <c r="H54" i="3" a="1"/>
  <c r="H54" i="3" s="1"/>
  <c r="H44" i="3" a="1"/>
  <c r="H44" i="3" s="1"/>
  <c r="H43" i="3" a="1"/>
  <c r="H43" i="3" s="1"/>
  <c r="H45" i="3" a="1"/>
  <c r="H45" i="3" s="1"/>
  <c r="H46" i="3" a="1"/>
  <c r="H46" i="3" s="1"/>
  <c r="J51" i="3" a="1"/>
  <c r="J51" i="3" s="1"/>
  <c r="J52" i="3" a="1"/>
  <c r="J52" i="3" s="1"/>
  <c r="J44" i="3" a="1"/>
  <c r="J44" i="3" s="1"/>
  <c r="J45" i="3" a="1"/>
  <c r="J45" i="3" s="1"/>
  <c r="J53" i="3" a="1"/>
  <c r="J53" i="3" s="1"/>
  <c r="J42" i="3" a="1"/>
  <c r="J42" i="3" s="1"/>
  <c r="J43" i="3" a="1"/>
  <c r="J43" i="3" s="1"/>
  <c r="J46" i="3" a="1"/>
  <c r="J46" i="3" s="1"/>
  <c r="J47" i="3" a="1"/>
  <c r="J47" i="3" s="1"/>
  <c r="J48" i="3" a="1"/>
  <c r="J48" i="3" s="1"/>
  <c r="J49" i="3" a="1"/>
  <c r="J49" i="3" s="1"/>
  <c r="J54" i="3" a="1"/>
  <c r="J54" i="3" s="1"/>
  <c r="J37" i="3" a="1"/>
  <c r="J37" i="3" s="1"/>
  <c r="J38" i="3" a="1"/>
  <c r="J38" i="3" s="1"/>
  <c r="J50" i="3" a="1"/>
  <c r="J50" i="3" s="1"/>
  <c r="J39" i="3" a="1"/>
  <c r="J39" i="3" s="1"/>
  <c r="J40" i="3" a="1"/>
  <c r="J40" i="3" s="1"/>
  <c r="J41" i="3" a="1"/>
  <c r="J41" i="3" s="1"/>
  <c r="K48" i="3" a="1"/>
  <c r="K48" i="3" s="1"/>
  <c r="K49" i="3" a="1"/>
  <c r="K49" i="3" s="1"/>
  <c r="K50" i="3" a="1"/>
  <c r="K50" i="3" s="1"/>
  <c r="K41" i="3" a="1"/>
  <c r="K41" i="3" s="1"/>
  <c r="K42" i="3" a="1"/>
  <c r="K42" i="3" s="1"/>
  <c r="K43" i="3" a="1"/>
  <c r="K43" i="3" s="1"/>
  <c r="K47" i="3" a="1"/>
  <c r="K47" i="3" s="1"/>
  <c r="K51" i="3" a="1"/>
  <c r="K51" i="3" s="1"/>
  <c r="K52" i="3" a="1"/>
  <c r="K52" i="3" s="1"/>
  <c r="K53" i="3" a="1"/>
  <c r="K53" i="3" s="1"/>
  <c r="K54" i="3" a="1"/>
  <c r="K54" i="3" s="1"/>
  <c r="K40" i="3" a="1"/>
  <c r="K40" i="3" s="1"/>
  <c r="K44" i="3" a="1"/>
  <c r="K44" i="3" s="1"/>
  <c r="K37" i="3" a="1"/>
  <c r="K37" i="3" s="1"/>
  <c r="K38" i="3" a="1"/>
  <c r="K38" i="3" s="1"/>
  <c r="K39" i="3" a="1"/>
  <c r="K39" i="3" s="1"/>
  <c r="K45" i="3" a="1"/>
  <c r="K45" i="3" s="1"/>
  <c r="K46" i="3" a="1"/>
  <c r="K46" i="3" s="1"/>
  <c r="C15" i="3" a="1"/>
  <c r="C15" i="3" s="1"/>
  <c r="C26" i="3" a="1"/>
  <c r="C26" i="3" s="1"/>
  <c r="C27" i="3" a="1"/>
  <c r="C27" i="3" s="1"/>
  <c r="C24" i="3" a="1"/>
  <c r="C24" i="3" s="1"/>
  <c r="C25" i="3" a="1"/>
  <c r="C25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20" i="3" a="1"/>
  <c r="C20" i="3" s="1"/>
  <c r="C23" i="3" a="1"/>
  <c r="C23" i="3" s="1"/>
  <c r="C16" i="3" a="1"/>
  <c r="C16" i="3" s="1"/>
  <c r="C17" i="3" a="1"/>
  <c r="C17" i="3" s="1"/>
  <c r="C18" i="3" a="1"/>
  <c r="C18" i="3" s="1"/>
  <c r="C19" i="3" a="1"/>
  <c r="C19" i="3" s="1"/>
  <c r="C21" i="3" a="1"/>
  <c r="C21" i="3" s="1"/>
  <c r="C22" i="3" a="1"/>
  <c r="C22" i="3" s="1"/>
  <c r="I37" i="3" a="1"/>
  <c r="I37" i="3" s="1"/>
  <c r="I53" i="3" a="1"/>
  <c r="I53" i="3" s="1"/>
  <c r="I38" i="3" a="1"/>
  <c r="I38" i="3" s="1"/>
  <c r="I54" i="3" a="1"/>
  <c r="I54" i="3" s="1"/>
  <c r="I46" i="3" a="1"/>
  <c r="I46" i="3" s="1"/>
  <c r="I47" i="3" a="1"/>
  <c r="I47" i="3" s="1"/>
  <c r="I45" i="3" a="1"/>
  <c r="I45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L46" i="3" a="1"/>
  <c r="L46" i="3" s="1"/>
  <c r="L47" i="3" a="1"/>
  <c r="L47" i="3" s="1"/>
  <c r="L39" i="3" a="1"/>
  <c r="L39" i="3" s="1"/>
  <c r="L40" i="3" a="1"/>
  <c r="L40" i="3" s="1"/>
  <c r="L51" i="3" a="1"/>
  <c r="L51" i="3" s="1"/>
  <c r="L52" i="3" a="1"/>
  <c r="L52" i="3" s="1"/>
  <c r="L53" i="3" a="1"/>
  <c r="L53" i="3" s="1"/>
  <c r="L54" i="3" a="1"/>
  <c r="L54" i="3" s="1"/>
  <c r="L49" i="3" a="1"/>
  <c r="L49" i="3" s="1"/>
  <c r="L50" i="3" a="1"/>
  <c r="L50" i="3" s="1"/>
  <c r="L43" i="3" a="1"/>
  <c r="L43" i="3" s="1"/>
  <c r="L45" i="3" a="1"/>
  <c r="L45" i="3" s="1"/>
  <c r="L44" i="3" a="1"/>
  <c r="L44" i="3" s="1"/>
  <c r="L48" i="3" a="1"/>
  <c r="L48" i="3" s="1"/>
  <c r="L41" i="3" a="1"/>
  <c r="L41" i="3" s="1"/>
  <c r="L42" i="3" a="1"/>
  <c r="L42" i="3" s="1"/>
  <c r="L37" i="3" a="1"/>
  <c r="L37" i="3" s="1"/>
  <c r="L38" i="3" a="1"/>
  <c r="L38" i="3" s="1"/>
  <c r="M44" i="3" a="1"/>
  <c r="M44" i="3" s="1"/>
  <c r="M45" i="3" a="1"/>
  <c r="M45" i="3" s="1"/>
  <c r="M37" i="3" a="1"/>
  <c r="M37" i="3" s="1"/>
  <c r="M53" i="3" a="1"/>
  <c r="M53" i="3" s="1"/>
  <c r="M38" i="3" a="1"/>
  <c r="M38" i="3" s="1"/>
  <c r="M54" i="3" a="1"/>
  <c r="M54" i="3" s="1"/>
  <c r="M39" i="3" a="1"/>
  <c r="M39" i="3" s="1"/>
  <c r="M40" i="3" a="1"/>
  <c r="M40" i="3" s="1"/>
  <c r="M47" i="3" a="1"/>
  <c r="M47" i="3" s="1"/>
  <c r="M41" i="3" a="1"/>
  <c r="M41" i="3" s="1"/>
  <c r="M42" i="3" a="1"/>
  <c r="M42" i="3" s="1"/>
  <c r="M43" i="3" a="1"/>
  <c r="M43" i="3" s="1"/>
  <c r="M46" i="3" a="1"/>
  <c r="M46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B16" i="3" a="1"/>
  <c r="B16" i="3" s="1"/>
  <c r="B15" i="3" a="1"/>
  <c r="B15" i="3" s="1"/>
  <c r="B17" i="3" a="1"/>
  <c r="B17" i="3" s="1"/>
  <c r="B18" i="3" a="1"/>
  <c r="B18" i="3" s="1"/>
  <c r="B19" i="3" a="1"/>
  <c r="B19" i="3" s="1"/>
  <c r="B29" i="3" a="1"/>
  <c r="B29" i="3" s="1"/>
  <c r="B30" i="3" a="1"/>
  <c r="B30" i="3" s="1"/>
  <c r="B31" i="3" a="1"/>
  <c r="B31" i="3" s="1"/>
  <c r="B20" i="3" a="1"/>
  <c r="B20" i="3" s="1"/>
  <c r="B21" i="3" a="1"/>
  <c r="B21" i="3" s="1"/>
  <c r="B26" i="3" a="1"/>
  <c r="B26" i="3" s="1"/>
  <c r="B27" i="3" a="1"/>
  <c r="B27" i="3" s="1"/>
  <c r="B32" i="3" a="1"/>
  <c r="B32" i="3" s="1"/>
  <c r="B24" i="3" a="1"/>
  <c r="B24" i="3" s="1"/>
  <c r="B28" i="3" a="1"/>
  <c r="B28" i="3" s="1"/>
  <c r="B22" i="3" a="1"/>
  <c r="B22" i="3" s="1"/>
  <c r="B23" i="3" a="1"/>
  <c r="B23" i="3" s="1"/>
  <c r="B25" i="3" a="1"/>
  <c r="B25" i="3" s="1"/>
  <c r="E55" i="3"/>
  <c r="D32" i="3" a="1"/>
  <c r="D32" i="3" s="1"/>
  <c r="D23" i="3" a="1"/>
  <c r="D23" i="3" s="1"/>
  <c r="D24" i="3" a="1"/>
  <c r="D24" i="3" s="1"/>
  <c r="D25" i="3" a="1"/>
  <c r="D2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6" i="3" a="1"/>
  <c r="D26" i="3" s="1"/>
  <c r="D31" i="3" a="1"/>
  <c r="D31" i="3" s="1"/>
  <c r="D15" i="3" a="1"/>
  <c r="D15" i="3" s="1"/>
  <c r="D27" i="3" a="1"/>
  <c r="D27" i="3" s="1"/>
  <c r="D28" i="3" a="1"/>
  <c r="D28" i="3" s="1"/>
  <c r="D29" i="3" a="1"/>
  <c r="D29" i="3" s="1"/>
  <c r="D30" i="3" a="1"/>
  <c r="D30" i="3" s="1"/>
  <c r="E30" i="3" a="1"/>
  <c r="E30" i="3" s="1"/>
  <c r="E31" i="3" a="1"/>
  <c r="E31" i="3" s="1"/>
  <c r="E22" i="3" a="1"/>
  <c r="E22" i="3" s="1"/>
  <c r="E23" i="3" a="1"/>
  <c r="E23" i="3" s="1"/>
  <c r="E15" i="3" a="1"/>
  <c r="E15" i="3" s="1"/>
  <c r="E17" i="3" a="1"/>
  <c r="E17" i="3" s="1"/>
  <c r="E26" i="3" a="1"/>
  <c r="E26" i="3" s="1"/>
  <c r="E16" i="3" a="1"/>
  <c r="E16" i="3" s="1"/>
  <c r="E18" i="3" a="1"/>
  <c r="E18" i="3" s="1"/>
  <c r="E19" i="3" a="1"/>
  <c r="E19" i="3" s="1"/>
  <c r="E20" i="3" a="1"/>
  <c r="E20" i="3" s="1"/>
  <c r="E21" i="3" a="1"/>
  <c r="E21" i="3" s="1"/>
  <c r="E24" i="3" a="1"/>
  <c r="E24" i="3" s="1"/>
  <c r="E25" i="3" a="1"/>
  <c r="E25" i="3" s="1"/>
  <c r="E28" i="3" a="1"/>
  <c r="E28" i="3" s="1"/>
  <c r="E27" i="3" a="1"/>
  <c r="E27" i="3" s="1"/>
  <c r="E29" i="3" a="1"/>
  <c r="E29" i="3" s="1"/>
  <c r="E32" i="3" a="1"/>
  <c r="E32" i="3" s="1"/>
  <c r="H22" i="3" a="1"/>
  <c r="H22" i="3" s="1"/>
  <c r="H23" i="3" a="1"/>
  <c r="H23" i="3" s="1"/>
  <c r="H24" i="3" a="1"/>
  <c r="H24" i="3" s="1"/>
  <c r="H32" i="3" a="1"/>
  <c r="H32" i="3" s="1"/>
  <c r="H31" i="3" a="1"/>
  <c r="H31" i="3" s="1"/>
  <c r="H17" i="3" a="1"/>
  <c r="H17" i="3" s="1"/>
  <c r="H25" i="3" a="1"/>
  <c r="H25" i="3" s="1"/>
  <c r="H27" i="3" a="1"/>
  <c r="H27" i="3" s="1"/>
  <c r="H18" i="3" a="1"/>
  <c r="H18" i="3" s="1"/>
  <c r="H19" i="3" a="1"/>
  <c r="H19" i="3" s="1"/>
  <c r="H20" i="3" a="1"/>
  <c r="H20" i="3" s="1"/>
  <c r="H21" i="3" a="1"/>
  <c r="H21" i="3" s="1"/>
  <c r="H26" i="3" a="1"/>
  <c r="H26" i="3" s="1"/>
  <c r="H28" i="3" a="1"/>
  <c r="H28" i="3" s="1"/>
  <c r="H29" i="3" a="1"/>
  <c r="H29" i="3" s="1"/>
  <c r="H15" i="3" a="1"/>
  <c r="H15" i="3" s="1"/>
  <c r="H16" i="3" a="1"/>
  <c r="H16" i="3" s="1"/>
  <c r="H30" i="3" a="1"/>
  <c r="H30" i="3" s="1"/>
  <c r="J17" i="3" a="1"/>
  <c r="J17" i="3" s="1"/>
  <c r="J18" i="3" a="1"/>
  <c r="J18" i="3" s="1"/>
  <c r="J19" i="3" a="1"/>
  <c r="J19" i="3" s="1"/>
  <c r="J20" i="3" a="1"/>
  <c r="J20" i="3" s="1"/>
  <c r="J30" i="3" a="1"/>
  <c r="J30" i="3" s="1"/>
  <c r="J31" i="3" a="1"/>
  <c r="J31" i="3" s="1"/>
  <c r="J15" i="3" a="1"/>
  <c r="J15" i="3" s="1"/>
  <c r="J16" i="3" a="1"/>
  <c r="J16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8" i="3" a="1"/>
  <c r="J28" i="3" s="1"/>
  <c r="J29" i="3" a="1"/>
  <c r="J29" i="3" s="1"/>
  <c r="J25" i="3" a="1"/>
  <c r="J25" i="3" s="1"/>
  <c r="J26" i="3" a="1"/>
  <c r="J26" i="3" s="1"/>
  <c r="J32" i="3" a="1"/>
  <c r="J32" i="3" s="1"/>
  <c r="N76" i="3"/>
  <c r="N76" i="4"/>
  <c r="B113" i="4"/>
  <c r="D113" i="4" s="1"/>
  <c r="D85" i="4" a="1"/>
  <c r="D85" i="4" s="1"/>
  <c r="E85" i="4" s="1"/>
  <c r="C71" i="4" a="1"/>
  <c r="C71" i="4" s="1"/>
  <c r="I73" i="4" a="1"/>
  <c r="I73" i="4" s="1"/>
  <c r="K73" i="4" s="1" a="1"/>
  <c r="K73" i="4" s="1"/>
  <c r="I64" i="4" a="1"/>
  <c r="I64" i="4" s="1"/>
  <c r="K64" i="4" s="1" a="1"/>
  <c r="K64" i="4" s="1"/>
  <c r="I74" i="4" a="1"/>
  <c r="I74" i="4" s="1"/>
  <c r="K74" i="4" s="1" a="1"/>
  <c r="K74" i="4" s="1"/>
  <c r="I75" i="4" a="1"/>
  <c r="I75" i="4" s="1"/>
  <c r="I67" i="4" a="1"/>
  <c r="I67" i="4" s="1"/>
  <c r="K67" i="4" s="1" a="1"/>
  <c r="K67" i="4" s="1"/>
  <c r="I61" i="4" a="1"/>
  <c r="I61" i="4" s="1"/>
  <c r="K61" i="4" s="1" a="1"/>
  <c r="K61" i="4" s="1"/>
  <c r="I69" i="4" a="1"/>
  <c r="I69" i="4" s="1"/>
  <c r="K69" i="4" s="1" a="1"/>
  <c r="K69" i="4" s="1"/>
  <c r="I72" i="4" a="1"/>
  <c r="I72" i="4" s="1"/>
  <c r="K72" i="4" s="1" a="1"/>
  <c r="K72" i="4" s="1"/>
  <c r="C60" i="4" a="1"/>
  <c r="C60" i="4" s="1"/>
  <c r="C67" i="4" a="1"/>
  <c r="C67" i="4" s="1"/>
  <c r="K59" i="4" a="1"/>
  <c r="K59" i="4" s="1"/>
  <c r="D93" i="4" a="1"/>
  <c r="D93" i="4" s="1"/>
  <c r="E93" i="4" s="1"/>
  <c r="C69" i="4" a="1"/>
  <c r="C69" i="4" s="1"/>
  <c r="C68" i="4" a="1"/>
  <c r="C68" i="4" s="1"/>
  <c r="C70" i="4" a="1"/>
  <c r="C70" i="4" s="1"/>
  <c r="C64" i="4" a="1"/>
  <c r="C64" i="4" s="1"/>
  <c r="C65" i="4" a="1"/>
  <c r="C65" i="4" s="1"/>
  <c r="F108" i="4" s="1"/>
  <c r="H108" i="4" s="1"/>
  <c r="C73" i="4" a="1"/>
  <c r="C73" i="4" s="1"/>
  <c r="D89" i="4" a="1"/>
  <c r="D89" i="4" s="1"/>
  <c r="E89" i="4" s="1"/>
  <c r="D86" i="4" a="1"/>
  <c r="D86" i="4" s="1"/>
  <c r="E86" i="4" s="1"/>
  <c r="D96" i="4" a="1"/>
  <c r="D96" i="4" s="1"/>
  <c r="E96" i="4" s="1"/>
  <c r="D91" i="4" a="1"/>
  <c r="D91" i="4" s="1"/>
  <c r="E91" i="4" s="1"/>
  <c r="D83" i="4" a="1"/>
  <c r="D83" i="4" s="1"/>
  <c r="E83" i="4" s="1"/>
  <c r="D88" i="4" a="1"/>
  <c r="D88" i="4" s="1"/>
  <c r="E88" i="4" s="1"/>
  <c r="D94" i="4" a="1"/>
  <c r="D94" i="4" s="1"/>
  <c r="E94" i="4" s="1"/>
  <c r="D95" i="4" a="1"/>
  <c r="D95" i="4" s="1"/>
  <c r="E95" i="4" s="1"/>
  <c r="D82" i="4" a="1"/>
  <c r="D82" i="4" s="1"/>
  <c r="E82" i="4" s="1"/>
  <c r="D92" i="4" a="1"/>
  <c r="D92" i="4" s="1"/>
  <c r="E92" i="4" s="1"/>
  <c r="D97" i="4" a="1"/>
  <c r="D97" i="4" s="1"/>
  <c r="D84" i="4" a="1"/>
  <c r="D84" i="4" s="1"/>
  <c r="E84" i="4" s="1"/>
  <c r="D90" i="4" a="1"/>
  <c r="D90" i="4" s="1"/>
  <c r="E90" i="4" s="1"/>
  <c r="D81" i="4" a="1"/>
  <c r="D81" i="4" s="1"/>
  <c r="E81" i="4" s="1"/>
  <c r="D80" i="4" a="1"/>
  <c r="D80" i="4" s="1"/>
  <c r="B118" i="4" s="1"/>
  <c r="D87" i="4" a="1"/>
  <c r="D87" i="4" s="1"/>
  <c r="B119" i="4"/>
  <c r="D119" i="4" s="1"/>
  <c r="C59" i="4" a="1"/>
  <c r="C59" i="4" s="1"/>
  <c r="C61" i="4" a="1"/>
  <c r="C61" i="4" s="1"/>
  <c r="C62" i="4" a="1"/>
  <c r="C62" i="4" s="1"/>
  <c r="C63" i="4" a="1"/>
  <c r="C63" i="4" s="1"/>
  <c r="C75" i="4" a="1"/>
  <c r="C75" i="4" s="1"/>
  <c r="B107" i="4"/>
  <c r="D107" i="4" s="1"/>
  <c r="C74" i="4" a="1"/>
  <c r="C74" i="4" s="1"/>
  <c r="C58" i="4" a="1"/>
  <c r="C58" i="4" s="1"/>
  <c r="C66" i="4" a="1"/>
  <c r="C66" i="4" s="1"/>
  <c r="I65" i="4" a="1"/>
  <c r="I65" i="4" s="1"/>
  <c r="K65" i="4" s="1" a="1"/>
  <c r="K65" i="4" s="1"/>
  <c r="F114" i="4" s="1"/>
  <c r="H114" i="4" s="1"/>
  <c r="I70" i="4" a="1"/>
  <c r="I70" i="4" s="1"/>
  <c r="K70" i="4" s="1" a="1"/>
  <c r="K70" i="4" s="1"/>
  <c r="I58" i="4" a="1"/>
  <c r="I58" i="4" s="1"/>
  <c r="K58" i="4" s="1" a="1"/>
  <c r="K58" i="4" s="1"/>
  <c r="B114" i="4" s="1"/>
  <c r="D114" i="4" s="1"/>
  <c r="I66" i="4" a="1"/>
  <c r="I66" i="4" s="1"/>
  <c r="K66" i="4" s="1" a="1"/>
  <c r="K66" i="4" s="1"/>
  <c r="I68" i="4" a="1"/>
  <c r="I68" i="4" s="1"/>
  <c r="K68" i="4" s="1" a="1"/>
  <c r="K68" i="4" s="1"/>
  <c r="I63" i="4" a="1"/>
  <c r="I63" i="4" s="1"/>
  <c r="K63" i="4" s="1" a="1"/>
  <c r="K63" i="4" s="1"/>
  <c r="I71" i="4" a="1"/>
  <c r="I71" i="4" s="1"/>
  <c r="K71" i="4" s="1" a="1"/>
  <c r="K71" i="4" s="1"/>
  <c r="I60" i="4" a="1"/>
  <c r="I60" i="4" s="1"/>
  <c r="K60" i="4" s="1" a="1"/>
  <c r="K60" i="4" s="1"/>
  <c r="I62" i="4" a="1"/>
  <c r="I62" i="4" s="1"/>
  <c r="K62" i="4" s="1" a="1"/>
  <c r="K62" i="4" s="1"/>
  <c r="C72" i="4" a="1"/>
  <c r="C72" i="4" s="1"/>
  <c r="B107" i="3"/>
  <c r="D107" i="3" s="1"/>
  <c r="I69" i="3" a="1"/>
  <c r="I69" i="3" s="1"/>
  <c r="K69" i="3" s="1" a="1"/>
  <c r="K69" i="3" s="1"/>
  <c r="C61" i="3" a="1"/>
  <c r="C61" i="3" s="1"/>
  <c r="I61" i="3" a="1"/>
  <c r="I61" i="3" s="1"/>
  <c r="K61" i="3" s="1" a="1"/>
  <c r="K61" i="3" s="1"/>
  <c r="C60" i="3" a="1"/>
  <c r="C60" i="3" s="1"/>
  <c r="C62" i="3" a="1"/>
  <c r="C62" i="3" s="1"/>
  <c r="C74" i="3" a="1"/>
  <c r="C74" i="3" s="1"/>
  <c r="C58" i="3" a="1"/>
  <c r="C58" i="3" s="1"/>
  <c r="B108" i="3" s="1"/>
  <c r="D108" i="3" s="1"/>
  <c r="I74" i="3" a="1"/>
  <c r="I74" i="3" s="1"/>
  <c r="K74" i="3" s="1" a="1"/>
  <c r="K74" i="3" s="1"/>
  <c r="I58" i="3" a="1"/>
  <c r="I58" i="3" s="1"/>
  <c r="K58" i="3" s="1" a="1"/>
  <c r="K58" i="3" s="1"/>
  <c r="B114" i="3" s="1"/>
  <c r="D114" i="3" s="1"/>
  <c r="C66" i="3" a="1"/>
  <c r="C66" i="3" s="1"/>
  <c r="I66" i="3" a="1"/>
  <c r="I66" i="3" s="1"/>
  <c r="K66" i="3" s="1" a="1"/>
  <c r="K66" i="3" s="1"/>
  <c r="C75" i="3" a="1"/>
  <c r="C75" i="3" s="1"/>
  <c r="I75" i="3" a="1"/>
  <c r="I75" i="3" s="1"/>
  <c r="C59" i="3" a="1"/>
  <c r="C59" i="3" s="1"/>
  <c r="C67" i="3" a="1"/>
  <c r="C67" i="3" s="1"/>
  <c r="I59" i="3" a="1"/>
  <c r="I59" i="3" s="1"/>
  <c r="K59" i="3" s="1" a="1"/>
  <c r="K59" i="3" s="1"/>
  <c r="I67" i="3" a="1"/>
  <c r="I67" i="3" s="1"/>
  <c r="K67" i="3" s="1" a="1"/>
  <c r="K67" i="3" s="1"/>
  <c r="C68" i="3" a="1"/>
  <c r="C68" i="3" s="1"/>
  <c r="C70" i="3" a="1"/>
  <c r="C70" i="3" s="1"/>
  <c r="I62" i="3" a="1"/>
  <c r="I62" i="3" s="1"/>
  <c r="K62" i="3" s="1" a="1"/>
  <c r="K62" i="3" s="1"/>
  <c r="C71" i="3" a="1"/>
  <c r="C71" i="3" s="1"/>
  <c r="C63" i="3" a="1"/>
  <c r="C63" i="3" s="1"/>
  <c r="I63" i="3" a="1"/>
  <c r="I63" i="3" s="1"/>
  <c r="K63" i="3" s="1" a="1"/>
  <c r="K63" i="3" s="1"/>
  <c r="C72" i="3" a="1"/>
  <c r="C72" i="3" s="1"/>
  <c r="I64" i="3" a="1"/>
  <c r="I64" i="3" s="1"/>
  <c r="K64" i="3" s="1" a="1"/>
  <c r="K64" i="3" s="1"/>
  <c r="D94" i="3" a="1"/>
  <c r="D94" i="3" s="1"/>
  <c r="E94" i="3" s="1"/>
  <c r="C73" i="3" a="1"/>
  <c r="C73" i="3" s="1"/>
  <c r="I73" i="3" a="1"/>
  <c r="I73" i="3" s="1"/>
  <c r="K73" i="3" s="1" a="1"/>
  <c r="K73" i="3" s="1"/>
  <c r="I72" i="3" a="1"/>
  <c r="I72" i="3" s="1"/>
  <c r="K72" i="3" s="1" a="1"/>
  <c r="K72" i="3" s="1"/>
  <c r="K60" i="3" a="1"/>
  <c r="K60" i="3" s="1"/>
  <c r="D91" i="3" a="1"/>
  <c r="D91" i="3" s="1"/>
  <c r="E91" i="3" s="1"/>
  <c r="D86" i="3" a="1"/>
  <c r="D86" i="3" s="1"/>
  <c r="E86" i="3" s="1"/>
  <c r="D95" i="3" a="1"/>
  <c r="D95" i="3" s="1"/>
  <c r="E95" i="3" s="1"/>
  <c r="D88" i="3" a="1"/>
  <c r="D88" i="3" s="1"/>
  <c r="E88" i="3" s="1"/>
  <c r="D90" i="3" a="1"/>
  <c r="D90" i="3" s="1"/>
  <c r="E90" i="3" s="1"/>
  <c r="D87" i="3" a="1"/>
  <c r="D87" i="3" s="1"/>
  <c r="D97" i="3" a="1"/>
  <c r="D97" i="3" s="1"/>
  <c r="D84" i="3" a="1"/>
  <c r="D84" i="3" s="1"/>
  <c r="E84" i="3" s="1"/>
  <c r="D89" i="3" a="1"/>
  <c r="D89" i="3" s="1"/>
  <c r="E89" i="3" s="1"/>
  <c r="D92" i="3" a="1"/>
  <c r="D92" i="3" s="1"/>
  <c r="E92" i="3" s="1"/>
  <c r="D85" i="3" a="1"/>
  <c r="D85" i="3" s="1"/>
  <c r="E85" i="3" s="1"/>
  <c r="D81" i="3" a="1"/>
  <c r="D81" i="3" s="1"/>
  <c r="E81" i="3" s="1"/>
  <c r="D93" i="3" a="1"/>
  <c r="D93" i="3" s="1"/>
  <c r="E93" i="3" s="1"/>
  <c r="D96" i="3" a="1"/>
  <c r="D96" i="3" s="1"/>
  <c r="E96" i="3" s="1"/>
  <c r="D82" i="3" a="1"/>
  <c r="D82" i="3" s="1"/>
  <c r="E82" i="3" s="1"/>
  <c r="D83" i="3" a="1"/>
  <c r="D83" i="3" s="1"/>
  <c r="E83" i="3" s="1"/>
  <c r="E77" i="3" a="1"/>
  <c r="E77" i="3" s="1"/>
  <c r="D80" i="3" a="1"/>
  <c r="D80" i="3" s="1"/>
  <c r="I68" i="3" a="1"/>
  <c r="I68" i="3" s="1"/>
  <c r="K68" i="3" s="1" a="1"/>
  <c r="K68" i="3" s="1"/>
  <c r="I70" i="3" a="1"/>
  <c r="I70" i="3" s="1"/>
  <c r="K70" i="3" s="1" a="1"/>
  <c r="K70" i="3" s="1"/>
  <c r="C69" i="3" a="1"/>
  <c r="C69" i="3" s="1"/>
  <c r="I71" i="3" a="1"/>
  <c r="I71" i="3" s="1"/>
  <c r="K71" i="3" s="1" a="1"/>
  <c r="K71" i="3" s="1"/>
  <c r="I65" i="3" a="1"/>
  <c r="I65" i="3" s="1"/>
  <c r="K65" i="3" s="1" a="1"/>
  <c r="K65" i="3" s="1"/>
  <c r="E114" i="3" s="1"/>
  <c r="G114" i="3" s="1"/>
  <c r="C65" i="3" a="1"/>
  <c r="C65" i="3" s="1"/>
  <c r="E108" i="3" s="1"/>
  <c r="G108" i="3" s="1"/>
  <c r="C64" i="3" a="1"/>
  <c r="C64" i="3" s="1"/>
  <c r="E25" i="4" l="1"/>
  <c r="D68" i="4" s="1"/>
  <c r="K25" i="4"/>
  <c r="K15" i="4"/>
  <c r="H46" i="4" a="1"/>
  <c r="H46" i="4" s="1"/>
  <c r="K26" i="4"/>
  <c r="E16" i="4"/>
  <c r="H45" i="4" a="1"/>
  <c r="H45" i="4" s="1"/>
  <c r="K16" i="4"/>
  <c r="H44" i="4" a="1"/>
  <c r="H44" i="4" s="1"/>
  <c r="F112" i="4" s="1"/>
  <c r="H112" i="4" s="1"/>
  <c r="K27" i="4"/>
  <c r="K17" i="4"/>
  <c r="K28" i="4"/>
  <c r="K18" i="4"/>
  <c r="K29" i="4"/>
  <c r="H43" i="4" a="1"/>
  <c r="H43" i="4" s="1"/>
  <c r="K19" i="4"/>
  <c r="K30" i="4"/>
  <c r="E23" i="4"/>
  <c r="D66" i="4" s="1"/>
  <c r="E18" i="4"/>
  <c r="D61" i="4" s="1"/>
  <c r="G33" i="3"/>
  <c r="F55" i="3"/>
  <c r="K24" i="4"/>
  <c r="I33" i="4"/>
  <c r="K20" i="4"/>
  <c r="E27" i="4"/>
  <c r="D70" i="4" s="1"/>
  <c r="H42" i="4" a="1"/>
  <c r="H42" i="4" s="1"/>
  <c r="E30" i="4"/>
  <c r="D73" i="4" s="1"/>
  <c r="E28" i="4"/>
  <c r="D71" i="4" s="1"/>
  <c r="E26" i="4"/>
  <c r="D69" i="4" s="1"/>
  <c r="E20" i="4"/>
  <c r="D63" i="4" s="1"/>
  <c r="E19" i="4"/>
  <c r="D62" i="4" s="1"/>
  <c r="E31" i="4"/>
  <c r="D74" i="4" s="1"/>
  <c r="H37" i="4" a="1"/>
  <c r="H37" i="4" s="1"/>
  <c r="B112" i="4" s="1"/>
  <c r="E29" i="4"/>
  <c r="D72" i="4" s="1"/>
  <c r="K31" i="4"/>
  <c r="E15" i="4"/>
  <c r="B106" i="4" s="1"/>
  <c r="E22" i="4"/>
  <c r="F106" i="4" s="1"/>
  <c r="D118" i="4"/>
  <c r="B122" i="4"/>
  <c r="D122" i="4" s="1"/>
  <c r="H50" i="4" a="1"/>
  <c r="H50" i="4" s="1"/>
  <c r="E17" i="4"/>
  <c r="D60" i="4" s="1"/>
  <c r="K21" i="4"/>
  <c r="H33" i="4"/>
  <c r="K32" i="4"/>
  <c r="K33" i="4" s="1"/>
  <c r="K22" i="4"/>
  <c r="K23" i="4"/>
  <c r="Q55" i="1"/>
  <c r="M55" i="1"/>
  <c r="R55" i="1"/>
  <c r="T55" i="1"/>
  <c r="S55" i="1"/>
  <c r="V55" i="1"/>
  <c r="N55" i="1"/>
  <c r="P55" i="1"/>
  <c r="U55" i="1"/>
  <c r="G55" i="4"/>
  <c r="H41" i="4" a="1"/>
  <c r="H41" i="4" s="1"/>
  <c r="C33" i="4"/>
  <c r="H40" i="4" a="1"/>
  <c r="H40" i="4" s="1"/>
  <c r="H53" i="4" a="1"/>
  <c r="H53" i="4" s="1"/>
  <c r="B33" i="4"/>
  <c r="H52" i="4" a="1"/>
  <c r="H52" i="4" s="1"/>
  <c r="H51" i="4" a="1"/>
  <c r="H51" i="4" s="1"/>
  <c r="H39" i="4" a="1"/>
  <c r="H39" i="4" s="1"/>
  <c r="E97" i="4"/>
  <c r="D98" i="4"/>
  <c r="H38" i="4" a="1"/>
  <c r="H38" i="4" s="1"/>
  <c r="E32" i="4"/>
  <c r="D75" i="4" s="1"/>
  <c r="H54" i="4" a="1"/>
  <c r="H54" i="4" s="1"/>
  <c r="E55" i="4"/>
  <c r="H49" i="4" a="1"/>
  <c r="H49" i="4" s="1"/>
  <c r="H48" i="4" a="1"/>
  <c r="H48" i="4" s="1"/>
  <c r="D33" i="4"/>
  <c r="H47" i="4" a="1"/>
  <c r="H47" i="4" s="1"/>
  <c r="C76" i="4"/>
  <c r="M55" i="3"/>
  <c r="K55" i="3"/>
  <c r="I55" i="3"/>
  <c r="N52" i="3" a="1"/>
  <c r="N52" i="3" s="1"/>
  <c r="N51" i="3" a="1"/>
  <c r="N51" i="3" s="1"/>
  <c r="G55" i="3"/>
  <c r="L55" i="3"/>
  <c r="N47" i="3" a="1"/>
  <c r="N47" i="3" s="1"/>
  <c r="N46" i="3" a="1"/>
  <c r="N46" i="3" s="1"/>
  <c r="N48" i="3" a="1"/>
  <c r="N48" i="3" s="1"/>
  <c r="D33" i="3"/>
  <c r="N50" i="3" a="1"/>
  <c r="N50" i="3" s="1"/>
  <c r="N40" i="3" a="1"/>
  <c r="N40" i="3" s="1"/>
  <c r="N49" i="3" a="1"/>
  <c r="N49" i="3" s="1"/>
  <c r="K18" i="3"/>
  <c r="K17" i="3"/>
  <c r="K15" i="3"/>
  <c r="B106" i="3" s="1"/>
  <c r="K16" i="3"/>
  <c r="J55" i="3"/>
  <c r="C76" i="3"/>
  <c r="I33" i="3"/>
  <c r="K25" i="3"/>
  <c r="F33" i="3"/>
  <c r="C33" i="3"/>
  <c r="N39" i="3" a="1"/>
  <c r="N39" i="3" s="1"/>
  <c r="J33" i="3"/>
  <c r="H33" i="3"/>
  <c r="E33" i="3"/>
  <c r="N44" i="3" a="1"/>
  <c r="N44" i="3" s="1"/>
  <c r="E112" i="3" s="1"/>
  <c r="G112" i="3" s="1"/>
  <c r="K20" i="3"/>
  <c r="N53" i="3" a="1"/>
  <c r="N53" i="3" s="1"/>
  <c r="N43" i="3" a="1"/>
  <c r="N43" i="3" s="1"/>
  <c r="N54" i="3" a="1"/>
  <c r="N54" i="3" s="1"/>
  <c r="H55" i="3"/>
  <c r="K31" i="3"/>
  <c r="N41" i="3" a="1"/>
  <c r="N41" i="3" s="1"/>
  <c r="N45" i="3" a="1"/>
  <c r="N45" i="3" s="1"/>
  <c r="K28" i="3"/>
  <c r="K27" i="3"/>
  <c r="N38" i="3" a="1"/>
  <c r="N38" i="3" s="1"/>
  <c r="E97" i="3"/>
  <c r="D98" i="3"/>
  <c r="K24" i="3"/>
  <c r="B33" i="3"/>
  <c r="K32" i="3"/>
  <c r="K26" i="3"/>
  <c r="K21" i="3"/>
  <c r="K29" i="3"/>
  <c r="N37" i="3" a="1"/>
  <c r="N37" i="3" s="1"/>
  <c r="B112" i="3" s="1"/>
  <c r="K23" i="3"/>
  <c r="K22" i="3"/>
  <c r="E106" i="3" s="1"/>
  <c r="G106" i="3" s="1"/>
  <c r="K30" i="3"/>
  <c r="K19" i="3"/>
  <c r="N42" i="3" a="1"/>
  <c r="N42" i="3" s="1"/>
  <c r="E87" i="3"/>
  <c r="E118" i="3"/>
  <c r="G118" i="3" s="1"/>
  <c r="K75" i="3" a="1"/>
  <c r="K75" i="3" s="1"/>
  <c r="K76" i="3" s="1"/>
  <c r="I76" i="3"/>
  <c r="E87" i="4"/>
  <c r="F118" i="4"/>
  <c r="F122" i="4" s="1"/>
  <c r="H122" i="4" s="1"/>
  <c r="K75" i="4" a="1"/>
  <c r="K75" i="4" s="1"/>
  <c r="K76" i="4" s="1"/>
  <c r="I76" i="4"/>
  <c r="B108" i="4"/>
  <c r="D108" i="4" s="1"/>
  <c r="D58" i="4"/>
  <c r="E80" i="3"/>
  <c r="E98" i="3" s="1"/>
  <c r="B118" i="3"/>
  <c r="D59" i="4"/>
  <c r="D64" i="4"/>
  <c r="D67" i="4"/>
  <c r="E80" i="4"/>
  <c r="H55" i="4" l="1"/>
  <c r="F116" i="4"/>
  <c r="H116" i="4" s="1"/>
  <c r="D65" i="4"/>
  <c r="F110" i="4"/>
  <c r="H110" i="4" s="1"/>
  <c r="H106" i="4"/>
  <c r="D106" i="4"/>
  <c r="B110" i="4"/>
  <c r="D110" i="4" s="1"/>
  <c r="D112" i="4"/>
  <c r="B116" i="4"/>
  <c r="D116" i="4" s="1"/>
  <c r="E98" i="4"/>
  <c r="E33" i="4"/>
  <c r="E110" i="3"/>
  <c r="G110" i="3" s="1"/>
  <c r="N55" i="3"/>
  <c r="B116" i="3"/>
  <c r="D116" i="3" s="1"/>
  <c r="D112" i="3"/>
  <c r="B110" i="3"/>
  <c r="D110" i="3" s="1"/>
  <c r="D106" i="3"/>
  <c r="B122" i="3"/>
  <c r="D122" i="3" s="1"/>
  <c r="D118" i="3"/>
  <c r="D76" i="4"/>
  <c r="E116" i="3"/>
  <c r="G116" i="3" s="1"/>
  <c r="K33" i="3"/>
  <c r="E122" i="3"/>
  <c r="G122" i="3" s="1"/>
  <c r="H118" i="4"/>
  <c r="A2" i="1" l="1"/>
  <c r="S13" i="1" a="1"/>
  <c r="S13" i="1"/>
  <c r="S21" i="1" s="1" a="1"/>
  <c r="S21" i="1" s="1"/>
  <c r="R13" i="1" a="1"/>
  <c r="R13" i="1" s="1"/>
  <c r="Q13" i="1" a="1"/>
  <c r="Q13" i="1" s="1"/>
  <c r="P13" i="1" a="1"/>
  <c r="P13" i="1" s="1"/>
  <c r="O13" i="1" a="1"/>
  <c r="O13" i="1"/>
  <c r="O15" i="1" s="1" a="1"/>
  <c r="O15" i="1" s="1"/>
  <c r="N13" i="1" a="1"/>
  <c r="N13" i="1" s="1"/>
  <c r="M13" i="1" a="1"/>
  <c r="M13" i="1" s="1"/>
  <c r="M15" i="1" s="1" a="1"/>
  <c r="M15" i="1" s="1"/>
  <c r="L13" i="1" a="1"/>
  <c r="L13" i="1" s="1"/>
  <c r="C13" i="1" a="1"/>
  <c r="C13" i="1" s="1"/>
  <c r="D13" i="1" a="1"/>
  <c r="D13" i="1" s="1"/>
  <c r="E13" i="1" a="1"/>
  <c r="E13" i="1"/>
  <c r="F13" i="1" a="1"/>
  <c r="F13" i="1"/>
  <c r="G13" i="1" a="1"/>
  <c r="G13" i="1" s="1"/>
  <c r="H13" i="1" a="1"/>
  <c r="H13" i="1" s="1"/>
  <c r="I13" i="1" a="1"/>
  <c r="I13" i="1"/>
  <c r="J13" i="1" a="1"/>
  <c r="J13" i="1"/>
  <c r="J17" i="1" s="1" a="1"/>
  <c r="J17" i="1" s="1"/>
  <c r="K13" i="1" a="1"/>
  <c r="K13" i="1"/>
  <c r="B11" i="1"/>
  <c r="B13" i="1" s="1" a="1"/>
  <c r="B13" i="1" s="1"/>
  <c r="B15" i="1" s="1" a="1"/>
  <c r="B15" i="1" s="1"/>
  <c r="D58" i="5" s="1"/>
  <c r="D76" i="5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2" i="1"/>
  <c r="I61" i="1" s="1" a="1"/>
  <c r="I61" i="1" s="1"/>
  <c r="K25" i="1" l="1" a="1"/>
  <c r="K25" i="1" s="1"/>
  <c r="K26" i="1" a="1"/>
  <c r="K26" i="1" s="1"/>
  <c r="K27" i="1" a="1"/>
  <c r="K27" i="1" s="1"/>
  <c r="K31" i="1" a="1"/>
  <c r="K31" i="1" s="1"/>
  <c r="K32" i="1" a="1"/>
  <c r="K32" i="1" s="1"/>
  <c r="K15" i="1" a="1"/>
  <c r="K15" i="1" s="1"/>
  <c r="K33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8" i="1" a="1"/>
  <c r="K28" i="1" s="1"/>
  <c r="K29" i="1" a="1"/>
  <c r="K29" i="1" s="1"/>
  <c r="K30" i="1" a="1"/>
  <c r="K30" i="1" s="1"/>
  <c r="J15" i="1" a="1"/>
  <c r="J15" i="1" s="1"/>
  <c r="J76" i="1"/>
  <c r="Q24" i="1" a="1"/>
  <c r="Q24" i="1" s="1"/>
  <c r="Q23" i="1" a="1"/>
  <c r="Q23" i="1" s="1"/>
  <c r="Q25" i="1" a="1"/>
  <c r="Q25" i="1" s="1"/>
  <c r="Q26" i="1" a="1"/>
  <c r="Q26" i="1" s="1"/>
  <c r="S28" i="1" a="1"/>
  <c r="S28" i="1" s="1"/>
  <c r="S27" i="1" a="1"/>
  <c r="S27" i="1" s="1"/>
  <c r="S25" i="1" a="1"/>
  <c r="S25" i="1" s="1"/>
  <c r="S26" i="1" a="1"/>
  <c r="S26" i="1" s="1"/>
  <c r="S15" i="1" a="1"/>
  <c r="S15" i="1" s="1"/>
  <c r="J30" i="1" a="1"/>
  <c r="J30" i="1" s="1"/>
  <c r="J24" i="1" a="1"/>
  <c r="J24" i="1" s="1"/>
  <c r="J20" i="1" a="1"/>
  <c r="J2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3" i="1" a="1"/>
  <c r="J23" i="1" s="1"/>
  <c r="J22" i="1" a="1"/>
  <c r="J22" i="1" s="1"/>
  <c r="J21" i="1" a="1"/>
  <c r="J21" i="1" s="1"/>
  <c r="J16" i="1" a="1"/>
  <c r="J16" i="1" s="1"/>
  <c r="K61" i="1" a="1"/>
  <c r="K61" i="1" s="1"/>
  <c r="M25" i="1" a="1"/>
  <c r="M25" i="1" s="1"/>
  <c r="M24" i="1" a="1"/>
  <c r="M24" i="1" s="1"/>
  <c r="Q29" i="1" a="1"/>
  <c r="Q29" i="1" s="1"/>
  <c r="Q28" i="1" a="1"/>
  <c r="Q28" i="1" s="1"/>
  <c r="Q27" i="1" a="1"/>
  <c r="Q27" i="1" s="1"/>
  <c r="M23" i="1" a="1"/>
  <c r="M23" i="1" s="1"/>
  <c r="M22" i="1" a="1"/>
  <c r="M22" i="1" s="1"/>
  <c r="O23" i="1" a="1"/>
  <c r="O23" i="1" s="1"/>
  <c r="O22" i="1" a="1"/>
  <c r="O22" i="1" s="1"/>
  <c r="O21" i="1" a="1"/>
  <c r="O21" i="1" s="1"/>
  <c r="M32" i="1" a="1"/>
  <c r="M32" i="1" s="1"/>
  <c r="M33" i="1" s="1"/>
  <c r="O20" i="1" a="1"/>
  <c r="O20" i="1" s="1"/>
  <c r="M31" i="1" a="1"/>
  <c r="M31" i="1" s="1"/>
  <c r="O19" i="1" a="1"/>
  <c r="O19" i="1" s="1"/>
  <c r="S24" i="1" a="1"/>
  <c r="S24" i="1" s="1"/>
  <c r="M30" i="1" a="1"/>
  <c r="M30" i="1" s="1"/>
  <c r="O18" i="1" a="1"/>
  <c r="O18" i="1" s="1"/>
  <c r="S20" i="1" a="1"/>
  <c r="S20" i="1" s="1"/>
  <c r="M29" i="1" a="1"/>
  <c r="M29" i="1" s="1"/>
  <c r="O17" i="1" a="1"/>
  <c r="O17" i="1" s="1"/>
  <c r="S19" i="1" a="1"/>
  <c r="S19" i="1" s="1"/>
  <c r="M28" i="1" a="1"/>
  <c r="M28" i="1" s="1"/>
  <c r="O16" i="1" a="1"/>
  <c r="O16" i="1" s="1"/>
  <c r="S18" i="1" a="1"/>
  <c r="S18" i="1" s="1"/>
  <c r="M27" i="1" a="1"/>
  <c r="M27" i="1" s="1"/>
  <c r="Q32" i="1" a="1"/>
  <c r="Q32" i="1" s="1"/>
  <c r="J32" i="1" a="1"/>
  <c r="J32" i="1" s="1"/>
  <c r="Q31" i="1" a="1"/>
  <c r="Q31" i="1" s="1"/>
  <c r="S17" i="1" a="1"/>
  <c r="S17" i="1" s="1"/>
  <c r="J31" i="1" a="1"/>
  <c r="J31" i="1" s="1"/>
  <c r="M26" i="1" a="1"/>
  <c r="M26" i="1" s="1"/>
  <c r="Q30" i="1" a="1"/>
  <c r="Q30" i="1" s="1"/>
  <c r="S16" i="1" a="1"/>
  <c r="S16" i="1" s="1"/>
  <c r="M21" i="1" a="1"/>
  <c r="M21" i="1" s="1"/>
  <c r="M20" i="1" a="1"/>
  <c r="M20" i="1" s="1"/>
  <c r="M19" i="1" a="1"/>
  <c r="M19" i="1" s="1"/>
  <c r="I59" i="1" a="1"/>
  <c r="I59" i="1" s="1"/>
  <c r="K59" i="1" s="1" a="1"/>
  <c r="K59" i="1" s="1"/>
  <c r="M17" i="1" a="1"/>
  <c r="M17" i="1" s="1"/>
  <c r="I58" i="1" a="1"/>
  <c r="I58" i="1" s="1"/>
  <c r="K58" i="1" s="1" a="1"/>
  <c r="K58" i="1" s="1"/>
  <c r="B114" i="1" s="1"/>
  <c r="D114" i="1" s="1"/>
  <c r="M16" i="1" a="1"/>
  <c r="M16" i="1" s="1"/>
  <c r="Q19" i="1" a="1"/>
  <c r="Q19" i="1" s="1"/>
  <c r="O30" i="1" a="1"/>
  <c r="O30" i="1" s="1"/>
  <c r="J19" i="1" a="1"/>
  <c r="J19" i="1" s="1"/>
  <c r="O27" i="1" a="1"/>
  <c r="O27" i="1" s="1"/>
  <c r="Q16" i="1" a="1"/>
  <c r="Q16" i="1" s="1"/>
  <c r="Q15" i="1" a="1"/>
  <c r="Q15" i="1" s="1"/>
  <c r="J18" i="1" a="1"/>
  <c r="J18" i="1" s="1"/>
  <c r="O26" i="1" a="1"/>
  <c r="O26" i="1" s="1"/>
  <c r="S32" i="1" a="1"/>
  <c r="S32" i="1" s="1"/>
  <c r="S31" i="1" a="1"/>
  <c r="S31" i="1" s="1"/>
  <c r="O25" i="1" a="1"/>
  <c r="O25" i="1" s="1"/>
  <c r="S30" i="1" a="1"/>
  <c r="S30" i="1" s="1"/>
  <c r="I67" i="1" a="1"/>
  <c r="I67" i="1" s="1"/>
  <c r="K67" i="1" s="1" a="1"/>
  <c r="K67" i="1" s="1"/>
  <c r="I60" i="1" a="1"/>
  <c r="I60" i="1" s="1"/>
  <c r="K60" i="1" s="1" a="1"/>
  <c r="K60" i="1" s="1"/>
  <c r="M18" i="1" a="1"/>
  <c r="M18" i="1" s="1"/>
  <c r="Q22" i="1" a="1"/>
  <c r="Q22" i="1" s="1"/>
  <c r="Q21" i="1" a="1"/>
  <c r="Q21" i="1" s="1"/>
  <c r="Q20" i="1" a="1"/>
  <c r="Q20" i="1" s="1"/>
  <c r="O32" i="1" a="1"/>
  <c r="O32" i="1" s="1"/>
  <c r="O33" i="1" s="1"/>
  <c r="O31" i="1" a="1"/>
  <c r="O31" i="1" s="1"/>
  <c r="Q18" i="1" a="1"/>
  <c r="Q18" i="1" s="1"/>
  <c r="Q17" i="1" a="1"/>
  <c r="Q17" i="1" s="1"/>
  <c r="O24" i="1" a="1"/>
  <c r="O24" i="1" s="1"/>
  <c r="S29" i="1" a="1"/>
  <c r="S29" i="1" s="1"/>
  <c r="I75" i="1" a="1"/>
  <c r="I75" i="1" s="1"/>
  <c r="I74" i="1" a="1"/>
  <c r="I74" i="1" s="1"/>
  <c r="K74" i="1" s="1" a="1"/>
  <c r="K74" i="1" s="1"/>
  <c r="I71" i="1" a="1"/>
  <c r="I71" i="1" s="1"/>
  <c r="K71" i="1" s="1" a="1"/>
  <c r="K71" i="1" s="1"/>
  <c r="I69" i="1" a="1"/>
  <c r="I69" i="1" s="1"/>
  <c r="K69" i="1" s="1" a="1"/>
  <c r="K69" i="1" s="1"/>
  <c r="I73" i="1" a="1"/>
  <c r="I73" i="1" s="1"/>
  <c r="K73" i="1" s="1" a="1"/>
  <c r="K73" i="1" s="1"/>
  <c r="I72" i="1" a="1"/>
  <c r="I72" i="1" s="1"/>
  <c r="K72" i="1" s="1" a="1"/>
  <c r="K72" i="1" s="1"/>
  <c r="I70" i="1" a="1"/>
  <c r="I70" i="1" s="1"/>
  <c r="K70" i="1" s="1" a="1"/>
  <c r="K70" i="1" s="1"/>
  <c r="I68" i="1" a="1"/>
  <c r="I68" i="1" s="1"/>
  <c r="K68" i="1" s="1" a="1"/>
  <c r="K68" i="1" s="1"/>
  <c r="I66" i="1" a="1"/>
  <c r="I66" i="1" s="1"/>
  <c r="K66" i="1" s="1" a="1"/>
  <c r="K66" i="1" s="1"/>
  <c r="I65" i="1" a="1"/>
  <c r="I65" i="1" s="1"/>
  <c r="K65" i="1" s="1" a="1"/>
  <c r="K65" i="1" s="1"/>
  <c r="F114" i="1" s="1"/>
  <c r="H114" i="1" s="1"/>
  <c r="I64" i="1" a="1"/>
  <c r="I64" i="1" s="1"/>
  <c r="K64" i="1" s="1" a="1"/>
  <c r="K64" i="1" s="1"/>
  <c r="I63" i="1" a="1"/>
  <c r="I63" i="1" s="1"/>
  <c r="K63" i="1" s="1" a="1"/>
  <c r="K63" i="1" s="1"/>
  <c r="I62" i="1" a="1"/>
  <c r="I62" i="1" s="1"/>
  <c r="K62" i="1" s="1" a="1"/>
  <c r="K62" i="1" s="1"/>
  <c r="S23" i="1" a="1"/>
  <c r="S23" i="1" s="1"/>
  <c r="S22" i="1" a="1"/>
  <c r="S22" i="1" s="1"/>
  <c r="R28" i="1" a="1"/>
  <c r="R28" i="1" s="1"/>
  <c r="R18" i="1" a="1"/>
  <c r="R18" i="1" s="1"/>
  <c r="R19" i="1" a="1"/>
  <c r="R19" i="1" s="1"/>
  <c r="R29" i="1" a="1"/>
  <c r="R29" i="1" s="1"/>
  <c r="R30" i="1" a="1"/>
  <c r="R30" i="1" s="1"/>
  <c r="R31" i="1" a="1"/>
  <c r="R31" i="1" s="1"/>
  <c r="R15" i="1" a="1"/>
  <c r="R15" i="1" s="1"/>
  <c r="R32" i="1" a="1"/>
  <c r="R32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P32" i="1" a="1"/>
  <c r="P32" i="1" s="1"/>
  <c r="P23" i="1" a="1"/>
  <c r="P23" i="1" s="1"/>
  <c r="P31" i="1" a="1"/>
  <c r="P31" i="1" s="1"/>
  <c r="P24" i="1" a="1"/>
  <c r="P24" i="1" s="1"/>
  <c r="P15" i="1" a="1"/>
  <c r="P15" i="1" s="1"/>
  <c r="P18" i="1" a="1"/>
  <c r="P18" i="1" s="1"/>
  <c r="P16" i="1" a="1"/>
  <c r="P16" i="1" s="1"/>
  <c r="P17" i="1" a="1"/>
  <c r="P17" i="1" s="1"/>
  <c r="P19" i="1" a="1"/>
  <c r="P19" i="1" s="1"/>
  <c r="P20" i="1" a="1"/>
  <c r="P20" i="1" s="1"/>
  <c r="P22" i="1" a="1"/>
  <c r="P22" i="1" s="1"/>
  <c r="P21" i="1" a="1"/>
  <c r="P21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O29" i="1" a="1"/>
  <c r="O29" i="1" s="1"/>
  <c r="O28" i="1" a="1"/>
  <c r="O28" i="1" s="1"/>
  <c r="N18" i="1" a="1"/>
  <c r="N18" i="1" s="1"/>
  <c r="N19" i="1" a="1"/>
  <c r="N19" i="1" s="1"/>
  <c r="N25" i="1" a="1"/>
  <c r="N25" i="1" s="1"/>
  <c r="N26" i="1" a="1"/>
  <c r="N26" i="1" s="1"/>
  <c r="N17" i="1" a="1"/>
  <c r="N17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9" i="1" a="1"/>
  <c r="N29" i="1" s="1"/>
  <c r="N28" i="1" a="1"/>
  <c r="N28" i="1" s="1"/>
  <c r="N30" i="1" a="1"/>
  <c r="N30" i="1" s="1"/>
  <c r="N27" i="1" a="1"/>
  <c r="N27" i="1" s="1"/>
  <c r="N31" i="1" a="1"/>
  <c r="N31" i="1" s="1"/>
  <c r="N32" i="1" a="1"/>
  <c r="N32" i="1" s="1"/>
  <c r="N15" i="1" a="1"/>
  <c r="N15" i="1" s="1"/>
  <c r="N16" i="1" a="1"/>
  <c r="N16" i="1" s="1"/>
  <c r="L24" i="1" a="1"/>
  <c r="L24" i="1" s="1"/>
  <c r="L30" i="1" a="1"/>
  <c r="L30" i="1" s="1"/>
  <c r="L25" i="1" a="1"/>
  <c r="L25" i="1" s="1"/>
  <c r="L26" i="1" a="1"/>
  <c r="L26" i="1" s="1"/>
  <c r="L22" i="1" a="1"/>
  <c r="L22" i="1" s="1"/>
  <c r="L27" i="1" a="1"/>
  <c r="L27" i="1" s="1"/>
  <c r="L28" i="1" a="1"/>
  <c r="L28" i="1" s="1"/>
  <c r="L29" i="1" a="1"/>
  <c r="L29" i="1" s="1"/>
  <c r="L31" i="1" a="1"/>
  <c r="L31" i="1" s="1"/>
  <c r="L15" i="1" a="1"/>
  <c r="L15" i="1" s="1"/>
  <c r="L16" i="1" a="1"/>
  <c r="L16" i="1" s="1"/>
  <c r="L21" i="1" a="1"/>
  <c r="L21" i="1" s="1"/>
  <c r="L32" i="1" a="1"/>
  <c r="L32" i="1" s="1"/>
  <c r="L23" i="1" a="1"/>
  <c r="L23" i="1" s="1"/>
  <c r="L17" i="1" a="1"/>
  <c r="L17" i="1" s="1"/>
  <c r="L18" i="1" a="1"/>
  <c r="L18" i="1" s="1"/>
  <c r="L19" i="1" a="1"/>
  <c r="L19" i="1" s="1"/>
  <c r="L20" i="1" a="1"/>
  <c r="L20" i="1" s="1"/>
  <c r="R33" i="1" l="1"/>
  <c r="L33" i="1"/>
  <c r="J33" i="1"/>
  <c r="Q33" i="1"/>
  <c r="P33" i="1"/>
  <c r="N33" i="1"/>
  <c r="S33" i="1"/>
  <c r="K75" i="1" a="1"/>
  <c r="K75" i="1" s="1"/>
  <c r="K76" i="1" s="1"/>
  <c r="I76" i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F120" i="1" s="1"/>
  <c r="H120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B120" i="1" s="1"/>
  <c r="D120" i="1" s="1"/>
  <c r="B80" i="1" a="1"/>
  <c r="B80" i="1" s="1"/>
  <c r="B119" i="1" s="1"/>
  <c r="D11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F119" i="1" s="1"/>
  <c r="H119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F35" i="1"/>
  <c r="G35" i="1"/>
  <c r="H35" i="1"/>
  <c r="I35" i="1"/>
  <c r="J35" i="1"/>
  <c r="L35" i="1"/>
  <c r="L42" i="1" l="1" a="1"/>
  <c r="L42" i="1" s="1"/>
  <c r="L43" i="1" a="1"/>
  <c r="L43" i="1" s="1"/>
  <c r="L41" i="1" a="1"/>
  <c r="L41" i="1" s="1"/>
  <c r="L44" i="1" a="1"/>
  <c r="L44" i="1" s="1"/>
  <c r="L40" i="1" a="1"/>
  <c r="L40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37" i="1" a="1"/>
  <c r="L37" i="1" s="1"/>
  <c r="L55" i="1" s="1"/>
  <c r="L38" i="1" a="1"/>
  <c r="L38" i="1" s="1"/>
  <c r="L39" i="1" a="1"/>
  <c r="L39" i="1" s="1"/>
  <c r="J46" i="1" a="1"/>
  <c r="J46" i="1" s="1"/>
  <c r="J47" i="1" a="1"/>
  <c r="J47" i="1" s="1"/>
  <c r="J41" i="1" a="1"/>
  <c r="J41" i="1" s="1"/>
  <c r="J42" i="1" a="1"/>
  <c r="J42" i="1" s="1"/>
  <c r="J37" i="1" a="1"/>
  <c r="J37" i="1" s="1"/>
  <c r="J38" i="1" a="1"/>
  <c r="J38" i="1" s="1"/>
  <c r="J39" i="1" a="1"/>
  <c r="J39" i="1" s="1"/>
  <c r="J40" i="1" a="1"/>
  <c r="J40" i="1" s="1"/>
  <c r="J43" i="1" a="1"/>
  <c r="J43" i="1" s="1"/>
  <c r="J44" i="1" a="1"/>
  <c r="J44" i="1" s="1"/>
  <c r="J45" i="1" a="1"/>
  <c r="J45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I47" i="1" a="1"/>
  <c r="I47" i="1" s="1"/>
  <c r="I48" i="1" a="1"/>
  <c r="I48" i="1" s="1"/>
  <c r="I40" i="1" a="1"/>
  <c r="I40" i="1" s="1"/>
  <c r="I41" i="1" a="1"/>
  <c r="I41" i="1" s="1"/>
  <c r="I52" i="1" a="1"/>
  <c r="I52" i="1" s="1"/>
  <c r="I53" i="1" a="1"/>
  <c r="I53" i="1" s="1"/>
  <c r="I54" i="1" a="1"/>
  <c r="I54" i="1" s="1"/>
  <c r="I37" i="1" a="1"/>
  <c r="I37" i="1" s="1"/>
  <c r="I38" i="1" a="1"/>
  <c r="I38" i="1" s="1"/>
  <c r="I39" i="1" a="1"/>
  <c r="I39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9" i="1" a="1"/>
  <c r="I49" i="1" s="1"/>
  <c r="I50" i="1" a="1"/>
  <c r="I50" i="1" s="1"/>
  <c r="I51" i="1" a="1"/>
  <c r="I51" i="1" s="1"/>
  <c r="H49" i="1" a="1"/>
  <c r="H49" i="1" s="1"/>
  <c r="H50" i="1" a="1"/>
  <c r="H50" i="1" s="1"/>
  <c r="H40" i="1" a="1"/>
  <c r="H40" i="1" s="1"/>
  <c r="H41" i="1" a="1"/>
  <c r="H41" i="1" s="1"/>
  <c r="H47" i="1" a="1"/>
  <c r="H47" i="1" s="1"/>
  <c r="H48" i="1" a="1"/>
  <c r="H48" i="1" s="1"/>
  <c r="H51" i="1" a="1"/>
  <c r="H51" i="1" s="1"/>
  <c r="H52" i="1" a="1"/>
  <c r="H52" i="1" s="1"/>
  <c r="H53" i="1" a="1"/>
  <c r="H53" i="1" s="1"/>
  <c r="H54" i="1" a="1"/>
  <c r="H54" i="1" s="1"/>
  <c r="H37" i="1" a="1"/>
  <c r="H37" i="1" s="1"/>
  <c r="H38" i="1" a="1"/>
  <c r="H38" i="1" s="1"/>
  <c r="H39" i="1" a="1"/>
  <c r="H39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G51" i="1" a="1"/>
  <c r="G51" i="1" s="1"/>
  <c r="G52" i="1" a="1"/>
  <c r="G52" i="1" s="1"/>
  <c r="G53" i="1" a="1"/>
  <c r="G53" i="1" s="1"/>
  <c r="G39" i="1" a="1"/>
  <c r="G39" i="1" s="1"/>
  <c r="G40" i="1" a="1"/>
  <c r="G40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4" i="1" a="1"/>
  <c r="G54" i="1" s="1"/>
  <c r="G37" i="1" a="1"/>
  <c r="G37" i="1" s="1"/>
  <c r="G38" i="1" a="1"/>
  <c r="G38" i="1" s="1"/>
  <c r="G41" i="1" a="1"/>
  <c r="G41" i="1" s="1"/>
  <c r="G42" i="1" a="1"/>
  <c r="G42" i="1" s="1"/>
  <c r="G43" i="1" a="1"/>
  <c r="G43" i="1" s="1"/>
  <c r="F37" i="1" a="1"/>
  <c r="F37" i="1" s="1"/>
  <c r="F53" i="1" a="1"/>
  <c r="F53" i="1" s="1"/>
  <c r="F38" i="1" a="1"/>
  <c r="F38" i="1" s="1"/>
  <c r="F54" i="1" a="1"/>
  <c r="F54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D93" i="1" a="1"/>
  <c r="D93" i="1" s="1"/>
  <c r="E93" i="1" s="1"/>
  <c r="D80" i="1" a="1"/>
  <c r="D80" i="1" s="1"/>
  <c r="D96" i="1" a="1"/>
  <c r="D96" i="1" s="1"/>
  <c r="E96" i="1" s="1"/>
  <c r="D94" i="1" a="1"/>
  <c r="D94" i="1" s="1"/>
  <c r="E94" i="1" s="1"/>
  <c r="D88" i="1" a="1"/>
  <c r="D88" i="1" s="1"/>
  <c r="E88" i="1" s="1"/>
  <c r="D97" i="1" a="1"/>
  <c r="D97" i="1" s="1"/>
  <c r="D95" i="1" a="1"/>
  <c r="D95" i="1" s="1"/>
  <c r="E95" i="1" s="1"/>
  <c r="D92" i="1" a="1"/>
  <c r="D92" i="1" s="1"/>
  <c r="E92" i="1" s="1"/>
  <c r="D86" i="1" a="1"/>
  <c r="D86" i="1" s="1"/>
  <c r="E86" i="1" s="1"/>
  <c r="D81" i="1" a="1"/>
  <c r="D81" i="1" s="1"/>
  <c r="E81" i="1" s="1"/>
  <c r="D91" i="1" a="1"/>
  <c r="D91" i="1" s="1"/>
  <c r="E91" i="1" s="1"/>
  <c r="D87" i="1" a="1"/>
  <c r="D87" i="1" s="1"/>
  <c r="F118" i="1" s="1"/>
  <c r="D90" i="1" a="1"/>
  <c r="D90" i="1" s="1"/>
  <c r="E90" i="1" s="1"/>
  <c r="D83" i="1" a="1"/>
  <c r="D83" i="1" s="1"/>
  <c r="E83" i="1" s="1"/>
  <c r="D89" i="1" a="1"/>
  <c r="D89" i="1" s="1"/>
  <c r="E89" i="1" s="1"/>
  <c r="D82" i="1" a="1"/>
  <c r="D82" i="1" s="1"/>
  <c r="E82" i="1" s="1"/>
  <c r="D85" i="1" a="1"/>
  <c r="D85" i="1" s="1"/>
  <c r="E85" i="1" s="1"/>
  <c r="D84" i="1" a="1"/>
  <c r="D84" i="1" s="1"/>
  <c r="E84" i="1" s="1"/>
  <c r="E41" i="1" a="1"/>
  <c r="E41" i="1" s="1"/>
  <c r="E52" i="1" a="1"/>
  <c r="E52" i="1" s="1"/>
  <c r="E39" i="1" a="1"/>
  <c r="E39" i="1" s="1"/>
  <c r="E40" i="1" a="1"/>
  <c r="E40" i="1" s="1"/>
  <c r="E51" i="1" a="1"/>
  <c r="E51" i="1" s="1"/>
  <c r="E46" i="1" a="1"/>
  <c r="E46" i="1" s="1"/>
  <c r="E38" i="1" a="1"/>
  <c r="E38" i="1" s="1"/>
  <c r="E48" i="1" a="1"/>
  <c r="E48" i="1" s="1"/>
  <c r="E53" i="1" a="1"/>
  <c r="E53" i="1" s="1"/>
  <c r="E45" i="1" a="1"/>
  <c r="E45" i="1" s="1"/>
  <c r="E37" i="1" a="1"/>
  <c r="E37" i="1" s="1"/>
  <c r="E50" i="1" a="1"/>
  <c r="E50" i="1" s="1"/>
  <c r="E44" i="1" a="1"/>
  <c r="E44" i="1" s="1"/>
  <c r="E54" i="1" a="1"/>
  <c r="E54" i="1" s="1"/>
  <c r="E49" i="1" a="1"/>
  <c r="E49" i="1" s="1"/>
  <c r="E43" i="1" a="1"/>
  <c r="E43" i="1" s="1"/>
  <c r="E42" i="1" a="1"/>
  <c r="E42" i="1" s="1"/>
  <c r="E47" i="1" a="1"/>
  <c r="E47" i="1" s="1"/>
  <c r="D98" i="1" l="1"/>
  <c r="W52" i="1" a="1"/>
  <c r="W52" i="1" s="1"/>
  <c r="H55" i="1"/>
  <c r="W41" i="1" a="1"/>
  <c r="W41" i="1" s="1"/>
  <c r="F55" i="1"/>
  <c r="H118" i="1"/>
  <c r="F122" i="1"/>
  <c r="H122" i="1" s="1"/>
  <c r="W42" i="1" a="1"/>
  <c r="W42" i="1" s="1"/>
  <c r="W49" i="1" a="1"/>
  <c r="W49" i="1" s="1"/>
  <c r="W44" i="1" a="1"/>
  <c r="W44" i="1" s="1"/>
  <c r="F112" i="1" s="1"/>
  <c r="I55" i="1"/>
  <c r="W37" i="1" a="1"/>
  <c r="W37" i="1" s="1"/>
  <c r="B112" i="1" s="1"/>
  <c r="W45" i="1" a="1"/>
  <c r="W45" i="1" s="1"/>
  <c r="W48" i="1" a="1"/>
  <c r="W48" i="1" s="1"/>
  <c r="J55" i="1"/>
  <c r="G55" i="1"/>
  <c r="W47" i="1" a="1"/>
  <c r="W47" i="1" s="1"/>
  <c r="W43" i="1" a="1"/>
  <c r="W43" i="1" s="1"/>
  <c r="W50" i="1" a="1"/>
  <c r="W50" i="1" s="1"/>
  <c r="W53" i="1" a="1"/>
  <c r="W53" i="1" s="1"/>
  <c r="W38" i="1" a="1"/>
  <c r="W38" i="1" s="1"/>
  <c r="W46" i="1" a="1"/>
  <c r="W46" i="1" s="1"/>
  <c r="W51" i="1" a="1"/>
  <c r="W51" i="1" s="1"/>
  <c r="W40" i="1" a="1"/>
  <c r="W40" i="1" s="1"/>
  <c r="W39" i="1" a="1"/>
  <c r="W39" i="1" s="1"/>
  <c r="E80" i="1"/>
  <c r="B118" i="1"/>
  <c r="E87" i="1"/>
  <c r="E97" i="1"/>
  <c r="E55" i="1"/>
  <c r="W54" i="1" a="1"/>
  <c r="W54" i="1" s="1"/>
  <c r="W5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s="1"/>
  <c r="C58" i="1" a="1"/>
  <c r="C58" i="1" s="1"/>
  <c r="B108" i="1" s="1"/>
  <c r="D10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F108" i="1" s="1"/>
  <c r="H108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B116" i="1" l="1"/>
  <c r="D116" i="1" s="1"/>
  <c r="D112" i="1"/>
  <c r="F33" i="1"/>
  <c r="H112" i="1"/>
  <c r="F116" i="1"/>
  <c r="H116" i="1" s="1"/>
  <c r="D118" i="1"/>
  <c r="B122" i="1"/>
  <c r="D122" i="1" s="1"/>
  <c r="D33" i="1"/>
  <c r="H33" i="1"/>
  <c r="C33" i="1"/>
  <c r="G33" i="1"/>
  <c r="E33" i="1"/>
  <c r="I33" i="1"/>
  <c r="C76" i="1"/>
  <c r="T27" i="1"/>
  <c r="D70" i="1" s="1"/>
  <c r="T26" i="1"/>
  <c r="D69" i="1" s="1"/>
  <c r="T25" i="1"/>
  <c r="D68" i="1" s="1"/>
  <c r="T28" i="1"/>
  <c r="D71" i="1" s="1"/>
  <c r="T20" i="1"/>
  <c r="D63" i="1" s="1"/>
  <c r="T19" i="1"/>
  <c r="D62" i="1" s="1"/>
  <c r="T18" i="1"/>
  <c r="D61" i="1" s="1"/>
  <c r="T21" i="1"/>
  <c r="D64" i="1" s="1"/>
  <c r="T17" i="1"/>
  <c r="D60" i="1" s="1"/>
  <c r="T30" i="1"/>
  <c r="D73" i="1" s="1"/>
  <c r="T24" i="1"/>
  <c r="D67" i="1" s="1"/>
  <c r="T23" i="1"/>
  <c r="D66" i="1" s="1"/>
  <c r="T22" i="1"/>
  <c r="T16" i="1"/>
  <c r="D59" i="1" s="1"/>
  <c r="T32" i="1"/>
  <c r="T31" i="1"/>
  <c r="D74" i="1" s="1"/>
  <c r="T29" i="1"/>
  <c r="D72" i="1" s="1"/>
  <c r="T15" i="1"/>
  <c r="D69" i="3"/>
  <c r="D64" i="3"/>
  <c r="D73" i="3"/>
  <c r="D65" i="3"/>
  <c r="D67" i="3"/>
  <c r="D61" i="3"/>
  <c r="D75" i="3"/>
  <c r="D74" i="3"/>
  <c r="D59" i="3"/>
  <c r="D71" i="3"/>
  <c r="D62" i="3"/>
  <c r="D60" i="3"/>
  <c r="D58" i="3"/>
  <c r="D68" i="3"/>
  <c r="D70" i="3"/>
  <c r="D66" i="3"/>
  <c r="D72" i="3"/>
  <c r="D63" i="3"/>
  <c r="D76" i="3" l="1"/>
  <c r="D75" i="1"/>
  <c r="T33" i="1"/>
  <c r="D58" i="1"/>
  <c r="B106" i="1"/>
  <c r="B110" i="1" s="1"/>
  <c r="D65" i="1"/>
  <c r="F106" i="1"/>
  <c r="F110" i="1" s="1"/>
  <c r="H110" i="1" l="1"/>
  <c r="H106" i="1"/>
  <c r="D106" i="1"/>
  <c r="D110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<sst xmlns="http://schemas.openxmlformats.org/spreadsheetml/2006/main" count="638" uniqueCount="157">
  <si>
    <t>Pi Greco</t>
  </si>
  <si>
    <t>Boltzmann k</t>
  </si>
  <si>
    <t>Planck h</t>
  </si>
  <si>
    <t>Ix</t>
  </si>
  <si>
    <t>Iy</t>
  </si>
  <si>
    <t>Iz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</si>
  <si>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</si>
  <si>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</si>
  <si>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</si>
  <si>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</si>
  <si>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</si>
  <si>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</si>
  <si>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</si>
  <si>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</si>
  <si>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</si>
  <si>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</si>
  <si>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</si>
  <si>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</si>
  <si>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</si>
  <si>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</si>
  <si>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</si>
  <si>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</si>
  <si>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</si>
  <si>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</si>
  <si>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</si>
  <si>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</si>
  <si>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</si>
  <si>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</si>
  <si>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</si>
  <si>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</si>
  <si>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</si>
  <si>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</si>
  <si>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</si>
  <si>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</si>
  <si>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</si>
  <si>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</si>
  <si>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</si>
  <si>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</si>
  <si>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</si>
  <si>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</si>
  <si>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</si>
  <si>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</si>
  <si>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</si>
  <si>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</si>
  <si>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</si>
  <si>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</si>
  <si>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</si>
  <si>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</si>
  <si>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</si>
  <si>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</si>
  <si>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</si>
  <si>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</si>
  <si>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</si>
  <si>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</si>
  <si>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</si>
  <si>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</si>
  <si>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</si>
  <si>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</si>
  <si>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I</t>
  </si>
  <si>
    <t>S rotational</t>
  </si>
  <si>
    <t>Theta Rot</t>
  </si>
  <si>
    <t>CvRot</t>
  </si>
  <si>
    <t>Cv translational</t>
  </si>
  <si>
    <t>Massa [g/mol]</t>
  </si>
  <si>
    <t>Massa [kg]</t>
  </si>
  <si>
    <t>Frequenza10</t>
  </si>
  <si>
    <t>Frequenza11</t>
  </si>
  <si>
    <t>Frequenza12</t>
  </si>
  <si>
    <t>Frequenza13</t>
  </si>
  <si>
    <t>Frequenza14</t>
  </si>
  <si>
    <t>Frequenza15</t>
  </si>
  <si>
    <t>Frequenza16</t>
  </si>
  <si>
    <t>Frequenza17</t>
  </si>
  <si>
    <t>Frequenza18</t>
  </si>
  <si>
    <t>Qvib12</t>
  </si>
  <si>
    <t>Qvib10</t>
  </si>
  <si>
    <t>Qvib11</t>
  </si>
  <si>
    <t>Qvib13</t>
  </si>
  <si>
    <t>Qvib14</t>
  </si>
  <si>
    <t>Qvib15</t>
  </si>
  <si>
    <t>Qvib16</t>
  </si>
  <si>
    <t>Qvib17</t>
  </si>
  <si>
    <t>Qvib18</t>
  </si>
  <si>
    <t>Colonna1</t>
  </si>
  <si>
    <t>N</t>
  </si>
  <si>
    <t>Theta vib10</t>
  </si>
  <si>
    <t>Theta vib11</t>
  </si>
  <si>
    <t>Theta vib12</t>
  </si>
  <si>
    <t>Theta vib13</t>
  </si>
  <si>
    <t>Theta vib14</t>
  </si>
  <si>
    <t>Theta vib15</t>
  </si>
  <si>
    <t>Theta vib16</t>
  </si>
  <si>
    <t>Theta vib17</t>
  </si>
  <si>
    <t>Theta vib18</t>
  </si>
  <si>
    <t>S vib 10</t>
  </si>
  <si>
    <t>S vib 11</t>
  </si>
  <si>
    <t>S vib 12</t>
  </si>
  <si>
    <t>S vib 13</t>
  </si>
  <si>
    <t>S vib 14</t>
  </si>
  <si>
    <t>S vib 15</t>
  </si>
  <si>
    <t>S vib 16</t>
  </si>
  <si>
    <t>S vib 17</t>
  </si>
  <si>
    <t>S vib 18</t>
  </si>
  <si>
    <t>Rotational temperatures x</t>
  </si>
  <si>
    <t>Rotational temperatures z</t>
  </si>
  <si>
    <t>Cv vib</t>
  </si>
  <si>
    <t>Cv Vib</t>
  </si>
  <si>
    <t>Cv Tot</t>
  </si>
  <si>
    <t>Comparison with gaussian calculation</t>
  </si>
  <si>
    <t>Temperature</t>
  </si>
  <si>
    <t>Estimated</t>
  </si>
  <si>
    <t>Gaussian</t>
  </si>
  <si>
    <t>Svib</t>
  </si>
  <si>
    <t>Srot</t>
  </si>
  <si>
    <t>Strasl</t>
  </si>
  <si>
    <t>Sel</t>
  </si>
  <si>
    <t>Difference</t>
  </si>
  <si>
    <t>Percentage difference</t>
  </si>
  <si>
    <t>Cv rot</t>
  </si>
  <si>
    <t>Cv trasl</t>
  </si>
  <si>
    <t>Cv el</t>
  </si>
  <si>
    <t>Rotational temperatures y</t>
  </si>
  <si>
    <t>DELTA</t>
  </si>
  <si>
    <t>298.15 K</t>
  </si>
  <si>
    <t>1000 K</t>
  </si>
  <si>
    <t xml:space="preserve">Q tot </t>
  </si>
  <si>
    <t xml:space="preserve">S tot </t>
  </si>
  <si>
    <t xml:space="preserve">Cv tot </t>
  </si>
  <si>
    <t>Calculating inertia with rotational constants</t>
  </si>
  <si>
    <t xml:space="preserve">Rotational constant x </t>
  </si>
  <si>
    <t>Rotational constant y</t>
  </si>
  <si>
    <t>Rotational constant z</t>
  </si>
  <si>
    <t>CO</t>
  </si>
  <si>
    <t>NO2</t>
  </si>
  <si>
    <t>CH4</t>
  </si>
  <si>
    <t>H2O</t>
  </si>
  <si>
    <t>C2H6</t>
  </si>
  <si>
    <t xml:space="preserve">Q vib of all molecules </t>
  </si>
  <si>
    <t>[2202.4246]</t>
  </si>
  <si>
    <t>[1347.6589, 3148.9899]</t>
  </si>
  <si>
    <t>[749.0552, 1708.0454]</t>
  </si>
  <si>
    <t>[1603.5082, 3928.4319]</t>
  </si>
  <si>
    <t>[308.2331, 3113.5842]</t>
  </si>
  <si>
    <t xml:space="preserve">frequency range cm**-1 </t>
  </si>
  <si>
    <t xml:space="preserve">frequency interval cm**-1 </t>
  </si>
  <si>
    <t>S tot</t>
  </si>
  <si>
    <t>Cv tot</t>
  </si>
  <si>
    <t>Q tot</t>
  </si>
  <si>
    <t>S vibrational</t>
  </si>
  <si>
    <t>Dalla doc di gaussian invece:</t>
  </si>
  <si>
    <t xml:space="preserve">𝐸_𝑒𝑙 ≫ 𝐾_b 𝑇: </t>
  </si>
  <si>
    <t>T</t>
  </si>
  <si>
    <t>Increase of</t>
  </si>
  <si>
    <t>potrebbe essere perché hanno più bond rispetto alle altre molecole, e quindi più "fissate"?</t>
  </si>
  <si>
    <t>Stati vibrazionali rimagono simili al variare della temperatura:</t>
  </si>
  <si>
    <t xml:space="preserve">Q trasl of all molecules </t>
  </si>
  <si>
    <t>Molecule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</si>
</sst>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00%"/>
    <numFmt numFmtId="166" formatCode="0.0000%"/>
  </numFmts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8"/>
      </top>
      <bottom/>
      <diagonal/>
    </border>
    <border>
      <left/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8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/>
      </top>
      <bottom style="thin">
        <color rgb="FFA02B9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4">
    <xf numFmtId="0" fontId="0" fillId="0" borderId="0" xfId="0"/>
    <xf numFmtId="11" fontId="0" fillId="0" borderId="0" xfId="0" applyNumberFormat="1"/>
    <xf numFmtId="0" fontId="6" fillId="0" borderId="0" xfId="0" applyFont="1" applyAlignment="1">
      <alignment vertical="top"/>
    </xf>
    <xf numFmtId="0" fontId="5" fillId="0" borderId="0" xfId="0" applyFo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9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64" fontId="0" fillId="0" borderId="25" xfId="1" applyNumberFormat="1" applyFont="1" applyBorder="1" applyAlignment="1">
      <alignment horizontal="center"/>
    </xf>
    <xf numFmtId="11" fontId="0" fillId="0" borderId="31" xfId="0" applyNumberFormat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24" xfId="1" applyNumberFormat="1" applyFont="1" applyBorder="1" applyAlignment="1">
      <alignment horizontal="center"/>
    </xf>
    <xf numFmtId="9" fontId="0" fillId="0" borderId="34" xfId="1" applyFont="1" applyBorder="1" applyAlignment="1">
      <alignment horizontal="center"/>
    </xf>
    <xf numFmtId="11" fontId="5" fillId="0" borderId="29" xfId="0" applyNumberFormat="1" applyFont="1" applyBorder="1" applyAlignment="1">
      <alignment horizontal="center"/>
    </xf>
    <xf numFmtId="165" fontId="5" fillId="0" borderId="29" xfId="1" applyNumberFormat="1" applyFont="1" applyBorder="1" applyAlignment="1">
      <alignment horizontal="center"/>
    </xf>
    <xf numFmtId="11" fontId="5" fillId="0" borderId="40" xfId="0" applyNumberFormat="1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165" fontId="5" fillId="0" borderId="21" xfId="1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9" fontId="0" fillId="0" borderId="24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37" xfId="0" applyBorder="1" applyAlignment="1">
      <alignment horizontal="center"/>
    </xf>
    <xf numFmtId="9" fontId="0" fillId="0" borderId="39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5" borderId="51" xfId="0" applyFont="1" applyFill="1" applyBorder="1" applyAlignment="1">
      <alignment horizontal="center"/>
    </xf>
    <xf numFmtId="0" fontId="5" fillId="5" borderId="45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2" xfId="0" applyBorder="1" applyAlignment="1">
      <alignment horizontal="center"/>
    </xf>
    <xf numFmtId="0" fontId="9" fillId="6" borderId="51" xfId="0" applyFont="1" applyFill="1" applyBorder="1" applyAlignment="1">
      <alignment horizontal="center"/>
    </xf>
    <xf numFmtId="0" fontId="9" fillId="6" borderId="45" xfId="0" applyFont="1" applyFill="1" applyBorder="1" applyAlignment="1">
      <alignment horizontal="center"/>
    </xf>
    <xf numFmtId="11" fontId="0" fillId="0" borderId="30" xfId="0" applyNumberFormat="1" applyBorder="1" applyAlignment="1">
      <alignment horizontal="center"/>
    </xf>
    <xf numFmtId="0" fontId="8" fillId="0" borderId="30" xfId="0" applyFont="1" applyBorder="1" applyAlignment="1">
      <alignment horizontal="center"/>
    </xf>
    <xf numFmtId="164" fontId="0" fillId="0" borderId="34" xfId="1" applyNumberFormat="1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11" fontId="5" fillId="0" borderId="41" xfId="0" applyNumberFormat="1" applyFont="1" applyBorder="1" applyAlignment="1">
      <alignment horizontal="center"/>
    </xf>
    <xf numFmtId="164" fontId="5" fillId="0" borderId="21" xfId="1" applyNumberFormat="1" applyFont="1" applyBorder="1" applyAlignment="1">
      <alignment horizontal="center"/>
    </xf>
    <xf numFmtId="0" fontId="0" fillId="0" borderId="42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1" xfId="0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5" fillId="7" borderId="25" xfId="1" applyNumberFormat="1" applyFont="1" applyFill="1" applyBorder="1" applyAlignment="1">
      <alignment horizontal="center"/>
    </xf>
    <xf numFmtId="0" fontId="5" fillId="0" borderId="37" xfId="0" applyFon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64" fontId="0" fillId="0" borderId="50" xfId="1" applyNumberFormat="1" applyFont="1" applyBorder="1" applyAlignment="1">
      <alignment horizontal="center"/>
    </xf>
    <xf numFmtId="164" fontId="0" fillId="0" borderId="39" xfId="1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4" xfId="1" applyNumberFormat="1" applyFont="1" applyBorder="1" applyAlignment="1">
      <alignment horizontal="center"/>
    </xf>
    <xf numFmtId="166" fontId="5" fillId="0" borderId="21" xfId="1" applyNumberFormat="1" applyFont="1" applyBorder="1" applyAlignment="1">
      <alignment horizontal="center"/>
    </xf>
    <xf numFmtId="166" fontId="8" fillId="0" borderId="32" xfId="1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165" fontId="9" fillId="0" borderId="21" xfId="1" applyNumberFormat="1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2" xfId="0" applyBorder="1" applyAlignment="1">
      <alignment horizontal="center"/>
    </xf>
    <xf numFmtId="11" fontId="5" fillId="8" borderId="55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wrapText="1"/>
    </xf>
    <xf numFmtId="0" fontId="12" fillId="0" borderId="0" xfId="0" applyFont="1" applyAlignment="1">
      <alignment horizontal="left"/>
    </xf>
    <xf numFmtId="0" fontId="11" fillId="0" borderId="14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60" xfId="0" applyNumberFormat="1" applyBorder="1" applyAlignment="1">
      <alignment horizontal="center"/>
    </xf>
    <xf numFmtId="2" fontId="0" fillId="0" borderId="59" xfId="0" applyNumberFormat="1" applyBorder="1" applyAlignment="1">
      <alignment horizontal="center"/>
    </xf>
  </cellXfs>
  <cellStyles count="2">
    <cellStyle name="Normale" xfId="0" builtinId="0"/>
    <cellStyle name="Percentuale" xfId="1" builtinId="5"/>
  </cellStyles>
  <dxfs count="60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 vib vs</a:t>
            </a:r>
            <a:r>
              <a:rPr lang="it-IT" baseline="0"/>
              <a:t> temperatures NO2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'no2'!$A$58:$A$75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'no2'!$D$58:$D$75</c:f>
              <c:numCache>
                <c:formatCode>0.00E+00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4A-A0D0-B8D21BD5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83503"/>
        <c:axId val="1493685423"/>
      </c:lineChart>
      <c:catAx>
        <c:axId val="14936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5423"/>
        <c:crosses val="autoZero"/>
        <c:auto val="1"/>
        <c:lblAlgn val="ctr"/>
        <c:lblOffset val="100"/>
        <c:noMultiLvlLbl val="0"/>
      </c:catAx>
      <c:valAx>
        <c:axId val="1493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metano!$A$15:$A$33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metano!$K$15:$K$32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4-48D6-B387-905C22AA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0272"/>
        <c:axId val="205540752"/>
      </c:lineChart>
      <c:catAx>
        <c:axId val="205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752"/>
        <c:crosses val="autoZero"/>
        <c:auto val="1"/>
        <c:lblAlgn val="ctr"/>
        <c:lblOffset val="100"/>
        <c:noMultiLvlLbl val="0"/>
      </c:catAx>
      <c:valAx>
        <c:axId val="2055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tot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metano!$N$36</c:f>
              <c:strCache>
                <c:ptCount val="1"/>
                <c:pt idx="0">
                  <c:v>S vib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metano!$D$37:$D$55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metano!$N$37:$N$55</c:f>
              <c:numCache>
                <c:formatCode>0.00E+00</c:formatCode>
                <c:ptCount val="19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  <c:pt idx="18">
                  <c:v>54.408912208003883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801-B090-E153C10D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68"/>
        <c:axId val="333576928"/>
      </c:lineChart>
      <c:catAx>
        <c:axId val="3335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76928"/>
        <c:crosses val="autoZero"/>
        <c:auto val="1"/>
        <c:lblAlgn val="ctr"/>
        <c:lblOffset val="100"/>
        <c:noMultiLvlLbl val="0"/>
      </c:catAx>
      <c:valAx>
        <c:axId val="333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9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</a:t>
            </a:r>
            <a:r>
              <a:rPr lang="it-IT" baseline="0"/>
              <a:t> vs temperature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metano!$D$58:$D$75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122-AD61-97E5AFE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44672"/>
        <c:axId val="426712512"/>
      </c:lineChart>
      <c:catAx>
        <c:axId val="425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2512"/>
        <c:crosses val="autoZero"/>
        <c:auto val="1"/>
        <c:lblAlgn val="ctr"/>
        <c:lblOffset val="100"/>
        <c:noMultiLvlLbl val="0"/>
      </c:catAx>
      <c:valAx>
        <c:axId val="42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metano!$C$58:$C$75</c:f>
              <c:numCache>
                <c:formatCode>0.00E+00</c:formatCode>
                <c:ptCount val="18"/>
                <c:pt idx="0">
                  <c:v>2521714.1772048417</c:v>
                </c:pt>
                <c:pt idx="1">
                  <c:v>5257252.1124814758</c:v>
                </c:pt>
                <c:pt idx="2">
                  <c:v>9184041.4830959775</c:v>
                </c:pt>
                <c:pt idx="3">
                  <c:v>14487283.265342049</c:v>
                </c:pt>
                <c:pt idx="4">
                  <c:v>21298740.680954941</c:v>
                </c:pt>
                <c:pt idx="5">
                  <c:v>29739508.953143712</c:v>
                </c:pt>
                <c:pt idx="6">
                  <c:v>39922258.229156271</c:v>
                </c:pt>
                <c:pt idx="7">
                  <c:v>51952784.09116593</c:v>
                </c:pt>
                <c:pt idx="8">
                  <c:v>65931132.96668528</c:v>
                </c:pt>
                <c:pt idx="9">
                  <c:v>81952449.903150246</c:v>
                </c:pt>
                <c:pt idx="10">
                  <c:v>100107636.18972704</c:v>
                </c:pt>
                <c:pt idx="11">
                  <c:v>120483871.72989482</c:v>
                </c:pt>
                <c:pt idx="12">
                  <c:v>143165038.20788366</c:v>
                </c:pt>
                <c:pt idx="13">
                  <c:v>168232067.59940818</c:v>
                </c:pt>
                <c:pt idx="14">
                  <c:v>195763233.27237222</c:v>
                </c:pt>
                <c:pt idx="15">
                  <c:v>225834396.11293221</c:v>
                </c:pt>
                <c:pt idx="16">
                  <c:v>258519214.84772423</c:v>
                </c:pt>
                <c:pt idx="17">
                  <c:v>293889327.45907289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3-471E-A254-948D26BF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37696"/>
        <c:axId val="332436256"/>
      </c:lineChart>
      <c:catAx>
        <c:axId val="332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6256"/>
        <c:crosses val="autoZero"/>
        <c:auto val="1"/>
        <c:lblAlgn val="ctr"/>
        <c:lblOffset val="100"/>
        <c:noMultiLvlLbl val="0"/>
      </c:catAx>
      <c:valAx>
        <c:axId val="3324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metano!$A$80:$A$97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metano!$D$80:$D$97</c:f>
              <c:numCache>
                <c:formatCode>0.00E+00</c:formatCode>
                <c:ptCount val="18"/>
                <c:pt idx="0">
                  <c:v>2.0877639096025939</c:v>
                </c:pt>
                <c:pt idx="1">
                  <c:v>6.6401337956586106</c:v>
                </c:pt>
                <c:pt idx="2">
                  <c:v>12.257821408421151</c:v>
                </c:pt>
                <c:pt idx="3">
                  <c:v>17.970080453222611</c:v>
                </c:pt>
                <c:pt idx="4">
                  <c:v>23.396832359641461</c:v>
                </c:pt>
                <c:pt idx="5">
                  <c:v>28.427353204915832</c:v>
                </c:pt>
                <c:pt idx="6">
                  <c:v>33.027785950494007</c:v>
                </c:pt>
                <c:pt idx="7">
                  <c:v>37.190536812980987</c:v>
                </c:pt>
                <c:pt idx="8">
                  <c:v>40.924826863906922</c:v>
                </c:pt>
                <c:pt idx="9">
                  <c:v>44.252936466074438</c:v>
                </c:pt>
                <c:pt idx="10">
                  <c:v>47.205900530379431</c:v>
                </c:pt>
                <c:pt idx="11">
                  <c:v>49.819219518848492</c:v>
                </c:pt>
                <c:pt idx="12">
                  <c:v>52.129451616229119</c:v>
                </c:pt>
                <c:pt idx="13">
                  <c:v>54.171920803357203</c:v>
                </c:pt>
                <c:pt idx="14">
                  <c:v>55.979391675995103</c:v>
                </c:pt>
                <c:pt idx="15">
                  <c:v>57.581447019772511</c:v>
                </c:pt>
                <c:pt idx="16">
                  <c:v>59.004322049481196</c:v>
                </c:pt>
                <c:pt idx="17">
                  <c:v>60.271008416952441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494-B13B-E89B3F0AB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728"/>
        <c:axId val="490019488"/>
      </c:lineChart>
      <c:catAx>
        <c:axId val="4900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9488"/>
        <c:crosses val="autoZero"/>
        <c:auto val="1"/>
        <c:lblAlgn val="ctr"/>
        <c:lblOffset val="100"/>
        <c:noMultiLvlLbl val="0"/>
      </c:catAx>
      <c:valAx>
        <c:axId val="4900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</a:t>
            </a:r>
            <a:r>
              <a:rPr lang="en-US" baseline="0"/>
              <a:t> vs frequencies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528338194328772E-2"/>
          <c:y val="0.1053288397130845"/>
          <c:w val="0.7987117985447989"/>
          <c:h val="0.8290194936716786"/>
        </c:manualLayout>
      </c:layout>
      <c:lineChart>
        <c:grouping val="standard"/>
        <c:varyColors val="0"/>
        <c:ser>
          <c:idx val="0"/>
          <c:order val="0"/>
          <c:tx>
            <c:v>@ t=298.15 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metano!$B$15:$J$15</c:f>
              <c:numCache>
                <c:formatCode>0.00E+00</c:formatCode>
                <c:ptCount val="9"/>
                <c:pt idx="0">
                  <c:v>3.8766768454985889E-2</c:v>
                </c:pt>
                <c:pt idx="1">
                  <c:v>3.8766655872454855E-2</c:v>
                </c:pt>
                <c:pt idx="2">
                  <c:v>3.8746452635402204E-2</c:v>
                </c:pt>
                <c:pt idx="3">
                  <c:v>2.2987528445639015E-2</c:v>
                </c:pt>
                <c:pt idx="4">
                  <c:v>2.2987456264657365E-2</c:v>
                </c:pt>
                <c:pt idx="5">
                  <c:v>6.5844915791016321E-4</c:v>
                </c:pt>
                <c:pt idx="6">
                  <c:v>5.0174378669506252E-4</c:v>
                </c:pt>
                <c:pt idx="7">
                  <c:v>5.0174354456905166E-4</c:v>
                </c:pt>
                <c:pt idx="8">
                  <c:v>5.0144194631402588E-4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9A-40E3-B01A-0C305E6938D4}"/>
            </c:ext>
          </c:extLst>
        </c:ser>
        <c:ser>
          <c:idx val="1"/>
          <c:order val="1"/>
          <c:tx>
            <c:v>@ t = 1000 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metano!$B$22:$J$22</c:f>
              <c:numCache>
                <c:formatCode>0.00E+00</c:formatCode>
                <c:ptCount val="9"/>
                <c:pt idx="0">
                  <c:v>0.44300155815167797</c:v>
                </c:pt>
                <c:pt idx="1">
                  <c:v>0.44300104721205569</c:v>
                </c:pt>
                <c:pt idx="2">
                  <c:v>0.44290934729260145</c:v>
                </c:pt>
                <c:pt idx="3">
                  <c:v>0.36289364471989449</c:v>
                </c:pt>
                <c:pt idx="4">
                  <c:v>0.36289322537347951</c:v>
                </c:pt>
                <c:pt idx="5">
                  <c:v>0.11402009687744651</c:v>
                </c:pt>
                <c:pt idx="6">
                  <c:v>0.10494323929049741</c:v>
                </c:pt>
                <c:pt idx="7">
                  <c:v>0.10494322386249456</c:v>
                </c:pt>
                <c:pt idx="8">
                  <c:v>0.10492400240722487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9A-40E3-B01A-0C305E6938D4}"/>
            </c:ext>
          </c:extLst>
        </c:ser>
        <c:ser>
          <c:idx val="2"/>
          <c:order val="2"/>
          <c:tx>
            <c:v>@ t = 2000 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metano!$B$32:$J$32</c:f>
              <c:numCache>
                <c:formatCode>0.00E+00</c:formatCode>
                <c:ptCount val="9"/>
                <c:pt idx="0">
                  <c:v>0.99215338401491193</c:v>
                </c:pt>
                <c:pt idx="1">
                  <c:v>0.99215243243289875</c:v>
                </c:pt>
                <c:pt idx="2">
                  <c:v>0.99198165003311056</c:v>
                </c:pt>
                <c:pt idx="3">
                  <c:v>0.84367278491109932</c:v>
                </c:pt>
                <c:pt idx="4">
                  <c:v>0.84367201112679624</c:v>
                </c:pt>
                <c:pt idx="5">
                  <c:v>0.37808510375136634</c:v>
                </c:pt>
                <c:pt idx="6">
                  <c:v>0.35952189442142063</c:v>
                </c:pt>
                <c:pt idx="7">
                  <c:v>0.35952186256582813</c:v>
                </c:pt>
                <c:pt idx="8">
                  <c:v>0.35948217343749111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9A-40E3-B01A-0C305E69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72800"/>
        <c:axId val="481016288"/>
      </c:lineChart>
      <c:catAx>
        <c:axId val="4316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016288"/>
        <c:crosses val="autoZero"/>
        <c:auto val="1"/>
        <c:lblAlgn val="ctr"/>
        <c:lblOffset val="100"/>
        <c:noMultiLvlLbl val="0"/>
      </c:catAx>
      <c:valAx>
        <c:axId val="4810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6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metano!$E$58:$E$75</c:f>
              <c:numCache>
                <c:formatCode>0.00E+00</c:formatCode>
                <c:ptCount val="18"/>
                <c:pt idx="0">
                  <c:v>146.45383245358968</c:v>
                </c:pt>
                <c:pt idx="1">
                  <c:v>227.58231321110347</c:v>
                </c:pt>
                <c:pt idx="2">
                  <c:v>318.05595176042237</c:v>
                </c:pt>
                <c:pt idx="3">
                  <c:v>418.09540638709984</c:v>
                </c:pt>
                <c:pt idx="4">
                  <c:v>526.8604281092156</c:v>
                </c:pt>
                <c:pt idx="5">
                  <c:v>643.69998779876835</c:v>
                </c:pt>
                <c:pt idx="6">
                  <c:v>768.09030708747423</c:v>
                </c:pt>
                <c:pt idx="7">
                  <c:v>899.5980811461443</c:v>
                </c:pt>
                <c:pt idx="8">
                  <c:v>1037.857070033263</c:v>
                </c:pt>
                <c:pt idx="9">
                  <c:v>1182.5523881570548</c:v>
                </c:pt>
                <c:pt idx="10">
                  <c:v>1333.4095119659262</c:v>
                </c:pt>
                <c:pt idx="11">
                  <c:v>1490.1863258194956</c:v>
                </c:pt>
                <c:pt idx="12">
                  <c:v>1652.6672042961823</c:v>
                </c:pt>
                <c:pt idx="13">
                  <c:v>1820.6585056888277</c:v>
                </c:pt>
                <c:pt idx="14">
                  <c:v>1993.985071270035</c:v>
                </c:pt>
                <c:pt idx="15">
                  <c:v>2172.4874588208427</c:v>
                </c:pt>
                <c:pt idx="16">
                  <c:v>2356.0197234830011</c:v>
                </c:pt>
                <c:pt idx="17">
                  <c:v>2544.447614083379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852-B4A3-67182770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64559"/>
        <c:axId val="321861199"/>
      </c:lineChart>
      <c:catAx>
        <c:axId val="3218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1199"/>
        <c:crosses val="autoZero"/>
        <c:auto val="1"/>
        <c:lblAlgn val="ctr"/>
        <c:lblOffset val="100"/>
        <c:noMultiLvlLbl val="0"/>
      </c:catAx>
      <c:valAx>
        <c:axId val="3218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frequencies C2H6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@ 298.15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F-418B-9619-AD58B3D6CC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F-418B-9619-AD58B3D6CC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F-418B-9619-AD58B3D6CC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9F-418B-9619-AD58B3D6CC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9F-418B-9619-AD58B3D6CC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9F-418B-9619-AD58B3D6CC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9F-418B-9619-AD58B3D6CC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9F-418B-9619-AD58B3D6CC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9F-418B-9619-AD58B3D6CC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9F-418B-9619-AD58B3D6CC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9F-418B-9619-AD58B3D6CC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9F-418B-9619-AD58B3D6CCB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9F-418B-9619-AD58B3D6CCB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9F-418B-9619-AD58B3D6CCBD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9F-418B-9619-AD58B3D6CCBD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BF9F-418B-9619-AD58B3D6CCB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9F-418B-9619-AD58B3D6CCBD}"/>
              </c:ext>
            </c:extLst>
          </c:dPt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etano!$B$15:$S$15</c:f>
              <c:numCache>
                <c:formatCode>0.00E+00</c:formatCode>
                <c:ptCount val="18"/>
                <c:pt idx="0">
                  <c:v>0.61409942712578724</c:v>
                </c:pt>
                <c:pt idx="1">
                  <c:v>0.1393977766576997</c:v>
                </c:pt>
                <c:pt idx="2">
                  <c:v>0.139397671906107</c:v>
                </c:pt>
                <c:pt idx="3">
                  <c:v>9.0613851563980968E-2</c:v>
                </c:pt>
                <c:pt idx="4">
                  <c:v>5.2928068252116087E-2</c:v>
                </c:pt>
                <c:pt idx="5">
                  <c:v>5.2927785727298629E-2</c:v>
                </c:pt>
                <c:pt idx="6">
                  <c:v>3.347232262581696E-2</c:v>
                </c:pt>
                <c:pt idx="7">
                  <c:v>3.1769282990655297E-2</c:v>
                </c:pt>
                <c:pt idx="8">
                  <c:v>2.6316168976434517E-2</c:v>
                </c:pt>
                <c:pt idx="9">
                  <c:v>2.6316130825635591E-2</c:v>
                </c:pt>
                <c:pt idx="10">
                  <c:v>2.6213015287721842E-2</c:v>
                </c:pt>
                <c:pt idx="11">
                  <c:v>2.6212888618452126E-2</c:v>
                </c:pt>
                <c:pt idx="12">
                  <c:v>6.5785222249218451E-4</c:v>
                </c:pt>
                <c:pt idx="13">
                  <c:v>6.5620144531311757E-4</c:v>
                </c:pt>
                <c:pt idx="14">
                  <c:v>5.7802326333944367E-4</c:v>
                </c:pt>
                <c:pt idx="15">
                  <c:v>5.7802312387134199E-4</c:v>
                </c:pt>
                <c:pt idx="16">
                  <c:v>5.4616475493087641E-4</c:v>
                </c:pt>
                <c:pt idx="17">
                  <c:v>5.4616238287548543E-4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B79-8A2A-3419400974CC}"/>
            </c:ext>
          </c:extLst>
        </c:ser>
        <c:ser>
          <c:idx val="1"/>
          <c:order val="1"/>
          <c:tx>
            <c:v>@1000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etano!$B$22:$S$22</c:f>
              <c:numCache>
                <c:formatCode>0.00E+00</c:formatCode>
                <c:ptCount val="18"/>
                <c:pt idx="0">
                  <c:v>2.2365234860183429</c:v>
                </c:pt>
                <c:pt idx="1">
                  <c:v>0.79553876701593151</c:v>
                </c:pt>
                <c:pt idx="2">
                  <c:v>0.79553844436872523</c:v>
                </c:pt>
                <c:pt idx="3">
                  <c:v>0.63962503349762079</c:v>
                </c:pt>
                <c:pt idx="4">
                  <c:v>0.50307748293506593</c:v>
                </c:pt>
                <c:pt idx="5">
                  <c:v>0.50307635347079083</c:v>
                </c:pt>
                <c:pt idx="6">
                  <c:v>0.41819646416169654</c:v>
                </c:pt>
                <c:pt idx="7">
                  <c:v>0.40984568959490286</c:v>
                </c:pt>
                <c:pt idx="8">
                  <c:v>0.38157626009012885</c:v>
                </c:pt>
                <c:pt idx="9">
                  <c:v>0.38157605290672481</c:v>
                </c:pt>
                <c:pt idx="10">
                  <c:v>0.38101552970603947</c:v>
                </c:pt>
                <c:pt idx="11">
                  <c:v>0.38101484048294654</c:v>
                </c:pt>
                <c:pt idx="12">
                  <c:v>0.11398847679285989</c:v>
                </c:pt>
                <c:pt idx="13">
                  <c:v>0.11390093240680106</c:v>
                </c:pt>
                <c:pt idx="14">
                  <c:v>0.1095712357693689</c:v>
                </c:pt>
                <c:pt idx="15">
                  <c:v>0.10957122769987709</c:v>
                </c:pt>
                <c:pt idx="16">
                  <c:v>0.10769222855724604</c:v>
                </c:pt>
                <c:pt idx="17">
                  <c:v>0.10769208590861654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31-4B79-8A2A-3419400974CC}"/>
            </c:ext>
          </c:extLst>
        </c:ser>
        <c:ser>
          <c:idx val="2"/>
          <c:order val="2"/>
          <c:tx>
            <c:v>@2000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etano!$B$32:$S$32</c:f>
              <c:numCache>
                <c:formatCode>0.00E+00</c:formatCode>
                <c:ptCount val="18"/>
                <c:pt idx="0">
                  <c:v>4.5005667634226239</c:v>
                </c:pt>
                <c:pt idx="1">
                  <c:v>1.6615561689349281</c:v>
                </c:pt>
                <c:pt idx="2">
                  <c:v>1.6615555467220651</c:v>
                </c:pt>
                <c:pt idx="3">
                  <c:v>1.3626500294029971</c:v>
                </c:pt>
                <c:pt idx="4">
                  <c:v>1.1044572280662319</c:v>
                </c:pt>
                <c:pt idx="5">
                  <c:v>1.1044551088859873</c:v>
                </c:pt>
                <c:pt idx="6">
                  <c:v>0.94602662470752874</c:v>
                </c:pt>
                <c:pt idx="7">
                  <c:v>0.93052919365633313</c:v>
                </c:pt>
                <c:pt idx="8">
                  <c:v>0.87817948915135702</c:v>
                </c:pt>
                <c:pt idx="9">
                  <c:v>0.87817910610286398</c:v>
                </c:pt>
                <c:pt idx="10">
                  <c:v>0.87714282158624168</c:v>
                </c:pt>
                <c:pt idx="11">
                  <c:v>0.87714154740309092</c:v>
                </c:pt>
                <c:pt idx="12">
                  <c:v>0.3780210206420006</c:v>
                </c:pt>
                <c:pt idx="13">
                  <c:v>0.37784357803926077</c:v>
                </c:pt>
                <c:pt idx="14">
                  <c:v>0.36902992994668982</c:v>
                </c:pt>
                <c:pt idx="15">
                  <c:v>0.36902991344902969</c:v>
                </c:pt>
                <c:pt idx="16">
                  <c:v>0.36518090019050081</c:v>
                </c:pt>
                <c:pt idx="17">
                  <c:v>0.36518060740725372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31-4B79-8A2A-34194009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718063"/>
        <c:axId val="1493719023"/>
      </c:lineChart>
      <c:catAx>
        <c:axId val="14937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9023"/>
        <c:crosses val="autoZero"/>
        <c:auto val="1"/>
        <c:lblAlgn val="ctr"/>
        <c:lblOffset val="100"/>
        <c:noMultiLvlLbl val="0"/>
      </c:catAx>
      <c:valAx>
        <c:axId val="1493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/>
              <a:t>Qtrasl(2000K) - Q</a:t>
            </a:r>
            <a:r>
              <a: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trasl(298,15K)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Comparisons!$A$2:$E$2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Comparisons!$A$21:$E$21</c:f>
              <c:numCache>
                <c:formatCode>General</c:formatCode>
                <c:ptCount val="5"/>
                <c:pt idx="0">
                  <c:v>672367600.68238974</c:v>
                </c:pt>
                <c:pt idx="1">
                  <c:v>1415873181.2886555</c:v>
                </c:pt>
                <c:pt idx="2">
                  <c:v>291367613.28186804</c:v>
                </c:pt>
                <c:pt idx="3">
                  <c:v>346959664.54725379</c:v>
                </c:pt>
                <c:pt idx="4">
                  <c:v>747633505.03395247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0-4090-B04C-9D458CCC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845487"/>
        <c:axId val="1202859887"/>
      </c:barChart>
      <c:catAx>
        <c:axId val="12028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59887"/>
        <c:crosses val="autoZero"/>
        <c:auto val="1"/>
        <c:lblAlgn val="ctr"/>
        <c:lblOffset val="100"/>
        <c:noMultiLvlLbl val="0"/>
      </c:catAx>
      <c:valAx>
        <c:axId val="12028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Comparisons!$A$46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Comparisons!$A$47:$A$64</c:f>
              <c:numCache>
                <c:formatCode>General</c:formatCode>
                <c:ptCount val="18"/>
                <c:pt idx="0">
                  <c:v>4.9217857092415107E-3</c:v>
                </c:pt>
                <c:pt idx="1">
                  <c:v>1.9050906813978807E-2</c:v>
                </c:pt>
                <c:pt idx="2">
                  <c:v>4.2128426383191024E-2</c:v>
                </c:pt>
                <c:pt idx="3">
                  <c:v>7.1678081255336132E-2</c:v>
                </c:pt>
                <c:pt idx="4">
                  <c:v>0.10513006370041687</c:v>
                </c:pt>
                <c:pt idx="5">
                  <c:v>0.14067908323359954</c:v>
                </c:pt>
                <c:pt idx="6">
                  <c:v>0.17720876650390932</c:v>
                </c:pt>
                <c:pt idx="7">
                  <c:v>0.21407314161831972</c:v>
                </c:pt>
                <c:pt idx="8">
                  <c:v>0.25091617945324685</c:v>
                </c:pt>
                <c:pt idx="9">
                  <c:v>0.28755235690112763</c:v>
                </c:pt>
                <c:pt idx="10">
                  <c:v>0.3238938304339492</c:v>
                </c:pt>
                <c:pt idx="11">
                  <c:v>0.35990756739502355</c:v>
                </c:pt>
                <c:pt idx="12">
                  <c:v>0.39559051364415032</c:v>
                </c:pt>
                <c:pt idx="13">
                  <c:v>0.43095533252497775</c:v>
                </c:pt>
                <c:pt idx="14">
                  <c:v>0.46602227713883054</c:v>
                </c:pt>
                <c:pt idx="15">
                  <c:v>0.50081461095308266</c:v>
                </c:pt>
                <c:pt idx="16">
                  <c:v>0.53535608044660232</c:v>
                </c:pt>
                <c:pt idx="17">
                  <c:v>0.56966957328013501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5-4CB3-821E-FBA9DBDEE3B9}"/>
            </c:ext>
          </c:extLst>
        </c:ser>
        <c:ser>
          <c:idx val="1"/>
          <c:order val="1"/>
          <c:tx>
            <c:strRef>
              <c:f>Comparisons!$B$46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Comparisons!$B$47:$B$64</c:f>
              <c:numCache>
                <c:formatCode>General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5-4CB3-821E-FBA9DBDEE3B9}"/>
            </c:ext>
          </c:extLst>
        </c:ser>
        <c:ser>
          <c:idx val="2"/>
          <c:order val="2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5-4CB3-821E-FBA9DBDEE3B9}"/>
            </c:ext>
          </c:extLst>
        </c:ser>
        <c:ser>
          <c:idx val="3"/>
          <c:order val="3"/>
          <c:tx>
            <c:strRef>
              <c:f>Comparisons!$D$46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Comparisons!$D$47:$D$64</c:f>
              <c:numCache>
                <c:formatCode>General</c:formatCode>
                <c:ptCount val="18"/>
                <c:pt idx="0">
                  <c:v>1.6404673538841369E-10</c:v>
                </c:pt>
                <c:pt idx="1">
                  <c:v>5.1015390951576178E-8</c:v>
                </c:pt>
                <c:pt idx="2">
                  <c:v>1.4771025085730153E-6</c:v>
                </c:pt>
                <c:pt idx="3">
                  <c:v>1.4029102609256496E-5</c:v>
                </c:pt>
                <c:pt idx="4">
                  <c:v>7.061449376009829E-5</c:v>
                </c:pt>
                <c:pt idx="5">
                  <c:v>2.3932839645276279E-4</c:v>
                </c:pt>
                <c:pt idx="6">
                  <c:v>6.2372741058796958E-4</c:v>
                </c:pt>
                <c:pt idx="7">
                  <c:v>1.3533966134432042E-3</c:v>
                </c:pt>
                <c:pt idx="8">
                  <c:v>2.5716281943893278E-3</c:v>
                </c:pt>
                <c:pt idx="9">
                  <c:v>4.4250529677505824E-3</c:v>
                </c:pt>
                <c:pt idx="10">
                  <c:v>7.0568483633657334E-3</c:v>
                </c:pt>
                <c:pt idx="11">
                  <c:v>1.0603208078620346E-2</c:v>
                </c:pt>
                <c:pt idx="12">
                  <c:v>1.5192110687952575E-2</c:v>
                </c:pt>
                <c:pt idx="13">
                  <c:v>2.0943454661188177E-2</c:v>
                </c:pt>
                <c:pt idx="14">
                  <c:v>2.7969877492208434E-2</c:v>
                </c:pt>
                <c:pt idx="15">
                  <c:v>3.6377830675139201E-2</c:v>
                </c:pt>
                <c:pt idx="16">
                  <c:v>4.6268672227164555E-2</c:v>
                </c:pt>
                <c:pt idx="17">
                  <c:v>5.7739661077134435E-2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5-4CB3-821E-FBA9DBDEE3B9}"/>
            </c:ext>
          </c:extLst>
        </c:ser>
        <c:ser>
          <c:idx val="4"/>
          <c:order val="4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5-4CB3-821E-FBA9DBDE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56111"/>
        <c:axId val="1406243151"/>
      </c:lineChart>
      <c:catAx>
        <c:axId val="1406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43151"/>
        <c:crosses val="autoZero"/>
        <c:auto val="1"/>
        <c:lblAlgn val="ctr"/>
        <c:lblOffset val="100"/>
        <c:noMultiLvlLbl val="0"/>
      </c:catAx>
      <c:valAx>
        <c:axId val="14062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vib(2000K) - Q vib(298,15K)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Comparisons!$A$46:$E$46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Comparisons!$B$65:$F$65</c:f>
              <c:numCache>
                <c:formatCode>General</c:formatCode>
                <c:ptCount val="5"/>
                <c:pt idx="0">
                  <c:v>0.5647477875708935</c:v>
                </c:pt>
                <c:pt idx="1">
                  <c:v>1.3395822905944803</c:v>
                </c:pt>
                <c:pt idx="2">
                  <c:v>1.2210293792595596E-2</c:v>
                </c:pt>
                <c:pt idx="3">
                  <c:v>5.7739660913087701E-2</c:v>
                </c:pt>
                <c:pt idx="4">
                  <c:v>2.7982406897134462E-2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C16-9946-EEB41BC49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159727"/>
        <c:axId val="1601185647"/>
      </c:barChart>
      <c:catAx>
        <c:axId val="16011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85647"/>
        <c:crosses val="autoZero"/>
        <c:auto val="1"/>
        <c:lblAlgn val="ctr"/>
        <c:lblOffset val="100"/>
        <c:noMultiLvlLbl val="0"/>
      </c:catAx>
      <c:valAx>
        <c:axId val="1601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5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increase only for very high temperatures for</a:t>
            </a:r>
            <a:r>
              <a:rPr lang="it-IT" baseline="0"/>
              <a:t> CH4 and C2H6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5EC-8B10-A52281606190}"/>
            </c:ext>
          </c:extLst>
        </c:ser>
        <c:ser>
          <c:idx val="2"/>
          <c:order val="1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5EC-8B10-A5228160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8511"/>
        <c:axId val="1666555551"/>
      </c:lineChart>
      <c:catAx>
        <c:axId val="16665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55551"/>
        <c:crosses val="autoZero"/>
        <c:auto val="1"/>
        <c:lblAlgn val="ctr"/>
        <c:lblOffset val="100"/>
        <c:noMultiLvlLbl val="0"/>
      </c:catAx>
      <c:valAx>
        <c:axId val="16665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Comparisons!$A$256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Comparisons!$A$257:$A$274</c:f>
              <c:numCache>
                <c:formatCode>General</c:formatCode>
                <c:ptCount val="18"/>
                <c:pt idx="0">
                  <c:v>2.342062918067803E-3</c:v>
                </c:pt>
                <c:pt idx="1">
                  <c:v>2.6913728758856469E-2</c:v>
                </c:pt>
                <c:pt idx="2">
                  <c:v>0.10807553695718626</c:v>
                </c:pt>
                <c:pt idx="3">
                  <c:v>0.26685563517293043</c:v>
                </c:pt>
                <c:pt idx="4">
                  <c:v>0.50190803288972041</c:v>
                </c:pt>
                <c:pt idx="5">
                  <c:v>0.79924175839170386</c:v>
                </c:pt>
                <c:pt idx="6">
                  <c:v>1.1417195385785597</c:v>
                </c:pt>
                <c:pt idx="7">
                  <c:v>1.5138670272407748</c:v>
                </c:pt>
                <c:pt idx="8">
                  <c:v>1.9033853485421364</c:v>
                </c:pt>
                <c:pt idx="9">
                  <c:v>2.3011321878775735</c:v>
                </c:pt>
                <c:pt idx="10">
                  <c:v>2.700583582770065</c:v>
                </c:pt>
                <c:pt idx="11">
                  <c:v>3.0972211045626872</c:v>
                </c:pt>
                <c:pt idx="12">
                  <c:v>3.4880009350902572</c:v>
                </c:pt>
                <c:pt idx="13">
                  <c:v>3.8709390330222138</c:v>
                </c:pt>
                <c:pt idx="14">
                  <c:v>4.2448024909653004</c:v>
                </c:pt>
                <c:pt idx="15">
                  <c:v>4.6088856030966809</c:v>
                </c:pt>
                <c:pt idx="16">
                  <c:v>4.962849520386488</c:v>
                </c:pt>
                <c:pt idx="17">
                  <c:v>5.3066082156223793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4-4D91-ADAB-91838357F113}"/>
            </c:ext>
          </c:extLst>
        </c:ser>
        <c:ser>
          <c:idx val="1"/>
          <c:order val="1"/>
          <c:tx>
            <c:strRef>
              <c:f>Comparisons!$B$256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Comparisons!$B$257:$B$274</c:f>
              <c:numCache>
                <c:formatCode>General</c:formatCode>
                <c:ptCount val="18"/>
                <c:pt idx="0">
                  <c:v>1.1422532899068629</c:v>
                </c:pt>
                <c:pt idx="1">
                  <c:v>2.6026899067663107</c:v>
                </c:pt>
                <c:pt idx="2">
                  <c:v>4.3483107504115912</c:v>
                </c:pt>
                <c:pt idx="3">
                  <c:v>6.2476968282097234</c:v>
                </c:pt>
                <c:pt idx="4">
                  <c:v>8.1967846336216805</c:v>
                </c:pt>
                <c:pt idx="5">
                  <c:v>10.131076124293395</c:v>
                </c:pt>
                <c:pt idx="6">
                  <c:v>12.013919813405252</c:v>
                </c:pt>
                <c:pt idx="7">
                  <c:v>13.826477665813176</c:v>
                </c:pt>
                <c:pt idx="8">
                  <c:v>15.560653839554883</c:v>
                </c:pt>
                <c:pt idx="9">
                  <c:v>17.214570530752926</c:v>
                </c:pt>
                <c:pt idx="10">
                  <c:v>18.789808672575717</c:v>
                </c:pt>
                <c:pt idx="11">
                  <c:v>20.289766837850696</c:v>
                </c:pt>
                <c:pt idx="12">
                  <c:v>21.71870095491245</c:v>
                </c:pt>
                <c:pt idx="13">
                  <c:v>23.081171285700449</c:v>
                </c:pt>
                <c:pt idx="14">
                  <c:v>24.381731159478534</c:v>
                </c:pt>
                <c:pt idx="15">
                  <c:v>25.624758612094933</c:v>
                </c:pt>
                <c:pt idx="16">
                  <c:v>26.814372093062513</c:v>
                </c:pt>
                <c:pt idx="17">
                  <c:v>27.954395193145064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4-4D91-ADAB-91838357F113}"/>
            </c:ext>
          </c:extLst>
        </c:ser>
        <c:ser>
          <c:idx val="2"/>
          <c:order val="2"/>
          <c:tx>
            <c:strRef>
              <c:f>Comparisons!$C$256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Comparisons!$C$257:$C$274</c:f>
              <c:numCache>
                <c:formatCode>General</c:formatCode>
                <c:ptCount val="18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4-4D91-ADAB-91838357F113}"/>
            </c:ext>
          </c:extLst>
        </c:ser>
        <c:ser>
          <c:idx val="3"/>
          <c:order val="3"/>
          <c:tx>
            <c:strRef>
              <c:f>Comparisons!$D$256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Comparisons!$D$257:$D$274</c:f>
              <c:numCache>
                <c:formatCode>General</c:formatCode>
                <c:ptCount val="18"/>
                <c:pt idx="0">
                  <c:v>3.1687195340809896E-2</c:v>
                </c:pt>
                <c:pt idx="1">
                  <c:v>0.17668989511619959</c:v>
                </c:pt>
                <c:pt idx="2">
                  <c:v>0.4698200441974883</c:v>
                </c:pt>
                <c:pt idx="3">
                  <c:v>0.89446159487025734</c:v>
                </c:pt>
                <c:pt idx="4">
                  <c:v>1.4206337518780778</c:v>
                </c:pt>
                <c:pt idx="5">
                  <c:v>2.0254950572442332</c:v>
                </c:pt>
                <c:pt idx="6">
                  <c:v>2.6936412370472471</c:v>
                </c:pt>
                <c:pt idx="7">
                  <c:v>3.4135895740091473</c:v>
                </c:pt>
                <c:pt idx="8">
                  <c:v>4.1754810033414991</c:v>
                </c:pt>
                <c:pt idx="9">
                  <c:v>4.9702370114704646</c:v>
                </c:pt>
                <c:pt idx="10">
                  <c:v>5.7894638012270354</c:v>
                </c:pt>
                <c:pt idx="11">
                  <c:v>6.6255837624108551</c:v>
                </c:pt>
                <c:pt idx="12">
                  <c:v>7.4719577599783031</c:v>
                </c:pt>
                <c:pt idx="13">
                  <c:v>8.3229302250268411</c:v>
                </c:pt>
                <c:pt idx="14">
                  <c:v>9.1738007756476154</c:v>
                </c:pt>
                <c:pt idx="15">
                  <c:v>10.020746749677572</c:v>
                </c:pt>
                <c:pt idx="16">
                  <c:v>10.86072074248688</c:v>
                </c:pt>
                <c:pt idx="17">
                  <c:v>11.691340800264227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4-4D91-ADAB-91838357F113}"/>
            </c:ext>
          </c:extLst>
        </c:ser>
        <c:ser>
          <c:idx val="4"/>
          <c:order val="4"/>
          <c:tx>
            <c:strRef>
              <c:f>Comparisons!$E$256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Comparisons!$E$257:$E$274</c:f>
              <c:numCache>
                <c:formatCode>General</c:formatCode>
                <c:ptCount val="18"/>
                <c:pt idx="0">
                  <c:v>8.3575444874067291</c:v>
                </c:pt>
                <c:pt idx="1">
                  <c:v>15.208604368641248</c:v>
                </c:pt>
                <c:pt idx="2">
                  <c:v>23.342015990942567</c:v>
                </c:pt>
                <c:pt idx="3">
                  <c:v>32.244875556782446</c:v>
                </c:pt>
                <c:pt idx="4">
                  <c:v>41.481296959657257</c:v>
                </c:pt>
                <c:pt idx="5">
                  <c:v>50.790794737396652</c:v>
                </c:pt>
                <c:pt idx="6">
                  <c:v>60.021289368696266</c:v>
                </c:pt>
                <c:pt idx="7">
                  <c:v>69.082238304784497</c:v>
                </c:pt>
                <c:pt idx="8">
                  <c:v>77.919166683201169</c:v>
                </c:pt>
                <c:pt idx="9">
                  <c:v>86.500180132652488</c:v>
                </c:pt>
                <c:pt idx="10">
                  <c:v>94.808308223501754</c:v>
                </c:pt>
                <c:pt idx="11">
                  <c:v>102.83672316454066</c:v>
                </c:pt>
                <c:pt idx="12">
                  <c:v>110.58552167452973</c:v>
                </c:pt>
                <c:pt idx="13">
                  <c:v>118.05946667894199</c:v>
                </c:pt>
                <c:pt idx="14">
                  <c:v>125.26637664074374</c:v>
                </c:pt>
                <c:pt idx="15">
                  <c:v>132.21597524295669</c:v>
                </c:pt>
                <c:pt idx="16">
                  <c:v>138.9190752627415</c:v>
                </c:pt>
                <c:pt idx="17">
                  <c:v>145.38700612829481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4-4D91-ADAB-91838357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6079"/>
        <c:axId val="647864159"/>
      </c:lineChart>
      <c:catAx>
        <c:axId val="6478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4159"/>
        <c:crosses val="autoZero"/>
        <c:auto val="1"/>
        <c:lblAlgn val="ctr"/>
        <c:lblOffset val="100"/>
        <c:noMultiLvlLbl val="0"/>
      </c:catAx>
      <c:valAx>
        <c:axId val="647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Comparisons!$A$282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Comparisons!$A$283:$A$300</c:f>
              <c:numCache>
                <c:formatCode>General</c:formatCode>
                <c:ptCount val="18"/>
                <c:pt idx="0">
                  <c:v>41.557629812264992</c:v>
                </c:pt>
                <c:pt idx="1">
                  <c:v>44.00098291222762</c:v>
                </c:pt>
                <c:pt idx="2">
                  <c:v>45.856301628077382</c:v>
                </c:pt>
                <c:pt idx="3">
                  <c:v>47.372207396496286</c:v>
                </c:pt>
                <c:pt idx="4">
                  <c:v>48.653887461459306</c:v>
                </c:pt>
                <c:pt idx="5">
                  <c:v>49.764129233765381</c:v>
                </c:pt>
                <c:pt idx="6">
                  <c:v>50.743431880764952</c:v>
                </c:pt>
                <c:pt idx="7">
                  <c:v>51.619447949615143</c:v>
                </c:pt>
                <c:pt idx="8">
                  <c:v>52.411900876713062</c:v>
                </c:pt>
                <c:pt idx="9">
                  <c:v>53.135353718034047</c:v>
                </c:pt>
                <c:pt idx="10">
                  <c:v>53.800865818829166</c:v>
                </c:pt>
                <c:pt idx="11">
                  <c:v>54.417033782997073</c:v>
                </c:pt>
                <c:pt idx="12">
                  <c:v>54.990672433883809</c:v>
                </c:pt>
                <c:pt idx="13">
                  <c:v>55.527275555303149</c:v>
                </c:pt>
                <c:pt idx="14">
                  <c:v>56.031336707126279</c:v>
                </c:pt>
                <c:pt idx="15">
                  <c:v>56.506578202302713</c:v>
                </c:pt>
                <c:pt idx="16">
                  <c:v>56.956118092413554</c:v>
                </c:pt>
                <c:pt idx="17">
                  <c:v>57.382594271152911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48F2-8C59-22E72583D088}"/>
            </c:ext>
          </c:extLst>
        </c:ser>
        <c:ser>
          <c:idx val="1"/>
          <c:order val="1"/>
          <c:tx>
            <c:strRef>
              <c:f>Comparisons!$B$282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Comparisons!$B$283:$B$300</c:f>
              <c:numCache>
                <c:formatCode>General</c:formatCode>
                <c:ptCount val="18"/>
                <c:pt idx="0">
                  <c:v>76.654148550717622</c:v>
                </c:pt>
                <c:pt idx="1">
                  <c:v>80.319178200661568</c:v>
                </c:pt>
                <c:pt idx="2">
                  <c:v>83.102156274436211</c:v>
                </c:pt>
                <c:pt idx="3">
                  <c:v>85.37601492706456</c:v>
                </c:pt>
                <c:pt idx="4">
                  <c:v>87.298535024509093</c:v>
                </c:pt>
                <c:pt idx="5">
                  <c:v>88.963897682968209</c:v>
                </c:pt>
                <c:pt idx="6">
                  <c:v>90.432851653467552</c:v>
                </c:pt>
                <c:pt idx="7">
                  <c:v>91.746875756742853</c:v>
                </c:pt>
                <c:pt idx="8">
                  <c:v>92.935555147389721</c:v>
                </c:pt>
                <c:pt idx="9">
                  <c:v>94.020734409371215</c:v>
                </c:pt>
                <c:pt idx="10">
                  <c:v>95.019002560563877</c:v>
                </c:pt>
                <c:pt idx="11">
                  <c:v>95.943254506815748</c:v>
                </c:pt>
                <c:pt idx="12">
                  <c:v>96.803712483145844</c:v>
                </c:pt>
                <c:pt idx="13">
                  <c:v>97.608617165274865</c:v>
                </c:pt>
                <c:pt idx="14">
                  <c:v>98.364708893009549</c:v>
                </c:pt>
                <c:pt idx="15">
                  <c:v>99.077571135774193</c:v>
                </c:pt>
                <c:pt idx="16">
                  <c:v>99.751880970940462</c:v>
                </c:pt>
                <c:pt idx="17">
                  <c:v>100.39159523904949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48F2-8C59-22E72583D088}"/>
            </c:ext>
          </c:extLst>
        </c:ser>
        <c:ser>
          <c:idx val="2"/>
          <c:order val="2"/>
          <c:tx>
            <c:strRef>
              <c:f>Comparisons!$C$282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Comparisons!$C$283:$C$300</c:f>
              <c:numCache>
                <c:formatCode>General</c:formatCode>
                <c:ptCount val="18"/>
                <c:pt idx="0">
                  <c:v>53.93350982053682</c:v>
                </c:pt>
                <c:pt idx="1">
                  <c:v>57.598539470480773</c:v>
                </c:pt>
                <c:pt idx="2">
                  <c:v>60.381517544255409</c:v>
                </c:pt>
                <c:pt idx="3">
                  <c:v>62.655376196883765</c:v>
                </c:pt>
                <c:pt idx="4">
                  <c:v>64.577896294328298</c:v>
                </c:pt>
                <c:pt idx="5">
                  <c:v>66.243258952787414</c:v>
                </c:pt>
                <c:pt idx="6">
                  <c:v>67.712212923286756</c:v>
                </c:pt>
                <c:pt idx="7">
                  <c:v>69.026237026562058</c:v>
                </c:pt>
                <c:pt idx="8">
                  <c:v>70.214916417208926</c:v>
                </c:pt>
                <c:pt idx="9">
                  <c:v>71.300095679190406</c:v>
                </c:pt>
                <c:pt idx="10">
                  <c:v>72.298363830383082</c:v>
                </c:pt>
                <c:pt idx="11">
                  <c:v>73.222615776634939</c:v>
                </c:pt>
                <c:pt idx="12">
                  <c:v>74.083073752965049</c:v>
                </c:pt>
                <c:pt idx="13">
                  <c:v>74.88797843509407</c:v>
                </c:pt>
                <c:pt idx="14">
                  <c:v>75.644070162828754</c:v>
                </c:pt>
                <c:pt idx="15">
                  <c:v>76.356932405593398</c:v>
                </c:pt>
                <c:pt idx="16">
                  <c:v>77.031242240759653</c:v>
                </c:pt>
                <c:pt idx="17">
                  <c:v>77.670956508868699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48F2-8C59-22E72583D088}"/>
            </c:ext>
          </c:extLst>
        </c:ser>
        <c:ser>
          <c:idx val="3"/>
          <c:order val="3"/>
          <c:tx>
            <c:strRef>
              <c:f>Comparisons!$D$282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Comparisons!$D$283:$D$300</c:f>
              <c:numCache>
                <c:formatCode>General</c:formatCode>
                <c:ptCount val="18"/>
                <c:pt idx="0">
                  <c:v>43.871120145757565</c:v>
                </c:pt>
                <c:pt idx="1">
                  <c:v>47.536149795701519</c:v>
                </c:pt>
                <c:pt idx="2">
                  <c:v>50.319127869476162</c:v>
                </c:pt>
                <c:pt idx="3">
                  <c:v>52.592986522104518</c:v>
                </c:pt>
                <c:pt idx="4">
                  <c:v>54.515506619549051</c:v>
                </c:pt>
                <c:pt idx="5">
                  <c:v>56.18086927800816</c:v>
                </c:pt>
                <c:pt idx="6">
                  <c:v>57.649823248507509</c:v>
                </c:pt>
                <c:pt idx="7">
                  <c:v>58.96384735178281</c:v>
                </c:pt>
                <c:pt idx="8">
                  <c:v>60.152526742429686</c:v>
                </c:pt>
                <c:pt idx="9">
                  <c:v>61.237706004411152</c:v>
                </c:pt>
                <c:pt idx="10">
                  <c:v>62.235974155603834</c:v>
                </c:pt>
                <c:pt idx="11">
                  <c:v>63.160226101855692</c:v>
                </c:pt>
                <c:pt idx="12">
                  <c:v>64.020684078185795</c:v>
                </c:pt>
                <c:pt idx="13">
                  <c:v>64.825588760314801</c:v>
                </c:pt>
                <c:pt idx="14">
                  <c:v>65.581680488049514</c:v>
                </c:pt>
                <c:pt idx="15">
                  <c:v>66.294542730814143</c:v>
                </c:pt>
                <c:pt idx="16">
                  <c:v>66.968852565980413</c:v>
                </c:pt>
                <c:pt idx="17">
                  <c:v>67.608566834089459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A-48F2-8C59-22E72583D088}"/>
            </c:ext>
          </c:extLst>
        </c:ser>
        <c:ser>
          <c:idx val="4"/>
          <c:order val="4"/>
          <c:tx>
            <c:strRef>
              <c:f>Comparisons!$E$282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Comparisons!$E$283:$E$300</c:f>
              <c:numCache>
                <c:formatCode>General</c:formatCode>
                <c:ptCount val="18"/>
                <c:pt idx="0">
                  <c:v>68.1842784062204</c:v>
                </c:pt>
                <c:pt idx="1">
                  <c:v>71.849308056164361</c:v>
                </c:pt>
                <c:pt idx="2">
                  <c:v>74.632286129939004</c:v>
                </c:pt>
                <c:pt idx="3">
                  <c:v>76.906144782567338</c:v>
                </c:pt>
                <c:pt idx="4">
                  <c:v>78.828664880011885</c:v>
                </c:pt>
                <c:pt idx="5">
                  <c:v>80.494027538470988</c:v>
                </c:pt>
                <c:pt idx="6">
                  <c:v>81.962981508970344</c:v>
                </c:pt>
                <c:pt idx="7">
                  <c:v>83.277005612245645</c:v>
                </c:pt>
                <c:pt idx="8">
                  <c:v>84.465685002892528</c:v>
                </c:pt>
                <c:pt idx="9">
                  <c:v>85.550864264873994</c:v>
                </c:pt>
                <c:pt idx="10">
                  <c:v>86.549132416066669</c:v>
                </c:pt>
                <c:pt idx="11">
                  <c:v>87.473384362318527</c:v>
                </c:pt>
                <c:pt idx="12">
                  <c:v>88.333842338648637</c:v>
                </c:pt>
                <c:pt idx="13">
                  <c:v>89.138747020777643</c:v>
                </c:pt>
                <c:pt idx="14">
                  <c:v>89.894838748512342</c:v>
                </c:pt>
                <c:pt idx="15">
                  <c:v>90.607700991276985</c:v>
                </c:pt>
                <c:pt idx="16">
                  <c:v>91.282010826443255</c:v>
                </c:pt>
                <c:pt idx="17">
                  <c:v>91.921725094552286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A-48F2-8C59-22E72583D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11615"/>
        <c:axId val="647609695"/>
      </c:lineChart>
      <c:catAx>
        <c:axId val="6476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09695"/>
        <c:crosses val="autoZero"/>
        <c:auto val="1"/>
        <c:lblAlgn val="ctr"/>
        <c:lblOffset val="100"/>
        <c:noMultiLvlLbl val="0"/>
      </c:catAx>
      <c:valAx>
        <c:axId val="647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Comparisons!$A$26:$E$26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Comparisons!$A$27:$E$27</c:f>
              <c:numCache>
                <c:formatCode>0.00</c:formatCode>
                <c:ptCount val="5"/>
                <c:pt idx="0">
                  <c:v>2.8</c:v>
                </c:pt>
                <c:pt idx="1">
                  <c:v>4.5999999999999996</c:v>
                </c:pt>
                <c:pt idx="2">
                  <c:v>1.6</c:v>
                </c:pt>
                <c:pt idx="3">
                  <c:v>1.8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E-4011-AAE7-7C97FDC30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49392"/>
        <c:axId val="177849872"/>
      </c:barChart>
      <c:catAx>
        <c:axId val="17784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849872"/>
        <c:crosses val="autoZero"/>
        <c:auto val="1"/>
        <c:lblAlgn val="ctr"/>
        <c:lblOffset val="100"/>
        <c:noMultiLvlLbl val="0"/>
      </c:catAx>
      <c:valAx>
        <c:axId val="1778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84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image" Target="../media/image3.png"/><Relationship Id="rId4" Type="http://schemas.openxmlformats.org/officeDocument/2006/relationships/chart" Target="../charts/chart5.xml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196802</xdr:colOff>
      <xdr:row>9</xdr:row>
      <xdr:rowOff>179287</xdr:rowOff>
    </xdr:from>
    <xdr:to>
      <xdr:col>14</xdr:col>
      <xdr:colOff>809718</xdr:colOff>
      <xdr:row>24</xdr:row>
      <xdr:rowOff>138257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CFE68D-8542-1F4A-069E-E63F0FB1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87485</xdr:colOff>
      <xdr:row>16</xdr:row>
      <xdr:rowOff>164528</xdr:rowOff>
    </xdr:from>
    <xdr:to>
      <xdr:col>20</xdr:col>
      <xdr:colOff>683326</xdr:colOff>
      <xdr:row>31</xdr:row>
      <xdr:rowOff>112754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EC904CC-8D14-7663-192F-B0A78143F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991097</xdr:colOff>
      <xdr:row>35</xdr:row>
      <xdr:rowOff>28721</xdr:rowOff>
    </xdr:from>
    <xdr:to>
      <xdr:col>23</xdr:col>
      <xdr:colOff>793955</xdr:colOff>
      <xdr:row>49</xdr:row>
      <xdr:rowOff>157215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A280671-99AD-A784-8054-03AAF282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687915</xdr:colOff>
      <xdr:row>76</xdr:row>
      <xdr:rowOff>29431</xdr:rowOff>
    </xdr:from>
    <xdr:to>
      <xdr:col>25</xdr:col>
      <xdr:colOff>323547</xdr:colOff>
      <xdr:row>94</xdr:row>
      <xdr:rowOff>4032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F4AA0C5-0122-91DD-591A-4A9A274C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303893</xdr:colOff>
      <xdr:row>94</xdr:row>
      <xdr:rowOff>97970</xdr:rowOff>
    </xdr:from>
    <xdr:to>
      <xdr:col>16</xdr:col>
      <xdr:colOff>435429</xdr:colOff>
      <xdr:row>110</xdr:row>
      <xdr:rowOff>126999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6B6AF25-588C-5199-2B23-2E7A6E88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934862</xdr:colOff>
      <xdr:row>77</xdr:row>
      <xdr:rowOff>145343</xdr:rowOff>
    </xdr:from>
    <xdr:to>
      <xdr:col>18</xdr:col>
      <xdr:colOff>995339</xdr:colOff>
      <xdr:row>92</xdr:row>
      <xdr:rowOff>167115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834E743-98A5-BC1D-0147-F3B57132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78478</xdr:colOff>
      <xdr:row>2</xdr:row>
      <xdr:rowOff>66015</xdr:rowOff>
    </xdr:from>
    <xdr:to>
      <xdr:col>21</xdr:col>
      <xdr:colOff>338668</xdr:colOff>
      <xdr:row>16</xdr:row>
      <xdr:rowOff>70555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C9B41881-DE11-AA3E-068F-7C1A87AB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874384</xdr:colOff>
      <xdr:row>59</xdr:row>
      <xdr:rowOff>156432</xdr:rowOff>
    </xdr:from>
    <xdr:to>
      <xdr:col>24</xdr:col>
      <xdr:colOff>419805</xdr:colOff>
      <xdr:row>74</xdr:row>
      <xdr:rowOff>49187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5AFA1A-3FAB-47B8-067D-13829B99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11</xdr:col>
      <xdr:colOff>261056</xdr:colOff>
      <xdr:row>13</xdr:row>
      <xdr:rowOff>77611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317498</xdr:colOff>
      <xdr:row>51</xdr:row>
      <xdr:rowOff>162278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5</xdr:col>
      <xdr:colOff>56445</xdr:colOff>
      <xdr:row>80</xdr:row>
      <xdr:rowOff>35279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811388</xdr:colOff>
      <xdr:row>85</xdr:row>
      <xdr:rowOff>84666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1065388</xdr:colOff>
      <xdr:row>90</xdr:row>
      <xdr:rowOff>112888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9F58FFA-7CE0-4C2C-9C28-648DD5FEC7A1}"/>
            </a:ext>
          </a:extLst>
        </xdr:cNvPr>
        <xdr:cNvSpPr txBox="1"/>
      </xdr:nvSpPr>
      <xdr:spPr>
        <a:xfrm>
          <a:off x="10477500" y="168980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1615723</xdr:colOff>
      <xdr:row>91</xdr:row>
      <xdr:rowOff>63498</xdr:rowOff>
    </xdr:from>
    <xdr:ext cx="414164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10350501" y="16778109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10350501" y="16778109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8</xdr:col>
      <xdr:colOff>11031</xdr:colOff>
      <xdr:row>79</xdr:row>
      <xdr:rowOff>169333</xdr:rowOff>
    </xdr:from>
    <xdr:to>
      <xdr:col>9</xdr:col>
      <xdr:colOff>9954</xdr:colOff>
      <xdr:row>83</xdr:row>
      <xdr:rowOff>63499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E444D1E-49BC-6F30-1284-30C25F1D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4198" y="14682611"/>
          <a:ext cx="1727534" cy="62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1735666</xdr:colOff>
      <xdr:row>85</xdr:row>
      <xdr:rowOff>0</xdr:rowOff>
    </xdr:from>
    <xdr:to>
      <xdr:col>8</xdr:col>
      <xdr:colOff>1001888</xdr:colOff>
      <xdr:row>87</xdr:row>
      <xdr:rowOff>142152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1A35359-AF39-62C7-22C9-A1793019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3166" y="15613944"/>
          <a:ext cx="1001889" cy="50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76</xdr:row>
      <xdr:rowOff>21166</xdr:rowOff>
    </xdr:from>
    <xdr:to>
      <xdr:col>11</xdr:col>
      <xdr:colOff>359833</xdr:colOff>
      <xdr:row>80</xdr:row>
      <xdr:rowOff>53531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11CDBD76-601C-D45E-56FA-1F9AF3A63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98083" y="14530916"/>
          <a:ext cx="1248833" cy="794365"/>
        </a:xfrm>
        <a:prstGeom prst="rect">
          <a:avLst/>
        </a:prstGeom>
      </xdr:spPr>
    </xdr:pic>
    <xdr:clientData/>
  </xdr:twoCellAnchor>
  <xdr:oneCellAnchor>
    <xdr:from>
      <xdr:col>14</xdr:col>
      <xdr:colOff>728133</xdr:colOff>
      <xdr:row>60</xdr:row>
      <xdr:rowOff>61382</xdr:rowOff>
    </xdr:from>
    <xdr:ext cx="3134783" cy="708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11CF8C-93C6-583B-FAF2-867496761C96}"/>
                </a:ext>
              </a:extLst>
            </xdr:cNvPr>
            <xdr:cNvSpPr txBox="1"/>
          </xdr:nvSpPr>
          <xdr:spPr>
            <a:xfrm>
              <a:off x="18709216" y="11523132"/>
              <a:ext cx="3134783" cy="708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2000" b="0" i="1">
                      <a:latin typeface="Cambria Math" panose="02040503050406030204" pitchFamily="18" charset="0"/>
                    </a:rPr>
                    <m:t>𝑅</m:t>
                  </m:r>
                  <m:r>
                    <a:rPr lang="it-IT" sz="2000" b="0" i="1">
                      <a:latin typeface="Cambria Math" panose="02040503050406030204" pitchFamily="18" charset="0"/>
                    </a:rPr>
                    <m:t>(</m:t>
                  </m:r>
                  <m:f>
                    <m:fPr>
                      <m:ctrlPr>
                        <a:rPr lang="it-IT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2000" b="0" i="1">
                          <a:latin typeface="Cambria Math" panose="02040503050406030204" pitchFamily="18" charset="0"/>
                        </a:rPr>
                        <m:t>3</m:t>
                      </m:r>
                    </m:num>
                    <m:den>
                      <m:r>
                        <a:rPr lang="it-IT" sz="20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it-IT" sz="2000" b="0" i="1">
                      <a:latin typeface="Cambria Math" panose="02040503050406030204" pitchFamily="18" charset="0"/>
                    </a:rPr>
                    <m:t>+</m:t>
                  </m:r>
                  <m:sSup>
                    <m:sSupPr>
                      <m:ctrlPr>
                        <a:rPr lang="it-IT" sz="20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func>
                        <m:funcPr>
                          <m:ctrlPr>
                            <a:rPr lang="it-IT" sz="2000" b="0" i="1"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it-IT" sz="2000" b="0" i="0">
                              <a:latin typeface="Cambria Math" panose="02040503050406030204" pitchFamily="18" charset="0"/>
                            </a:rPr>
                            <m:t>ln</m:t>
                          </m:r>
                        </m:fName>
                        <m:e>
                          <m:d>
                            <m:dPr>
                              <m:ctrlPr>
                                <a:rPr lang="it-IT" sz="20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20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it-IT" sz="20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  <m:sSup>
                                    <m:sSup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𝑇</m:t>
                                      </m:r>
                                    </m:e>
                                    <m:sup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3</m:t>
                                      </m:r>
                                    </m:sup>
                                  </m:sSup>
                                </m:num>
                                <m:den>
                                  <m:sSup>
                                    <m:sSup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𝜎</m:t>
                                      </m:r>
                                    </m:e>
                                    <m:sup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𝑦</m:t>
                                      </m:r>
                                    </m:sub>
                                  </m:sSub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𝑧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</m:func>
                    </m:e>
                    <m:sup>
                      <m:f>
                        <m:fPr>
                          <m:ctrlP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p>
                  </m:sSup>
                </m:oMath>
              </a14:m>
              <a:r>
                <a:rPr lang="it-IT" sz="1600"/>
                <a:t>)</a:t>
              </a: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11CF8C-93C6-583B-FAF2-867496761C96}"/>
                </a:ext>
              </a:extLst>
            </xdr:cNvPr>
            <xdr:cNvSpPr txBox="1"/>
          </xdr:nvSpPr>
          <xdr:spPr>
            <a:xfrm>
              <a:off x="18709216" y="11523132"/>
              <a:ext cx="3134783" cy="708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𝑅(3/2+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it-IT" sz="2000" b="0" i="0">
                  <a:latin typeface="Cambria Math" panose="02040503050406030204" pitchFamily="18" charset="0"/>
                </a:rPr>
                <a:t>ln⁡(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(𝜋𝑇^3)/(𝜎^2 𝜃_𝑥 𝜃_𝑦 𝜃_𝑧 ))〗^(1/2)</a:t>
              </a:r>
              <a:r>
                <a:rPr lang="it-IT" sz="16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206023</xdr:colOff>
      <xdr:row>2</xdr:row>
      <xdr:rowOff>149577</xdr:rowOff>
    </xdr:from>
    <xdr:ext cx="1132298" cy="745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B5E94BFC-7C03-1C49-9803-2D393D3A81E7}"/>
                </a:ext>
              </a:extLst>
            </xdr:cNvPr>
            <xdr:cNvSpPr txBox="1"/>
          </xdr:nvSpPr>
          <xdr:spPr>
            <a:xfrm>
              <a:off x="1588912" y="516466"/>
              <a:ext cx="1132298" cy="745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20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/</m:t>
                            </m:r>
                            <m:sSub>
                              <m:sSub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it-IT" sz="2000"/>
            </a:p>
          </xdr:txBody>
        </xdr:sp>
      </mc:Choice>
      <mc:Fallback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B5E94BFC-7C03-1C49-9803-2D393D3A81E7}"/>
                </a:ext>
              </a:extLst>
            </xdr:cNvPr>
            <xdr:cNvSpPr txBox="1"/>
          </xdr:nvSpPr>
          <xdr:spPr>
            <a:xfrm>
              <a:off x="1588912" y="516466"/>
              <a:ext cx="1132298" cy="745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2000" i="0">
                  <a:latin typeface="Cambria Math" panose="02040503050406030204" pitchFamily="18" charset="0"/>
                </a:rPr>
                <a:t>∑▒</a:t>
              </a:r>
              <a:r>
                <a:rPr lang="it-IT" sz="2000" b="0" i="0">
                  <a:latin typeface="Cambria Math" panose="02040503050406030204" pitchFamily="18" charset="0"/>
                </a:rPr>
                <a:t>𝑒_𝑖^(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𝜀/𝑘_𝐵 𝑇) </a:t>
              </a:r>
              <a:endParaRPr lang="it-IT" sz="20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357907</xdr:colOff>
      <xdr:row>0</xdr:row>
      <xdr:rowOff>48488</xdr:rowOff>
    </xdr:from>
    <xdr:to>
      <xdr:col>43</xdr:col>
      <xdr:colOff>69272</xdr:colOff>
      <xdr:row>34</xdr:row>
      <xdr:rowOff>69272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BE68BC-73FA-38D5-4851-2FCAE54C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300486</xdr:colOff>
      <xdr:row>2</xdr:row>
      <xdr:rowOff>9677</xdr:rowOff>
    </xdr:from>
    <xdr:to>
      <xdr:col>12</xdr:col>
      <xdr:colOff>447079</xdr:colOff>
      <xdr:row>20</xdr:row>
      <xdr:rowOff>64996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DFF346-5E31-BDB0-EEBA-2EC1E7AE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632944</xdr:colOff>
      <xdr:row>44</xdr:row>
      <xdr:rowOff>15875</xdr:rowOff>
    </xdr:from>
    <xdr:to>
      <xdr:col>22</xdr:col>
      <xdr:colOff>580463</xdr:colOff>
      <xdr:row>62</xdr:row>
      <xdr:rowOff>79935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0C6CB19-E762-BEAB-F35C-9773076B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632011</xdr:colOff>
      <xdr:row>62</xdr:row>
      <xdr:rowOff>156136</xdr:rowOff>
    </xdr:from>
    <xdr:to>
      <xdr:col>22</xdr:col>
      <xdr:colOff>385483</xdr:colOff>
      <xdr:row>83</xdr:row>
      <xdr:rowOff>112060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B9D60B6-E25E-6F06-B260-4C8752E63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65</xdr:row>
      <xdr:rowOff>166077</xdr:rowOff>
    </xdr:from>
    <xdr:to>
      <xdr:col>6</xdr:col>
      <xdr:colOff>185701</xdr:colOff>
      <xdr:row>82</xdr:row>
      <xdr:rowOff>151423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BABE11-D6E4-74B0-8A6F-51CFEA54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422520</xdr:colOff>
      <xdr:row>258</xdr:row>
      <xdr:rowOff>108438</xdr:rowOff>
    </xdr:from>
    <xdr:to>
      <xdr:col>12</xdr:col>
      <xdr:colOff>61058</xdr:colOff>
      <xdr:row>273</xdr:row>
      <xdr:rowOff>67407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599990-1BF9-D065-B4B3-84DE9CE59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461597</xdr:colOff>
      <xdr:row>279</xdr:row>
      <xdr:rowOff>74246</xdr:rowOff>
    </xdr:from>
    <xdr:to>
      <xdr:col>13</xdr:col>
      <xdr:colOff>236904</xdr:colOff>
      <xdr:row>294</xdr:row>
      <xdr:rowOff>33215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43E29-427C-0DB2-EC21-62790EEB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295274</xdr:colOff>
      <xdr:row>20</xdr:row>
      <xdr:rowOff>98424</xdr:rowOff>
    </xdr:from>
    <xdr:to>
      <xdr:col>12</xdr:col>
      <xdr:colOff>476250</xdr:colOff>
      <xdr:row>36</xdr:row>
      <xdr:rowOff>120650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9C95C9F-BD6E-CF01-2CFD-E5FE6C8D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534B3D0-E53E-4595-A32C-396F50AFB436}" name="Tabella3331776" displayName="Tabella3331776" ref="A1:H2" totalsRowShown="0" headerRowDxfId="607" dataDxfId="606">
  <autoFilter ref="A1:H2" xr:uid="{02869E67-574E-4326-A3F8-F299078BC917}"/>
  <tableColumns count="8">
    <tableColumn id="1" xr3:uid="{7378D3EC-0886-4226-88ED-3762AD95275B}" name="Pi Greco" dataDxfId="605">
      <calculatedColumnFormula>PI()</calculatedColumnFormula>
    </tableColumn>
    <tableColumn id="2" xr3:uid="{58EC1C5E-FEDA-412C-89AC-4F2DF4AE35F4}" name="Massa [kg]" dataDxfId="604">
      <calculatedColumnFormula>1.66E-27*Tabella3331776[[#This Row],[Massa '[g/mol']]]</calculatedColumnFormula>
    </tableColumn>
    <tableColumn id="3" xr3:uid="{B6852F8B-8249-42E6-B921-895E340F1ED1}" name="Boltzmann k" dataDxfId="603"/>
    <tableColumn id="4" xr3:uid="{4012A38E-D4E7-49F8-9831-DDEBBEB97366}" name="Planck h" dataDxfId="602"/>
    <tableColumn id="5" xr3:uid="{A8949965-0642-4160-9C7B-F8BC26759C39}" name="Rydberg R" dataDxfId="601"/>
    <tableColumn id="6" xr3:uid="{22922DE0-B0FC-4D22-9E24-ABF79776C0AF}" name="Avogadro N" dataDxfId="600"/>
    <tableColumn id="7" xr3:uid="{E7D7193B-97E4-4FD9-9AF6-DD317BA86D66}" name="Massa [g/mol]" dataDxfId="599"/>
    <tableColumn id="8" xr3:uid="{5D6AA478-EE29-4FEB-81F4-636DA2F1611B}" name="N" dataDxfId="59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20B7430-2E54-4099-986E-6A67E1C84541}" name="Tabella5356378" displayName="Tabella5356378" ref="A57:F76" totalsRowCount="1" headerRowDxfId="597" dataDxfId="596" totalsRowDxfId="595">
  <autoFilter ref="A57:F75" xr:uid="{81335CEC-6353-4671-833B-07B0D1500060}"/>
  <tableColumns count="6">
    <tableColumn id="1" xr3:uid="{20259F79-F919-4D29-BC51-13A83B2B5073}" name="Temperatura" totalsRowLabel="DELTA" dataDxfId="594" totalsRowDxfId="593"/>
    <tableColumn id="12" xr3:uid="{1520CAD8-FF1E-4348-AC6E-299015BB2378}" name="Volume" dataDxfId="592" totalsRowDxfId="591">
      <calculatedColumnFormula array="1">(Tabella3331776[Boltzmann k]*Tabella5356378[[#This Row],[Temperatura]])/101325</calculatedColumnFormula>
    </tableColumn>
    <tableColumn id="2" xr3:uid="{130AA237-8606-4B9A-A066-DF909D4572FE}" name="Qtrasl" totalsRowFunction="custom" dataDxfId="590" totalsRowDxfId="589">
      <calculatedColumnFormula array="1">POWER((2*Tabella3331776[Pi Greco]*Tabella3331776[Massa '[kg']]*Tabella3331776[Boltzmann k]*Tabella5356378[[#This Row],[Temperatura]])/(POWER(Tabella3331776[Planck h],2)),1.5)*Tabella5356378[[#This Row],[Volume]]</calculatedColumnFormula>
      <totalsRowFormula>C75-C58</totalsRowFormula>
    </tableColumn>
    <tableColumn id="3" xr3:uid="{42227363-72FB-4B22-BAE4-FAF2E9286329}" name="Qvib" totalsRowFunction="custom" dataDxfId="588" totalsRowDxfId="587">
      <calculatedColumnFormula>C15</calculatedColumnFormula>
      <totalsRowFormula>D75-D58</totalsRowFormula>
    </tableColumn>
    <tableColumn id="4" xr3:uid="{BFEADF0E-C31F-47E4-A5D6-D121A1900479}" name="Qrot" totalsRowFunction="custom" dataDxfId="586" totalsRowDxfId="585">
      <calculatedColumnFormula>Tabella5356378[[#This Row],[Temperatura]]/$G$7</calculatedColumnFormula>
      <totalsRowFormula>E75-E58</totalsRowFormula>
    </tableColumn>
    <tableColumn id="5" xr3:uid="{6B0D9AB6-3E2F-4BC3-8448-B2B2FBD6A8BB}" name="Qel" dataDxfId="584" totalsRowDxfId="58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6AD313C-E772-487F-84DE-E424473EC667}" name="Tabella6366479" displayName="Tabella6366479" ref="A8:C9" totalsRowShown="0" headerRowDxfId="582" dataDxfId="581">
  <autoFilter ref="A8:C9" xr:uid="{EBAD8B2B-7816-44DE-867A-C80A23B2F7AF}"/>
  <tableColumns count="3">
    <tableColumn id="1" xr3:uid="{32666BC7-9D92-4DB9-9FF6-62A2B438C3CD}" name="Simmetria" dataDxfId="580"/>
    <tableColumn id="2" xr3:uid="{37FFB7BE-010B-4514-81FA-91BE4B72022C}" name="Gel" dataDxfId="579"/>
    <tableColumn id="3" xr3:uid="{895EE965-4C30-45D4-9E02-0E5E9CED4F2D}" name="Eel" dataDxfId="578">
      <calculatedColumnFormula>H85+H89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3DAB18-3CE4-4D92-8845-35D4456029F0}" name="Tabella8376580" displayName="Tabella8376580" ref="A14:C33" totalsRowCount="1" headerRowDxfId="577" dataDxfId="576" totalsRowDxfId="575">
  <autoFilter ref="A14:C32" xr:uid="{D37DB2BB-42C8-44C8-829B-D34114293CBD}"/>
  <tableColumns count="3">
    <tableColumn id="1" xr3:uid="{A29B0B30-A67F-4F75-87A6-4F748B8B0BB7}" name="Temperatura" totalsRowLabel="DELTA" dataDxfId="574" totalsRowDxfId="573"/>
    <tableColumn id="2" xr3:uid="{37738897-754E-4AAB-9ED7-9E9BE6688508}" name="Qvib1" totalsRowFunction="custom" dataDxfId="572" totalsRowDxfId="571">
      <calculatedColumnFormula array="1">EXP(-(Tabella3[Planck h]*Tabella9386681[Frequenza1])/(Tabella3[Boltzmann k]*2*Tabella8376580[[#This Row],[Temperatura]]))/(1-EXP(-(Tabella3[Planck h]*Tabella9386681[Frequenza1])/(Tabella3[Boltzmann k]*Tabella8376580[[#This Row],[Temperatura]])))</calculatedColumnFormula>
      <totalsRowFormula>B32-B15</totalsRowFormula>
    </tableColumn>
    <tableColumn id="13" xr3:uid="{5E5C8BE2-8D20-49B6-BF78-3D09B07F3C97}" name="Qtot" totalsRowFunction="custom" dataDxfId="570" totalsRowDxfId="569">
      <calculatedColumnFormula>Tabella8376580[[#This Row],[Qvib1]]</calculatedColumnFormula>
      <totalsRowFormula>C32-C15</totalsRow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E607B70-4942-491D-807A-BBABAF930ADE}" name="Tabella9386681" displayName="Tabella9386681" ref="B12:B13" totalsRowShown="0" headerRowDxfId="568" dataDxfId="567">
  <autoFilter ref="B12:B13" xr:uid="{752CC45A-820D-429C-86F3-53F2A5B55BB0}"/>
  <tableColumns count="1">
    <tableColumn id="1" xr3:uid="{5D3E5CA4-93CC-4EC2-ABBF-11DA777EA081}" name="Frequenza1" dataDxfId="566">
      <calculatedColumnFormula array="1">Tabella931477590[Frequenza1]*29979300000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EC929C8-A33A-41BE-830B-BF8A12C0E77B}" name="Tabella1396782" displayName="Tabella1396782" ref="H57:K76" totalsRowCount="1" headerRowDxfId="565" dataDxfId="564" totalsRowDxfId="562" tableBorderDxfId="563">
  <autoFilter ref="H57:K75" xr:uid="{6C35C47E-9B0C-4516-B80D-9D65F8ED9043}"/>
  <tableColumns count="4">
    <tableColumn id="1" xr3:uid="{DEBF3DAE-71CC-44C4-A16A-3ED351C1144D}" name="Temperatura" totalsRowLabel="DELTA" dataDxfId="561" totalsRowDxfId="560"/>
    <tableColumn id="2" xr3:uid="{F6887A41-7BF8-4A3E-AB6E-841987BE2360}" name="Translational Factor" totalsRowFunction="custom" dataDxfId="559" totalsRowDxfId="558">
      <calculatedColumnFormula array="1">POWER((2*PI()*Tabella3331776[Massa '[kg']]*Tabella3331776[Boltzmann k]*Tabella1396782[[#This Row],[Temperatura]])/(POWER(Tabella3331776[Planck h],2)),1.5)</calculatedColumnFormula>
      <totalsRowFormula>I75-I58</totalsRowFormula>
    </tableColumn>
    <tableColumn id="3" xr3:uid="{7EBEB7D2-286C-404A-9433-79F5BCDBA0B5}" name="Volume" totalsRowFunction="custom" dataDxfId="557" totalsRowDxfId="556">
      <calculatedColumnFormula array="1">(Tabella1396782[[#This Row],[Temperatura]]*Tabella3331776[Boltzmann k])/101325</calculatedColumnFormula>
      <totalsRowFormula>J75-J58</totalsRowFormula>
    </tableColumn>
    <tableColumn id="4" xr3:uid="{55E00CF7-F50E-4D66-AA07-1F6B5B9FB5D3}" name="S Translational" totalsRowFunction="custom" dataDxfId="555" totalsRowDxfId="554">
      <calculatedColumnFormula array="1">Tabella3331776[Rydberg R]*(2.5+LN(Tabella1396782[[#This Row],[Volume]]*Tabella1396782[[#This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9212273-EEC2-45CD-9065-571EE90A9B89}" name="Tabella10406883" displayName="Tabella10406883" ref="A34:B52" totalsRowShown="0" headerRowDxfId="553" dataDxfId="552" tableBorderDxfId="551">
  <autoFilter ref="A34:B52" xr:uid="{8EE75784-2FE5-4D07-A21C-99C9C9FBF68B}"/>
  <tableColumns count="2">
    <tableColumn id="1" xr3:uid="{FBBF1CC9-3DA0-4C45-9EE9-25F48601CF92}" name="Colonna1" dataDxfId="550"/>
    <tableColumn id="2" xr3:uid="{DF34F785-0EA1-4601-B008-B907880C672F}" name="Theta vib" dataDxfId="54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A60D2B8-EFD2-40F3-920F-166C7842AA39}" name="Tabella11416984" displayName="Tabella11416984" ref="D36:F55" totalsRowCount="1" headerRowDxfId="548" dataDxfId="547" totalsRowDxfId="545" tableBorderDxfId="546">
  <autoFilter ref="D36:F54" xr:uid="{FB331EE4-0E00-483A-969A-3E85182E1038}"/>
  <tableColumns count="3">
    <tableColumn id="1" xr3:uid="{9F5504CC-817A-47C6-98AD-C579E3265069}" name="Temperatura" totalsRowLabel="DELTA" dataDxfId="544" totalsRowDxfId="543"/>
    <tableColumn id="2" xr3:uid="{49E6E80C-ABFC-47B9-8FDB-01A261A20592}" name="S vib 1" totalsRowFunction="custom" dataDxfId="542" totalsRowDxfId="541">
      <calculatedColumnFormula array="1">(    (Tabella12427085[Theta vib 1]/Tabella11416984[[#This Row],[Temperatura]]) /(EXP(Tabella12427085[Theta vib 1]/Tabella11416984[[#This Row],[Temperatura]])-1) - LN(1-EXP(-Tabella12427085[Theta vib 1]/Tabella11416984[[#This Row],[Temperatura]]))    )</calculatedColumnFormula>
      <totalsRowFormula>E54-E37</totalsRowFormula>
    </tableColumn>
    <tableColumn id="20" xr3:uid="{6214FBAF-4502-4637-943C-F0C13E0EF17B}" name="S vib tot" dataDxfId="540" totalsRowDxfId="539">
      <calculatedColumnFormula array="1">Tabella11416984[[#This Row],[S vib 1]]*Tabella3331776[Rydberg R]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20BF468-5AF6-4A09-BE78-5798EB7A6E86}" name="Tabella12427085" displayName="Tabella12427085" ref="E34:E35" totalsRowShown="0" headerRowDxfId="538" dataDxfId="537">
  <autoFilter ref="E34:E35" xr:uid="{A82CBD88-6239-4EFA-8EF2-2B939CA10E1C}"/>
  <tableColumns count="1">
    <tableColumn id="1" xr3:uid="{C43EE222-34A6-4D35-B3A7-E477C9546F0E}" name="Theta vib 1" dataDxfId="536">
      <calculatedColumnFormula>B35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29490C8-7E58-4D80-9DCD-81E1F83979DA}" name="Tabella13437186" displayName="Tabella13437186" ref="M57:N76" totalsRowCount="1" headerRowDxfId="535" dataDxfId="534" totalsRowDxfId="532" tableBorderDxfId="533">
  <autoFilter ref="M57:N75" xr:uid="{A17DD12F-9A79-4CF9-8CE2-7C42CC50F3FE}"/>
  <tableColumns count="2">
    <tableColumn id="1" xr3:uid="{67AFBFB3-35C6-4967-BCB6-9F1F717CABA5}" name="Temperatura" totalsRowLabel="DELTA" dataDxfId="531" totalsRowDxfId="530"/>
    <tableColumn id="2" xr3:uid="{4303C848-E8EB-4653-B01B-B414FA1264A4}" name="S rotational" totalsRowFunction="custom" dataDxfId="529" totalsRowDxfId="528">
      <calculatedColumnFormula array="1">Tabella33317[Rydberg R]*(1+LN(Tabella13437186[[#This Row],[Temperatura]]/(Tabella63664[Simmetria]*$G$7)))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9B82817-896D-4AD0-B96F-EA58C16B358B}" name="Tabella15457388" displayName="Tabella15457388" ref="A79:E98" totalsRowCount="1" headerRowDxfId="527" dataDxfId="526" totalsRowDxfId="524" tableBorderDxfId="525">
  <autoFilter ref="A79:E97" xr:uid="{9F3C7E0C-6472-472D-B323-A5A9CEF9C677}"/>
  <tableColumns count="5">
    <tableColumn id="1" xr3:uid="{977D50DF-64E2-4593-8B60-8751D9038EB5}" name="Temperatura" totalsRowLabel="DELTA" dataDxfId="523" totalsRowDxfId="522"/>
    <tableColumn id="2" xr3:uid="{06F54B72-89E9-4765-AD7E-E1931E805D45}" name="CvRot" dataDxfId="521" totalsRowDxfId="520">
      <calculatedColumnFormula array="1">Tabella3331776[Rydberg R]</calculatedColumnFormula>
    </tableColumn>
    <tableColumn id="3" xr3:uid="{064BC308-5303-4CA1-8C79-FAE083CE0031}" name="Cv translational" dataDxfId="519" totalsRowDxfId="518">
      <calculatedColumnFormula array="1">(3/2)*Tabella3331776[Rydberg R]</calculatedColumnFormula>
    </tableColumn>
    <tableColumn id="4" xr3:uid="{5A34E0B4-71D7-4747-98AC-F1BA6F606FAD}" name="Cv Vib" totalsRowFunction="custom" dataDxfId="517" totalsRowDxfId="516">
      <calculatedColumnFormula array="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calculatedColumnFormula>
      <totalsRowFormula>D97-D80</totalsRowFormula>
    </tableColumn>
    <tableColumn id="5" xr3:uid="{D0C04082-90FC-4861-8A0F-2D9785CD8D80}" name="Cv Tot" totalsRowFunction="custom" dataDxfId="515" totalsRowDxfId="514">
      <calculatedColumnFormula>SUM(Tabella15457388[[#This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6DF1A7B-4362-42CB-ADB3-52293216BBD7}" name="Tabella931477590" displayName="Tabella931477590" ref="B10:B11" totalsRowShown="0" headerRowDxfId="513" dataDxfId="512">
  <autoFilter ref="B10:B11" xr:uid="{28A90A48-8D3D-462E-9624-2641B5682046}"/>
  <tableColumns count="1">
    <tableColumn id="1" xr3:uid="{C7DAFCED-BB2E-4143-A6CB-ACC056939765}" name="Frequenza1" dataDxfId="51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D01D0F-E6AC-4439-9975-17DE9C8F96C5}" name="Tabella33317" displayName="Tabella33317" ref="A1:H2" totalsRowShown="0" headerRowDxfId="510" dataDxfId="509">
  <autoFilter ref="A1:H2" xr:uid="{02869E67-574E-4326-A3F8-F299078BC917}"/>
  <tableColumns count="8">
    <tableColumn id="1" xr3:uid="{E8F7E420-5724-48A0-99D5-584F61176D02}" name="Pi Greco" dataDxfId="508">
      <calculatedColumnFormula>PI()</calculatedColumnFormula>
    </tableColumn>
    <tableColumn id="2" xr3:uid="{E986F194-A0B7-49C9-B228-51C56EE4277F}" name="Massa [kg]" dataDxfId="507">
      <calculatedColumnFormula>1.66E-27*Tabella33317[[#This Row],[Massa '[g/mol']]]</calculatedColumnFormula>
    </tableColumn>
    <tableColumn id="3" xr3:uid="{607CA023-1AE9-4504-BCAA-1A90671B62E2}" name="Boltzmann k" dataDxfId="506"/>
    <tableColumn id="4" xr3:uid="{7CA0EA86-A520-4576-A9A9-E89BAD704B82}" name="Planck h" dataDxfId="505"/>
    <tableColumn id="5" xr3:uid="{95C23108-02CD-48E4-B7A4-502013F54C81}" name="Rydberg R" dataDxfId="504"/>
    <tableColumn id="6" xr3:uid="{DD307428-A47A-4D3E-8D36-5A68B2CB8AD9}" name="Avogadro N" dataDxfId="503"/>
    <tableColumn id="7" xr3:uid="{9A258940-22EE-4384-BBEA-65CCA4E35DB1}" name="Massa [g/mol]" dataDxfId="502"/>
    <tableColumn id="8" xr3:uid="{42FCF5A5-0CC7-4F99-A97B-A7FAFACAF306}" name="N" dataDxfId="50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68DF0C-F327-47C8-999A-D7C9441EA7DF}" name="Tabella53563" displayName="Tabella53563" ref="A57:F76" totalsRowCount="1" headerRowDxfId="500" dataDxfId="499" totalsRowDxfId="498">
  <autoFilter ref="A57:F75" xr:uid="{81335CEC-6353-4671-833B-07B0D1500060}"/>
  <tableColumns count="6">
    <tableColumn id="1" xr3:uid="{2D3132CC-BFFC-4DDA-A7A0-96AEDBA97E79}" name="Temperatura" totalsRowLabel="DELTA" dataDxfId="497" totalsRowDxfId="496"/>
    <tableColumn id="12" xr3:uid="{10BCD271-83AE-46FA-9FF0-18627855C279}" name="Volume" dataDxfId="495" totalsRowDxfId="494">
      <calculatedColumnFormula array="1">(Tabella33317[Boltzmann k]*Tabella53563[[#This Row],[Temperatura]])/101325</calculatedColumnFormula>
    </tableColumn>
    <tableColumn id="2" xr3:uid="{A84BFE5F-EF36-4207-ABD2-365D70543198}" name="Qtrasl" totalsRowFunction="custom" dataDxfId="493" totalsRowDxfId="492">
      <calculatedColumnFormula array="1">POWER((2*Tabella33317[Pi Greco]*Tabella33317[Massa '[kg']]*Tabella33317[Boltzmann k]*Tabella53563[[#This Row],[Temperatura]])/(POWER(Tabella33317[Planck h],2)),1.5)*Tabella53563[[#This Row],[Volume]]</calculatedColumnFormula>
      <totalsRowFormula>C75-C58</totalsRowFormula>
    </tableColumn>
    <tableColumn id="3" xr3:uid="{0FAF3A22-4781-4101-AD2D-6548B752C619}" name="Qvib" totalsRowFunction="custom" dataDxfId="491" totalsRowDxfId="490">
      <calculatedColumnFormula>E15</calculatedColumnFormula>
      <totalsRowFormula>D75-D58</totalsRowFormula>
    </tableColumn>
    <tableColumn id="4" xr3:uid="{5E257A84-5B29-4164-836D-AC388390E17A}" name="Qrot" totalsRowFunction="custom" dataDxfId="489" totalsRowDxfId="488">
      <calculatedColumnFormula array="1">((SQRT(PI())/Tabella63664[Simmetria]))*(SQRT(POWER(Tabella53563[[#This Row],[Temperatura]],3)/PRODUCT($G$7,$H$7,$I$7)))</calculatedColumnFormula>
      <totalsRowFormula>E75-E58</totalsRowFormula>
    </tableColumn>
    <tableColumn id="5" xr3:uid="{7052914A-ABC3-48A2-A9D6-C4412D742673}" name="Qel" dataDxfId="487" totalsRowDxfId="486">
      <calculatedColumnFormula array="1">Tabella63664[Gel]*EXP(0)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B858C17-3268-45DD-BE96-40AAAF621BF8}" name="Tabella63664" displayName="Tabella63664" ref="A8:C9" totalsRowShown="0" headerRowDxfId="485" dataDxfId="484">
  <autoFilter ref="A8:C9" xr:uid="{EBAD8B2B-7816-44DE-867A-C80A23B2F7AF}"/>
  <tableColumns count="3">
    <tableColumn id="1" xr3:uid="{CD108A33-EFB1-47FC-A591-AE6F1D3CF5FC}" name="Simmetria" dataDxfId="483"/>
    <tableColumn id="2" xr3:uid="{23D5683B-6C9B-4CF4-A3CC-D36EB4CF7C7D}" name="Gel" dataDxfId="482"/>
    <tableColumn id="3" xr3:uid="{3A047E6F-EAE5-48A3-91EF-5148D0A95F31}" name="Eel" dataDxfId="481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3031A54-B18A-4583-916B-A26BCDAAF859}" name="Tabella83765" displayName="Tabella83765" ref="A14:E33" totalsRowCount="1" headerRowDxfId="480" dataDxfId="479" totalsRowDxfId="478">
  <autoFilter ref="A14:E32" xr:uid="{D37DB2BB-42C8-44C8-829B-D34114293CBD}"/>
  <tableColumns count="5">
    <tableColumn id="1" xr3:uid="{AE8B4DDC-8C70-4502-8449-67DED1C93AFF}" name="Temperatura" totalsRowLabel="DELTA" dataDxfId="477" totalsRowDxfId="476"/>
    <tableColumn id="2" xr3:uid="{3ED22402-E214-4357-B8AB-F5FF5E332652}" name="Qvib1" totalsRowFunction="custom" dataDxfId="475" totalsRowDxfId="474">
      <calculatedColumnFormula array="1">EXP(-(Tabella3[Planck h]*Tabella93866[Frequenza1])/(Tabella3[Boltzmann k]*2*Tabella83765[[#This Row],[Temperatura]]))/(1-EXP(-(Tabella3[Planck h]*Tabella93866[Frequenza1])/(Tabella3[Boltzmann k]*Tabella83765[[#This Row],[Temperatura]])))</calculatedColumnFormula>
      <totalsRowFormula>B32-B15</totalsRowFormula>
    </tableColumn>
    <tableColumn id="3" xr3:uid="{B700C8BE-E410-4B78-A8D5-4FDFBBD43DE6}" name="Qvib2" totalsRowFunction="custom" dataDxfId="473" totalsRowDxfId="472">
      <calculatedColumnFormula array="1">EXP(-(Tabella3[Planck h]*Tabella93866[Frequenza2])/(Tabella3[Boltzmann k]*2*Tabella83765[[#This Row],[Temperatura]]))/(1-EXP(-(Tabella3[Planck h]*Tabella93866[Frequenza2])/(Tabella3[Boltzmann k]*Tabella83765[[#This Row],[Temperatura]])))</calculatedColumnFormula>
      <totalsRowFormula>C32-C15</totalsRowFormula>
    </tableColumn>
    <tableColumn id="4" xr3:uid="{D54A6838-5987-486A-B7C1-F984089930D6}" name="Qvib3" totalsRowFunction="custom" dataDxfId="471" totalsRowDxfId="470">
      <calculatedColumnFormula array="1">EXP(-(Tabella3[Planck h]*Tabella93866[Frequenza3])/(Tabella3[Boltzmann k]*2*Tabella83765[[#This Row],[Temperatura]]))/(1-EXP(-(Tabella3[Planck h]*Tabella93866[Frequenza3])/(Tabella3[Boltzmann k]*Tabella83765[[#This Row],[Temperatura]])))</calculatedColumnFormula>
      <totalsRowFormula>D32-D15</totalsRowFormula>
    </tableColumn>
    <tableColumn id="13" xr3:uid="{BD1DF219-3E9A-4A89-AC7C-599E134F2DFD}" name="Qtot" totalsRowFunction="custom" dataDxfId="469" totalsRowDxfId="468">
      <calculatedColumnFormula>PRODUCT(Tabella83765[[#This Row],[Qvib1]:[Qvib3]])</calculatedColumnFormula>
      <totalsRowFormula>E32-E15</totalsRow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40598A-2ED2-4BA1-931C-0D60B84E1464}" name="Tabella93866" displayName="Tabella93866" ref="B12:D13" totalsRowShown="0" headerRowDxfId="467" dataDxfId="466">
  <autoFilter ref="B12:D13" xr:uid="{752CC45A-820D-429C-86F3-53F2A5B55BB0}"/>
  <tableColumns count="3">
    <tableColumn id="1" xr3:uid="{F194F06F-F4B1-448B-8ACD-93B1339B83C2}" name="Frequenza1" dataDxfId="465">
      <calculatedColumnFormula array="1">Tabella9314775[Frequenza1]*29979300000</calculatedColumnFormula>
    </tableColumn>
    <tableColumn id="2" xr3:uid="{878AEB9C-03A0-4E1F-B159-7595E9EEF9F5}" name="Frequenza2" dataDxfId="464">
      <calculatedColumnFormula array="1">Tabella9314775[Frequenza2]*29979300000</calculatedColumnFormula>
    </tableColumn>
    <tableColumn id="3" xr3:uid="{65EC2DA6-BDCB-490D-A677-8617D8888A59}" name="Frequenza3" dataDxfId="463">
      <calculatedColumnFormula array="1">Tabella9314775[Frequenza3]*29979300000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477F572-1A9C-425B-B3FA-BFBC19162F5C}" name="Tabella13967" displayName="Tabella13967" ref="H57:K76" totalsRowCount="1" headerRowDxfId="462" dataDxfId="461" totalsRowDxfId="459" tableBorderDxfId="460">
  <autoFilter ref="H57:K75" xr:uid="{6C35C47E-9B0C-4516-B80D-9D65F8ED9043}"/>
  <tableColumns count="4">
    <tableColumn id="1" xr3:uid="{690952B4-643E-4325-94CE-1D304CA6DD26}" name="Temperatura" totalsRowLabel="DELTA" dataDxfId="458" totalsRowDxfId="457"/>
    <tableColumn id="2" xr3:uid="{9E8EC67F-AF52-4B70-8B57-332EB1C464CD}" name="Translational Factor" totalsRowFunction="custom" dataDxfId="456" totalsRowDxfId="455">
      <calculatedColumnFormula array="1">POWER((2*PI()*Tabella33317[Massa '[kg']]*Tabella33317[Boltzmann k]*Tabella13967[[#This Row],[Temperatura]])/(POWER(Tabella33317[Planck h],2)),1.5)</calculatedColumnFormula>
      <totalsRowFormula>I75-I58</totalsRowFormula>
    </tableColumn>
    <tableColumn id="3" xr3:uid="{CB0D949A-6859-452C-98F6-2C61B0A7FE4C}" name="Volume" totalsRowFunction="custom" dataDxfId="454" totalsRowDxfId="453">
      <calculatedColumnFormula array="1">(Tabella13967[[#This Row],[Temperatura]]*Tabella33317[Boltzmann k])/101325</calculatedColumnFormula>
      <totalsRowFormula>J75-J58</totalsRowFormula>
    </tableColumn>
    <tableColumn id="4" xr3:uid="{D095CA0C-D2D3-4943-B082-C8BDE5069FED}" name="S Translational" totalsRowFunction="custom" dataDxfId="452" totalsRowDxfId="451">
      <calculatedColumnFormula array="1">Tabella33317[Rydberg R]*(2.5+LN(Tabella13967[[#This Row],[Volume]]*Tabella13967[[#This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B179BC-CCF6-4BCF-960F-B48B779262B7}" name="Tabella104068" displayName="Tabella104068" ref="A34:B52" totalsRowShown="0" headerRowDxfId="450" dataDxfId="449" tableBorderDxfId="448">
  <autoFilter ref="A34:B52" xr:uid="{8EE75784-2FE5-4D07-A21C-99C9C9FBF68B}"/>
  <tableColumns count="2">
    <tableColumn id="1" xr3:uid="{FC2C023F-F07B-4360-B88A-0E616CC8FEED}" name="Colonna1" dataDxfId="447"/>
    <tableColumn id="2" xr3:uid="{CD01E11A-3F4D-4A6F-9EEF-87B5A519ABD4}" name="Theta vib" dataDxfId="446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1A749E2-79C9-4DD0-888F-088E05BA784C}" name="Tabella114169" displayName="Tabella114169" ref="D36:H55" totalsRowCount="1" headerRowDxfId="445" dataDxfId="444" totalsRowDxfId="442" tableBorderDxfId="443">
  <autoFilter ref="D36:H54" xr:uid="{FB331EE4-0E00-483A-969A-3E85182E1038}"/>
  <tableColumns count="5">
    <tableColumn id="1" xr3:uid="{C7C43BEC-CA6A-47B5-9B90-D73F0A560B89}" name="Temperatura" totalsRowLabel="DELTA" dataDxfId="441" totalsRowDxfId="440"/>
    <tableColumn id="2" xr3:uid="{2CB5603C-49B3-4C69-BD14-4C240D127A3D}" name="S vib 1" totalsRowFunction="custom" dataDxfId="439" totalsRowDxfId="438">
      <calculatedColumnFormula array="1">(    (Tabella124270[Theta vib 1]/Tabella114169[[#This Row],[Temperatura]]) /(EXP(Tabella124270[Theta vib 1]/Tabella114169[[#This Row],[Temperatura]])-1) - LN(1-EXP(-Tabella124270[Theta vib 1]/Tabella114169[[#This Row],[Temperatura]]))    )</calculatedColumnFormula>
      <totalsRowFormula>E54-E37</totalsRowFormula>
    </tableColumn>
    <tableColumn id="3" xr3:uid="{1CE964FD-2C31-4955-A4AD-179792393BBE}" name="S vib 2" totalsRowFunction="custom" dataDxfId="437" totalsRowDxfId="436">
      <calculatedColumnFormula array="1">(    (Tabella124270[Theta vib2]/Tabella114169[[#This Row],[Temperatura]]) /(EXP(Tabella124270[Theta vib2]/Tabella114169[[#This Row],[Temperatura]])-1) - LN(1-EXP(-Tabella124270[Theta vib3]/Tabella114169[[#This Row],[Temperatura]]))    )</calculatedColumnFormula>
      <totalsRowFormula>F54-F37</totalsRowFormula>
    </tableColumn>
    <tableColumn id="4" xr3:uid="{1F470DD8-3597-42F9-97A4-B8D22038B7E5}" name="S vib 3" totalsRowFunction="custom" dataDxfId="435" totalsRowDxfId="434">
      <calculatedColumnFormula array="1">(    (Tabella124270[Theta vib3]/Tabella114169[[#This Row],[Temperatura]]) /(EXP(Tabella124270[Theta vib3]/Tabella114169[[#This Row],[Temperatura]])-1) - LN(1-EXP(-Tabella124270[Theta vib3]/Tabella114169[[#This Row],[Temperatura]]))    )</calculatedColumnFormula>
      <totalsRowFormula>G54-G37</totalsRowFormula>
    </tableColumn>
    <tableColumn id="20" xr3:uid="{D492BC89-B2D2-418C-AE5A-A7CAC0CA0F94}" name="S vib tot" totalsRowFunction="custom" dataDxfId="433" totalsRowDxfId="432">
      <calculatedColumnFormula array="1">SUM(Tabella114169[[#This Row],[S vib 1]:[S vib 3]])*Tabella33317[Rydberg R]</calculatedColumnFormula>
      <totalsRowFormula>H54-H37</totalsRow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4B9B83C-D672-498A-83D1-C4F0767BBFA8}" name="Tabella124270" displayName="Tabella124270" ref="E34:G35" totalsRowShown="0" headerRowDxfId="431" dataDxfId="430">
  <autoFilter ref="E34:G35" xr:uid="{A82CBD88-6239-4EFA-8EF2-2B939CA10E1C}"/>
  <tableColumns count="3">
    <tableColumn id="1" xr3:uid="{7D5B4C6E-E83D-445D-AB5C-AE65F2F2895A}" name="Theta vib 1" dataDxfId="429">
      <calculatedColumnFormula>B35</calculatedColumnFormula>
    </tableColumn>
    <tableColumn id="2" xr3:uid="{A15CA3E3-C4B4-4644-B5B5-B7D47BEDD0B8}" name="Theta vib2" dataDxfId="428">
      <calculatedColumnFormula>B36</calculatedColumnFormula>
    </tableColumn>
    <tableColumn id="3" xr3:uid="{AC25B8FD-4E6E-419B-A825-7C9B7C96E99C}" name="Theta vib3" dataDxfId="427">
      <calculatedColumnFormula>B37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58C2CBD-693F-44C8-8BE1-FB0F924CE41C}" name="Tabella134371" displayName="Tabella134371" ref="M57:N75" totalsRowShown="0" headerRowDxfId="426" dataDxfId="425" tableBorderDxfId="424">
  <autoFilter ref="M57:N75" xr:uid="{A17DD12F-9A79-4CF9-8CE2-7C42CC50F3FE}"/>
  <tableColumns count="2">
    <tableColumn id="1" xr3:uid="{F8D079BD-932B-46E6-B588-D62A944DC560}" name="Temperatura" dataDxfId="423"/>
    <tableColumn id="2" xr3:uid="{8659A6DC-8D62-44AC-B580-B00B652577F3}" name="S rotational" dataDxfId="422">
      <calculatedColumnFormula array="1">Tabella33317[Rydberg R]*(1.5+LN(SQRT(PI()*POWER(Tabella134371[[#This Row],[Temperatura]],3)/(Tabella63664[Simmetria]*Tabella63664[Simmetria]*PRODUCT($G$7:$I$7)))))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D440EE3-8007-45D5-8171-C74D9D22579E}" name="Tabella154573" displayName="Tabella154573" ref="A79:E98" totalsRowCount="1" headerRowDxfId="421" dataDxfId="420" totalsRowDxfId="418" tableBorderDxfId="419">
  <autoFilter ref="A79:E97" xr:uid="{9F3C7E0C-6472-472D-B323-A5A9CEF9C677}"/>
  <tableColumns count="5">
    <tableColumn id="1" xr3:uid="{10DACB3D-9303-4733-9A2B-F4ACA0C7DAE0}" name="Temperatura" totalsRowLabel="DELTA" dataDxfId="417" totalsRowDxfId="416"/>
    <tableColumn id="2" xr3:uid="{795E5EC0-7E34-45B2-B1DA-1A2C1EE42ECD}" name="CvRot" dataDxfId="415" totalsRowDxfId="414">
      <calculatedColumnFormula array="1">(3/2)*Tabella33317[Rydberg R]</calculatedColumnFormula>
    </tableColumn>
    <tableColumn id="3" xr3:uid="{994754B8-13A8-42ED-A65A-2F85068D7EB4}" name="Cv translational" dataDxfId="413" totalsRowDxfId="412">
      <calculatedColumnFormula array="1">(3/2)*Tabella33317[Rydberg R]</calculatedColumnFormula>
    </tableColumn>
    <tableColumn id="4" xr3:uid="{42699C83-224E-48D3-8745-4D1D0616D59E}" name="Cv Vib" totalsRowFunction="custom" dataDxfId="411" totalsRowDxfId="410">
      <calculatedColumnFormula array="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calculatedColumnFormula>
      <totalsRowFormula>D97-D80</totalsRowFormula>
    </tableColumn>
    <tableColumn id="5" xr3:uid="{8989823A-41E3-4089-8920-DDB7A2370719}" name="Cv Tot" totalsRowFunction="custom" dataDxfId="409" totalsRowDxfId="408">
      <calculatedColumnFormula>SUM(Tabella154573[[#This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EF0CE8-8106-40AD-A9C5-526A0E0C653D}" name="Tabella9314775" displayName="Tabella9314775" ref="B10:D11" totalsRowShown="0" headerRowDxfId="407" dataDxfId="406">
  <autoFilter ref="B10:D11" xr:uid="{28A90A48-8D3D-462E-9624-2641B5682046}"/>
  <tableColumns count="3">
    <tableColumn id="1" xr3:uid="{DA6F80A1-23BF-4569-81A6-1135DBE43823}" name="Frequenza1" dataDxfId="405"/>
    <tableColumn id="2" xr3:uid="{13B21F48-7A54-4C92-A652-909353A3CB14}" name="Frequenza2" dataDxfId="404"/>
    <tableColumn id="3" xr3:uid="{C607ED8C-96AC-42CC-A06D-CC3C07B8A51B}" name="Frequenza3" dataDxfId="403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075810E-5A33-460B-9B2D-838207BB36BA}" name="Tabella333" displayName="Tabella333" ref="A1:H2" totalsRowShown="0" headerRowDxfId="402" dataDxfId="401">
  <autoFilter ref="A1:H2" xr:uid="{02869E67-574E-4326-A3F8-F299078BC917}"/>
  <tableColumns count="8">
    <tableColumn id="1" xr3:uid="{112D2B30-DE92-44DF-82ED-DB055D3C6313}" name="Pi Greco" dataDxfId="400">
      <calculatedColumnFormula>PI()</calculatedColumnFormula>
    </tableColumn>
    <tableColumn id="2" xr3:uid="{DDED4DF6-3D84-4011-8DC2-53932F1D587F}" name="Massa [kg]" dataDxfId="399">
      <calculatedColumnFormula>1.66E-27*Tabella333[[#This Row],[Massa '[g/mol']]]</calculatedColumnFormula>
    </tableColumn>
    <tableColumn id="3" xr3:uid="{EEBE83B3-81B5-4A9A-B287-CFDEC34C25DD}" name="Boltzmann k" dataDxfId="398"/>
    <tableColumn id="4" xr3:uid="{009758E7-FAAA-4946-8F56-27549ABCB585}" name="Planck h" dataDxfId="397"/>
    <tableColumn id="5" xr3:uid="{04329D5A-F3E2-4F45-9757-1FD461EA92D3}" name="Rydberg R" dataDxfId="396"/>
    <tableColumn id="6" xr3:uid="{C215D8AA-2781-4A13-B311-C82761A4C82A}" name="Avogadro N" dataDxfId="395"/>
    <tableColumn id="7" xr3:uid="{7DC557D1-7959-451D-84F0-54A024DBA30B}" name="Massa [g/mol]" dataDxfId="394"/>
    <tableColumn id="8" xr3:uid="{DACB6726-ACA9-4102-BE9E-0DF3E54343B2}" name="N" dataDxfId="393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9EA97F9-5743-4FC7-8578-F471136504EB}" name="Tabella535" displayName="Tabella535" ref="A57:F76" totalsRowCount="1" headerRowDxfId="392" dataDxfId="391" totalsRowDxfId="390">
  <autoFilter ref="A57:F75" xr:uid="{81335CEC-6353-4671-833B-07B0D1500060}"/>
  <tableColumns count="6">
    <tableColumn id="1" xr3:uid="{AA2EB186-78DC-4DB9-A153-8661C9DB8CC1}" name="Temperatura" totalsRowLabel="DELTA" dataDxfId="389" totalsRowDxfId="388"/>
    <tableColumn id="12" xr3:uid="{8922799A-78BB-4CCD-95E3-87CCE0332147}" name="Volume" dataDxfId="387" totalsRowDxfId="386">
      <calculatedColumnFormula array="1">(Tabella333[Boltzmann k]*Tabella535[[#This Row],[Temperatura]])/101325</calculatedColumnFormula>
    </tableColumn>
    <tableColumn id="2" xr3:uid="{763CD65D-1545-4DBF-905B-A7CD9B379986}" name="Qtrasl" totalsRowFunction="custom" dataDxfId="385" totalsRowDxfId="384">
      <calculatedColumnFormula array="1">POWER((2*Tabella333[Pi Greco]*Tabella333[Massa '[kg']]*Tabella333[Boltzmann k]*Tabella535[[#This Row],[Temperatura]])/(POWER(Tabella333[Planck h],2)),1.5)*Tabella535[[#This Row],[Volume]]</calculatedColumnFormula>
      <totalsRowFormula>C75-C58</totalsRowFormula>
    </tableColumn>
    <tableColumn id="3" xr3:uid="{9A34B620-5377-474F-A943-BA92D7B5B5AB}" name="Qvib" totalsRowFunction="custom" dataDxfId="383" totalsRowDxfId="382">
      <calculatedColumnFormula>K15</calculatedColumnFormula>
      <totalsRowFormula>D75-D58</totalsRowFormula>
    </tableColumn>
    <tableColumn id="4" xr3:uid="{A8799311-5D82-4580-A700-2FF615943692}" name="Qrot" totalsRowFunction="custom" dataDxfId="381" totalsRowDxfId="380">
      <calculatedColumnFormula array="1">((SQRT(PI())/Tabella636[Simmetria]))*(SQRT(POWER(Tabella535[[#This Row],[Temperatura]],3)/PRODUCT($F$7,$G$7,$H$7)))</calculatedColumnFormula>
      <totalsRowFormula>E75-E58</totalsRowFormula>
    </tableColumn>
    <tableColumn id="5" xr3:uid="{85260244-8ECE-4B86-AE2B-32C033B142EB}" name="Qel" dataDxfId="379" totalsRowDxfId="378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949BF1-B75D-47BB-89E8-39E1150E63A7}" name="Tabella636" displayName="Tabella636" ref="A8:C9" totalsRowShown="0" headerRowDxfId="377" dataDxfId="376">
  <autoFilter ref="A8:C9" xr:uid="{EBAD8B2B-7816-44DE-867A-C80A23B2F7AF}"/>
  <tableColumns count="3">
    <tableColumn id="1" xr3:uid="{F77B5908-9575-447D-9442-88A6C6437969}" name="Simmetria" dataDxfId="375"/>
    <tableColumn id="2" xr3:uid="{2C88E48F-A8B5-4BD6-9E65-5112AA42F68D}" name="Gel" dataDxfId="374"/>
    <tableColumn id="3" xr3:uid="{3E9832DB-5DD9-4A27-A7FE-3D6829F103C1}" name="Eel" dataDxfId="373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8D03F7-327D-44E2-8976-8E9A359DC2A5}" name="Tabella837" displayName="Tabella837" ref="A14:K32" totalsRowShown="0" headerRowDxfId="372" dataDxfId="371">
  <autoFilter ref="A14:K32" xr:uid="{D37DB2BB-42C8-44C8-829B-D34114293CBD}"/>
  <tableColumns count="11">
    <tableColumn id="1" xr3:uid="{8C6E6E61-D570-4BED-8CF9-2DE7AB958170}" name="Temperatura" dataDxfId="370"/>
    <tableColumn id="2" xr3:uid="{E716BED2-C046-4B57-99F3-24802900CF08}" name="Qvib1" dataDxfId="369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0F9CE214-41F2-4F4A-8FE3-E408AECC5603}" name="Qvib2" dataDxfId="368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144748CD-03CE-4FE4-AC18-730D46570E0C}" name="Qvib3" dataDxfId="367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0E310F7C-6D7B-4CF9-A7AF-DFF946331417}" name="Qvib4" dataDxfId="366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23D24491-C2D8-4887-B046-5E48169BDB23}" name="Qvib5" dataDxfId="365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27071DDC-B71C-42FB-8855-66E1E85A94AB}" name="Qvib6" dataDxfId="364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AEAD7703-D11C-43DB-AC5D-0A3B771CFB4F}" name="Qvib7" dataDxfId="363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19E124C0-3BBF-401F-965C-EEFCDCE54030}" name="Qvib8" dataDxfId="362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B6ED2EEC-BF9F-483B-AEAB-B781CA08DF81}" name="Qvib9" dataDxfId="361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AE175A6-554A-4157-ADA9-59A1C8C8C61C}" name="Qtot" dataDxfId="360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8379BA9-C122-4302-914F-EF6F3D97BCCD}" name="Tabella938" displayName="Tabella938" ref="B12:J13" totalsRowShown="0" headerRowDxfId="359" dataDxfId="358">
  <autoFilter ref="B12:J13" xr:uid="{752CC45A-820D-429C-86F3-53F2A5B55BB0}"/>
  <tableColumns count="9">
    <tableColumn id="1" xr3:uid="{6DFA3634-D2B3-46D1-AFC8-9785A8E2903B}" name="Frequenza1" dataDxfId="357">
      <calculatedColumnFormula array="1">Tabella93147[Frequenza1]*29979300000</calculatedColumnFormula>
    </tableColumn>
    <tableColumn id="2" xr3:uid="{E2708D78-313C-4306-8D34-0DD403659091}" name="Frequenza2" dataDxfId="356">
      <calculatedColumnFormula array="1">Tabella93147[Frequenza2]*29979300000</calculatedColumnFormula>
    </tableColumn>
    <tableColumn id="3" xr3:uid="{1166B080-914C-42C3-8849-7DD71FB89B79}" name="Frequenza3" dataDxfId="355">
      <calculatedColumnFormula array="1">Tabella93147[Frequenza3]*29979300000</calculatedColumnFormula>
    </tableColumn>
    <tableColumn id="4" xr3:uid="{F93995BA-6443-49A3-BE98-477F6B806A8C}" name="Frequenza4" dataDxfId="354">
      <calculatedColumnFormula array="1">Tabella93147[Frequenza4]*29979300000</calculatedColumnFormula>
    </tableColumn>
    <tableColumn id="5" xr3:uid="{6687BE98-0E12-4E2E-A890-2114919975F4}" name="Frequenza5" dataDxfId="353">
      <calculatedColumnFormula array="1">Tabella93147[Frequenza5]*29979300000</calculatedColumnFormula>
    </tableColumn>
    <tableColumn id="6" xr3:uid="{BD2EA1E8-5A7F-417C-B840-0C76FB238289}" name="Frequenza6" dataDxfId="352">
      <calculatedColumnFormula array="1">Tabella93147[Frequenza6]*29979300000</calculatedColumnFormula>
    </tableColumn>
    <tableColumn id="7" xr3:uid="{DAEE051D-8F00-4A0A-AA49-0E587B0CFEC9}" name="Frequenza7" dataDxfId="351">
      <calculatedColumnFormula array="1">Tabella93147[Frequenza7]*29979300000</calculatedColumnFormula>
    </tableColumn>
    <tableColumn id="8" xr3:uid="{75B280E0-2661-447B-83C7-197027F79FFB}" name="Frequenza8" dataDxfId="350">
      <calculatedColumnFormula array="1">Tabella93147[Frequenza8]*29979300000</calculatedColumnFormula>
    </tableColumn>
    <tableColumn id="9" xr3:uid="{79C9AFC6-6CB3-47D8-A7B8-44AE020E3871}" name="Frequenza9" dataDxfId="349">
      <calculatedColumnFormula array="1">Tabella93147[Frequenza9]*29979300000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0D753E-4C67-47CF-B86C-090BA2809E76}" name="Tabella139" displayName="Tabella139" ref="H57:K76" totalsRowCount="1" headerRowDxfId="348" dataDxfId="347" totalsRowDxfId="345" tableBorderDxfId="346">
  <autoFilter ref="H57:K75" xr:uid="{6C35C47E-9B0C-4516-B80D-9D65F8ED9043}"/>
  <tableColumns count="4">
    <tableColumn id="1" xr3:uid="{D8F90C2B-B7C9-4A02-875F-0404005300E9}" name="Temperatura" totalsRowLabel="DELTA" dataDxfId="344" totalsRowDxfId="343"/>
    <tableColumn id="2" xr3:uid="{3CDBECF0-8699-44CC-AFFB-8DBB7835D9CD}" name="Translational Factor" totalsRowFunction="custom" dataDxfId="342" totalsRowDxfId="341">
      <calculatedColumnFormula array="1">POWER((2*PI()*Tabella333[Massa '[kg']]*Tabella333[Boltzmann k]*Tabella139[[#This Row],[Temperatura]])/(POWER(Tabella333[Planck h],2)),1.5)</calculatedColumnFormula>
      <totalsRowFormula>I75-I58</totalsRowFormula>
    </tableColumn>
    <tableColumn id="3" xr3:uid="{406E90EF-5025-4510-B1B4-47FE7AF5E128}" name="Volume" totalsRowFunction="custom" dataDxfId="340" totalsRowDxfId="339">
      <calculatedColumnFormula array="1">(Tabella139[[#This Row],[Temperatura]]*Tabella333[Boltzmann k])/101325</calculatedColumnFormula>
      <totalsRowFormula>J75-J58</totalsRowFormula>
    </tableColumn>
    <tableColumn id="4" xr3:uid="{C53ED27F-0854-4E0C-93F9-6F72E605005D}" name="S Translational" totalsRowFunction="custom" dataDxfId="338" totalsRowDxfId="337">
      <calculatedColumnFormula array="1">Tabella333[Rydberg R]*(2.5+LN(Tabella139[[#This Row],[Volume]]*Tabella139[[#This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733294-0980-4D02-8C65-6B7E5F23F7B1}" name="Tabella1040" displayName="Tabella1040" ref="A34:B52" totalsRowShown="0" headerRowDxfId="336" dataDxfId="335" tableBorderDxfId="334">
  <autoFilter ref="A34:B52" xr:uid="{8EE75784-2FE5-4D07-A21C-99C9C9FBF68B}"/>
  <tableColumns count="2">
    <tableColumn id="1" xr3:uid="{FFE310E9-38CF-44ED-871C-BE42504A6C6F}" name="Colonna1" dataDxfId="333"/>
    <tableColumn id="2" xr3:uid="{F2CE3259-A923-400D-9083-F666C9C49571}" name="Theta vib" dataDxfId="33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9364F1-62C4-4076-931D-D3380CDD30A8}" name="Tabella1141" displayName="Tabella1141" ref="D36:N54" totalsRowShown="0" headerRowDxfId="331" dataDxfId="330" tableBorderDxfId="329">
  <autoFilter ref="D36:N54" xr:uid="{FB331EE4-0E00-483A-969A-3E85182E1038}"/>
  <tableColumns count="11">
    <tableColumn id="1" xr3:uid="{37CFD7B1-7FC4-4167-9536-EFE33DD1520A}" name="Temperatura" dataDxfId="328"/>
    <tableColumn id="2" xr3:uid="{3CDB1603-54A6-4F02-9CC4-EEFF25547109}" name="S vib 1" dataDxfId="327">
      <calculatedColumnFormula array="1">(    (Tabella1242[Theta vib 1]/Tabella1141[[#This Row],[Temperatura]]) /(EXP(Tabella1242[Theta vib 1]/Tabella1141[[#This Row],[Temperatura]])-1) - LN(1-EXP(-Tabella1242[Theta vib 1]/Tabella1141[[#This Row],[Temperatura]]))    )</calculatedColumnFormula>
    </tableColumn>
    <tableColumn id="3" xr3:uid="{4E263123-3522-428A-A472-9C2D4914F254}" name="S vib 2" dataDxfId="326">
      <calculatedColumnFormula array="1">(    (Tabella1242[Theta vib2]/Tabella1141[[#This Row],[Temperatura]]) /(EXP(Tabella1242[Theta vib2]/Tabella1141[[#This Row],[Temperatura]])-1) - LN(1-EXP(-Tabella1242[Theta vib2]/Tabella1141[[#This Row],[Temperatura]]))    )</calculatedColumnFormula>
    </tableColumn>
    <tableColumn id="4" xr3:uid="{8D11F482-A952-4710-9433-1E16391CAF81}" name="S vib 3" dataDxfId="325">
      <calculatedColumnFormula array="1">(    (Tabella1242[Theta vib3]/Tabella1141[[#This Row],[Temperatura]]) /(EXP(Tabella1242[Theta vib3]/Tabella1141[[#This Row],[Temperatura]])-1) - LN(1-EXP(-Tabella1242[Theta vib3]/Tabella1141[[#This Row],[Temperatura]]))    )</calculatedColumnFormula>
    </tableColumn>
    <tableColumn id="5" xr3:uid="{68A57D68-F8C5-4023-9782-FD4EB5A2BA42}" name="S vib 4" dataDxfId="324">
      <calculatedColumnFormula array="1" xml:space="preserve">   (Tabella1242[Theta vib4]/Tabella1141[[#This Row],[Temperatura]]) /(EXP(Tabella1242[Theta vib4]/Tabella1141[[#This Row],[Temperatura]])-1) - LN(1-EXP(-Tabella1242[Theta vib4]/Tabella1141[[#This Row],[Temperatura]]))</calculatedColumnFormula>
    </tableColumn>
    <tableColumn id="6" xr3:uid="{58DCDCB2-E349-44A2-AC65-00449B5CF9B7}" name="S vib 5" dataDxfId="323">
      <calculatedColumnFormula array="1">(    (Tabella1242[Theta vib5]/Tabella1141[[#This Row],[Temperatura]]) /(EXP(Tabella1242[Theta vib5]/Tabella1141[[#This Row],[Temperatura]])-1) - LN(1-EXP(-Tabella1242[Theta vib5]/Tabella1141[[#This Row],[Temperatura]]))    )</calculatedColumnFormula>
    </tableColumn>
    <tableColumn id="7" xr3:uid="{0D50E421-DB65-46A7-A16B-4FD1D6CA21FE}" name="S vib 6" dataDxfId="322">
      <calculatedColumnFormula array="1">(    (Tabella1242[Theta vib6]/Tabella1141[[#This Row],[Temperatura]]) /(EXP(Tabella1242[Theta vib6]/Tabella1141[[#This Row],[Temperatura]])-1) - LN(1-EXP(-Tabella1242[Theta vib6]/Tabella1141[[#This Row],[Temperatura]]))    )</calculatedColumnFormula>
    </tableColumn>
    <tableColumn id="8" xr3:uid="{765550DA-67DD-4239-92EC-4908045CB6F7}" name="S vib 7" dataDxfId="321">
      <calculatedColumnFormula array="1">(    (Tabella1242[Theta vib7]/Tabella1141[[#This Row],[Temperatura]]) /(EXP(Tabella1242[Theta vib7]/Tabella1141[[#This Row],[Temperatura]])-1) - LN(1-EXP(-Tabella1242[Theta vib7]/Tabella1141[[#This Row],[Temperatura]]))    )</calculatedColumnFormula>
    </tableColumn>
    <tableColumn id="9" xr3:uid="{FD10BBD3-E227-49D3-A163-F34C0B9287CC}" name="S vib 8" dataDxfId="320">
      <calculatedColumnFormula array="1">(    (Tabella1242[Theta vib8]/Tabella1141[[#This Row],[Temperatura]]) /(EXP(Tabella1242[Theta vib8]/Tabella1141[[#This Row],[Temperatura]])-1) - LN(1-EXP(-Tabella1242[Theta vib8]/Tabella1141[[#This Row],[Temperatura]]))    )</calculatedColumnFormula>
    </tableColumn>
    <tableColumn id="10" xr3:uid="{1C779738-B341-4141-94DF-C4E04528144C}" name="S vib 9" dataDxfId="319">
      <calculatedColumnFormula array="1">(    (Tabella1242[Theta vib9]/Tabella1141[[#This Row],[Temperatura]]) /(EXP(Tabella1242[Theta vib9]/Tabella1141[[#This Row],[Temperatura]])-1) - LN(1-EXP(-Tabella1242[Theta vib9]/Tabella1141[[#This Row],[Temperatura]]))    )</calculatedColumnFormula>
    </tableColumn>
    <tableColumn id="20" xr3:uid="{57171B31-1451-4D44-B273-F9A6CA76F1A6}" name="S vib tot" dataDxfId="318">
      <calculatedColumnFormula array="1">Tabella3[Rydberg R]*SUM(Tabella1141[[#This Row],[S vib 1]:[S vib 9]])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C1550-A269-42AD-BE68-F1A09371E32B}" name="Tabella1242" displayName="Tabella1242" ref="E34:M35" totalsRowShown="0" headerRowDxfId="317" dataDxfId="316">
  <autoFilter ref="E34:M35" xr:uid="{A82CBD88-6239-4EFA-8EF2-2B939CA10E1C}"/>
  <tableColumns count="9">
    <tableColumn id="1" xr3:uid="{B1E75E9A-5C62-4109-A087-E12B04C3BE2B}" name="Theta vib 1" dataDxfId="315">
      <calculatedColumnFormula>B35</calculatedColumnFormula>
    </tableColumn>
    <tableColumn id="2" xr3:uid="{EA92158D-559C-4E63-A8A1-D71B4FD3B6F8}" name="Theta vib2" dataDxfId="314">
      <calculatedColumnFormula>B36</calculatedColumnFormula>
    </tableColumn>
    <tableColumn id="3" xr3:uid="{09183DEB-EBDE-4FB7-8062-672E64108E6F}" name="Theta vib3" dataDxfId="313">
      <calculatedColumnFormula>B37</calculatedColumnFormula>
    </tableColumn>
    <tableColumn id="4" xr3:uid="{DEC35B2D-7A68-42A7-B1E2-F2AB887D5530}" name="Theta vib4" dataDxfId="312">
      <calculatedColumnFormula>B38</calculatedColumnFormula>
    </tableColumn>
    <tableColumn id="5" xr3:uid="{2E5C4EB4-1E44-406F-AA05-159F89960D5E}" name="Theta vib5" dataDxfId="311">
      <calculatedColumnFormula>B39</calculatedColumnFormula>
    </tableColumn>
    <tableColumn id="6" xr3:uid="{0D987917-1CE8-4C3C-AD3D-8B2B7094B4F3}" name="Theta vib6" dataDxfId="310">
      <calculatedColumnFormula>B40</calculatedColumnFormula>
    </tableColumn>
    <tableColumn id="7" xr3:uid="{5EAEBE0B-0A6F-4CB5-AA14-4F8B2DF3BDE0}" name="Theta vib7" dataDxfId="309">
      <calculatedColumnFormula>B41</calculatedColumnFormula>
    </tableColumn>
    <tableColumn id="8" xr3:uid="{3BFCEA7F-DA48-43BE-B860-A44FBDA7F719}" name="Theta vib8" dataDxfId="308">
      <calculatedColumnFormula>B42</calculatedColumnFormula>
    </tableColumn>
    <tableColumn id="9" xr3:uid="{334BA493-EB8A-44EA-9B85-A201843DC31D}" name="Theta vib9" dataDxfId="307">
      <calculatedColumnFormula>B43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A3F32D-6A65-40B1-B53C-56902151452A}" name="Tabella1343" displayName="Tabella1343" ref="M57:N76" totalsRowCount="1" headerRowDxfId="306" dataDxfId="305" totalsRowDxfId="303" tableBorderDxfId="304">
  <autoFilter ref="M57:N75" xr:uid="{A17DD12F-9A79-4CF9-8CE2-7C42CC50F3FE}"/>
  <tableColumns count="2">
    <tableColumn id="1" xr3:uid="{9407BA99-DC1F-4283-BAC7-4F09BFDF1E07}" name="Temperatura" dataDxfId="302" totalsRowDxfId="301"/>
    <tableColumn id="2" xr3:uid="{CA8F8D5B-81F0-45B1-AD1C-1B4CD6782B74}" name="S rotational" totalsRowFunction="custom" dataDxfId="300" totalsRowDxfId="299">
      <calculatedColumnFormula array="1">Tabella333[Rydberg R]*(1.5+LN(SQRT(PI()*POWER(Tabella1343[[#This Row],[Temperatura]],3)/(Tabella636[Simmetria]*Tabella636[Simmetria]*PRODUCT($F$7:$H$7)))))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1DA7F1-CFB1-403E-98AE-EA534A9886BE}" name="Tabella1545" displayName="Tabella1545" ref="A79:E98" totalsRowCount="1" headerRowDxfId="298" dataDxfId="297" totalsRowDxfId="295" tableBorderDxfId="296">
  <autoFilter ref="A79:E97" xr:uid="{9F3C7E0C-6472-472D-B323-A5A9CEF9C677}"/>
  <tableColumns count="5">
    <tableColumn id="1" xr3:uid="{8AEFBEC6-09F9-4E51-8976-82A3E5ECE3AC}" name="Temperatura" totalsRowLabel="DELTA" dataDxfId="294" totalsRowDxfId="293"/>
    <tableColumn id="2" xr3:uid="{2A545D65-4A24-46CD-923C-53613FBC4F3D}" name="CvRot" dataDxfId="292" totalsRowDxfId="291">
      <calculatedColumnFormula array="1">(3/2)*Tabella333[Rydberg R]</calculatedColumnFormula>
    </tableColumn>
    <tableColumn id="3" xr3:uid="{07200479-9C85-4C58-A45E-55BDB4FF1E2C}" name="Cv translational" dataDxfId="290" totalsRowDxfId="289">
      <calculatedColumnFormula array="1">(3/2)*Tabella333[Rydberg R]</calculatedColumnFormula>
    </tableColumn>
    <tableColumn id="4" xr3:uid="{A6BB8675-3F26-4C1A-80FE-621C47006868}" name="Cv Vib" totalsRowFunction="custom" dataDxfId="288" totalsRowDxfId="287">
      <calculatedColumnFormula array="1">Tabella333[Rydberg R]*SUM( ( ($E$35:$M$35) * ($E$35:$M$35)* EXP($E$35:$M$35/Tabella1545[[#This Row],[Temperatura]]) ) / ( Tabella1545[[#This Row],[Temperatura]]*Tabella1545[[#This Row],[Temperatura]]* ( EXP(( $E$35:$M$35)/Tabella1545[[#This Row],[Temperatura]] )  -1)^2 ) )</calculatedColumnFormula>
      <totalsRowFormula>D97-D80</totalsRowFormula>
    </tableColumn>
    <tableColumn id="5" xr3:uid="{5660C084-8E13-46E9-B651-79BE22A57D4A}" name="Cv Tot" totalsRowFunction="custom" dataDxfId="286" totalsRowDxfId="285">
      <calculatedColumnFormula>SUM(Tabella1545[[#This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7C4AC9-2930-4327-A956-4A86715318C8}" name="Tabella93147" displayName="Tabella93147" ref="B10:J11" totalsRowShown="0" headerRowDxfId="284" dataDxfId="283">
  <autoFilter ref="B10:J11" xr:uid="{28A90A48-8D3D-462E-9624-2641B5682046}"/>
  <tableColumns count="9">
    <tableColumn id="1" xr3:uid="{E9F619E2-63B7-4DA4-A687-415B2B5C3896}" name="Frequenza1" dataDxfId="282"/>
    <tableColumn id="2" xr3:uid="{8668EAC0-96D0-497C-AC94-DFB99F7F887B}" name="Frequenza2" dataDxfId="281"/>
    <tableColumn id="3" xr3:uid="{3290DBAF-54E8-4C40-8890-866C8062F0E3}" name="Frequenza3" dataDxfId="280"/>
    <tableColumn id="4" xr3:uid="{0878C032-62EE-4DB8-853A-5FB5E175D4C7}" name="Frequenza4" dataDxfId="279"/>
    <tableColumn id="5" xr3:uid="{59D9A319-B0C2-42CD-8129-D900A02D95D6}" name="Frequenza5" dataDxfId="278"/>
    <tableColumn id="6" xr3:uid="{A002048F-F239-47A2-9D9F-96D51B397CAF}" name="Frequenza6" dataDxfId="277"/>
    <tableColumn id="7" xr3:uid="{DB0E97B5-7794-4E5D-BFA9-0DADD54BAD67}" name="Frequenza7" dataDxfId="276"/>
    <tableColumn id="8" xr3:uid="{5368A404-6E97-49B2-839A-E618B0263123}" name="Frequenza8" dataDxfId="275"/>
    <tableColumn id="9" xr3:uid="{689CCE13-B157-426F-96EB-B45820E76FA3}" name="Frequenza9" dataDxfId="274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1BA501-4D33-4AC1-9AE6-7F929658D7BD}" name="Tabella348" displayName="Tabella348" ref="A1:H2" totalsRowShown="0" headerRowDxfId="273" dataDxfId="272">
  <autoFilter ref="A1:H2" xr:uid="{4F1BA501-4D33-4AC1-9AE6-7F929658D7BD}"/>
  <tableColumns count="8">
    <tableColumn id="1" xr3:uid="{C1CA04BB-BB92-4982-8023-CCDBE120CD3B}" name="Pi Greco" dataDxfId="271">
      <calculatedColumnFormula>PI()</calculatedColumnFormula>
    </tableColumn>
    <tableColumn id="2" xr3:uid="{5E0F04A2-A0B3-4304-8500-3FE3C8CE299A}" name="Massa [kg]" dataDxfId="270">
      <calculatedColumnFormula>1.66E-27*Tabella348[[#This Row],[Massa '[g/mol']]]</calculatedColumnFormula>
    </tableColumn>
    <tableColumn id="3" xr3:uid="{AF09E5E6-A91A-4ACE-AD6E-1F7536E95B8E}" name="Boltzmann k" dataDxfId="269"/>
    <tableColumn id="4" xr3:uid="{A69EDB5B-6DE0-4B5E-B66E-02F2087B5790}" name="Planck h" dataDxfId="268"/>
    <tableColumn id="5" xr3:uid="{B3F92E0B-6EB3-4B99-9FBB-0AEB90F40056}" name="Rydberg R" dataDxfId="267"/>
    <tableColumn id="6" xr3:uid="{2F575764-9596-425F-AE06-27FBF90047CB}" name="Avogadro N" dataDxfId="266"/>
    <tableColumn id="7" xr3:uid="{4A6736C4-9D2D-4EA2-99AA-3571438D7B1B}" name="Massa [g/mol]" dataDxfId="265"/>
    <tableColumn id="8" xr3:uid="{8677DCC8-A8BA-4065-8C55-FCBFF4A3FE51}" name="N" dataDxfId="264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3517E8A-AE32-4202-8096-D4A277C488BB}" name="Tabella550" displayName="Tabella550" ref="A57:F76" totalsRowCount="1" headerRowDxfId="263" dataDxfId="262" totalsRowDxfId="261">
  <autoFilter ref="A57:F75" xr:uid="{63517E8A-AE32-4202-8096-D4A277C488BB}"/>
  <tableColumns count="6">
    <tableColumn id="1" xr3:uid="{9A287906-B9EE-4D45-9437-AEBAD291DBF5}" name="Temperatura" totalsRowLabel="DELTA" dataDxfId="260" totalsRowDxfId="259"/>
    <tableColumn id="12" xr3:uid="{15444D42-E51C-46C7-9AB4-40F447956022}" name="Volume" dataDxfId="258" totalsRowDxfId="257">
      <calculatedColumnFormula array="1">(Tabella348[Boltzmann k]*Tabella550[[#This Row],[Temperatura]])/101325</calculatedColumnFormula>
    </tableColumn>
    <tableColumn id="2" xr3:uid="{6BCD816D-B8B2-4FB4-8F94-33397336AA5E}" name="Qtrasl" totalsRowFunction="custom" dataDxfId="256" totalsRowDxfId="255">
      <calculatedColumnFormula array="1">POWER((2*Tabella348[Pi Greco]*Tabella348[Massa '[kg']]*Tabella348[Boltzmann k]*Tabella550[[#This Row],[Temperatura]])/(POWER(Tabella348[Planck h],2)),1.5)*Tabella550[[#This Row],[Volume]]</calculatedColumnFormula>
      <totalsRowFormula>C75-C58</totalsRowFormula>
    </tableColumn>
    <tableColumn id="3" xr3:uid="{F4EE87BE-1553-40DE-A41C-B04846CCAB85}" name="Qvib" totalsRowFunction="custom" dataDxfId="254" totalsRowDxfId="253">
      <calculatedColumnFormula>E15</calculatedColumnFormula>
      <totalsRowFormula>D75-D58</totalsRowFormula>
    </tableColumn>
    <tableColumn id="4" xr3:uid="{DE9B757C-7B97-4412-ACEA-B41B7F033470}" name="Qrot" totalsRowFunction="custom" dataDxfId="252" totalsRowDxfId="251">
      <calculatedColumnFormula array="1">(SQRT(PI())/Tabella651[Simmetria])*(SQRT(POWER(Tabella550[[#This Row],[Temperatura]],3)/PRODUCT($G$7,$H$7,$I$7)))</calculatedColumnFormula>
      <totalsRowFormula>E75-E58</totalsRowFormula>
    </tableColumn>
    <tableColumn id="5" xr3:uid="{523EF3EF-59F9-49E2-8964-FBB72D80766C}" name="Qel" dataDxfId="250" totalsRowDxfId="249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086CCE-344A-4ED7-8628-9E157A444C42}" name="Tabella651" displayName="Tabella651" ref="A8:C9" totalsRowShown="0" headerRowDxfId="248" dataDxfId="247">
  <autoFilter ref="A8:C9" xr:uid="{B8086CCE-344A-4ED7-8628-9E157A444C42}"/>
  <tableColumns count="3">
    <tableColumn id="1" xr3:uid="{C294577F-7326-42F2-9996-1EF68EC41838}" name="Simmetria" dataDxfId="246"/>
    <tableColumn id="2" xr3:uid="{D80E62B2-7A2B-415F-9220-98745F14E1DA}" name="Gel" dataDxfId="245"/>
    <tableColumn id="3" xr3:uid="{8B60CC19-DF63-4943-B5FD-9B21EFDA1C67}" name="Eel" dataDxfId="244"/>
  </tableColumns>
  <tableStyleInfo name="TableStyleLight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4DD56E2-424E-4680-833B-57F50F5F9513}" name="Tabella852" displayName="Tabella852" ref="A14:D33" totalsRowShown="0" headerRowDxfId="243" dataDxfId="242">
  <autoFilter ref="A14:D33" xr:uid="{B4DD56E2-424E-4680-833B-57F50F5F9513}"/>
  <tableColumns count="4">
    <tableColumn id="1" xr3:uid="{FEA109DE-FE94-4699-8C29-90B310E14F49}" name="Temperatura" dataDxfId="241"/>
    <tableColumn id="2" xr3:uid="{855795F4-773D-4D80-815A-BB427ABE98BF}" name="Qvib1" dataDxfId="240">
      <calculatedColumnFormula array="1">(EXP(-(Tabella333[Planck h]*Tabella953[Frequenza1])/(2*Tabella348[Boltzmann k]*Tabella852[[#This Row],[Temperatura]])))/(1-EXP(-(Tabella348[Planck h]*Tabella953[Frequenza1])/(Tabella348[Boltzmann k]*Tabella852[[#This Row],[Temperatura]])))</calculatedColumnFormula>
    </tableColumn>
    <tableColumn id="3" xr3:uid="{A8DFEB5B-4983-4472-97DA-B458ABFEB265}" name="Qvib2" dataDxfId="239">
      <calculatedColumnFormula array="1">(EXP(-(Tabella333[Planck h]*Tabella953[Frequenza2])/(2*Tabella348[Boltzmann k]*Tabella852[[#This Row],[Temperatura]])))/(1-EXP(-(Tabella348[Planck h]*Tabella953[Frequenza2])/(Tabella348[Boltzmann k]*Tabella852[[#This Row],[Temperatura]])))</calculatedColumnFormula>
    </tableColumn>
    <tableColumn id="4" xr3:uid="{C2BE2785-DA15-4ED3-ADBD-F39B5AC57F77}" name="Qvib3" dataDxfId="238">
      <calculatedColumnFormula array="1">(EXP(-(Tabella348[Planck h]*Tabella953[Frequenza3])/(2*Tabella348[Boltzmann k]*Tabella852[[#This Row],[Temperatura]])))/(1-EXP(-(Tabella348[Planck h]*Tabella953[Frequenza3])/(Tabella348[Boltzmann k]*Tabella852[[#This Row],[Temperatura]])))</calculatedColumnFormula>
    </tableColumn>
  </tableColumns>
  <tableStyleInfo name="TableStyleLight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1BC26CF-9825-47EA-BF42-99265F930C9F}" name="Tabella953" displayName="Tabella953" ref="B12:D13" totalsRowShown="0" headerRowDxfId="237" dataDxfId="236">
  <autoFilter ref="B12:D13" xr:uid="{D1BC26CF-9825-47EA-BF42-99265F930C9F}"/>
  <tableColumns count="3">
    <tableColumn id="1" xr3:uid="{9607C38C-C830-4478-A20E-59929E6878D0}" name="Frequenza1" dataDxfId="235">
      <calculatedColumnFormula array="1">Tabella93162[Frequenza1]*29979300000</calculatedColumnFormula>
    </tableColumn>
    <tableColumn id="2" xr3:uid="{EEF35F4B-381E-49FD-9D63-4737D485661B}" name="Frequenza2" dataDxfId="234">
      <calculatedColumnFormula array="1">Tabella93162[Frequenza2]*29979300000</calculatedColumnFormula>
    </tableColumn>
    <tableColumn id="3" xr3:uid="{B198ECE4-A744-477E-B994-2E36F214AFF8}" name="Frequenza3" dataDxfId="233">
      <calculatedColumnFormula array="1">Tabella93162[Frequenza3]*29979300000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136EC71-5332-4953-98E0-6A19D5D89795}" name="Tabella154" displayName="Tabella154" ref="H57:K76" totalsRowCount="1" headerRowDxfId="232" dataDxfId="231" totalsRowDxfId="229" tableBorderDxfId="230">
  <autoFilter ref="H57:K75" xr:uid="{D136EC71-5332-4953-98E0-6A19D5D89795}"/>
  <tableColumns count="4">
    <tableColumn id="1" xr3:uid="{87F36087-830A-4410-9A60-1AF7101EBDFA}" name="Temperatura" totalsRowLabel="DELTA" dataDxfId="228" totalsRowDxfId="227"/>
    <tableColumn id="2" xr3:uid="{2B4E0B9D-55E7-4428-A69B-79DEFB2A3BB4}" name="Translational Factor" totalsRowFunction="custom" dataDxfId="226" totalsRowDxfId="225">
      <calculatedColumnFormula array="1">POWER((2*PI()*Tabella348[Massa '[kg']]*Tabella348[Boltzmann k]*Tabella154[[#This Row],[Temperatura]])/(POWER(Tabella348[Planck h],2)),1.5)</calculatedColumnFormula>
      <totalsRowFormula>I75-I58</totalsRowFormula>
    </tableColumn>
    <tableColumn id="3" xr3:uid="{62552EEB-1FB2-4A9E-9005-DD5D48E578A3}" name="Volume" dataDxfId="224" totalsRowDxfId="223">
      <calculatedColumnFormula array="1">(Tabella154[[#This Row],[Temperatura]]*Tabella348[Boltzmann k])/101325</calculatedColumnFormula>
    </tableColumn>
    <tableColumn id="4" xr3:uid="{8BF33E4A-DBD8-4D83-925D-9A3094BFE3D9}" name="S Translational" totalsRowFunction="custom" dataDxfId="222" totalsRowDxfId="221">
      <calculatedColumnFormula array="1">Tabella348[Rydberg R]*(2.5+LN(Tabella154[[#This Row],[Volume]]*Tabella154[[#This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09A4095-14D1-4198-A16A-B2696D97B455}" name="Tabella1055" displayName="Tabella1055" ref="A34:B52" totalsRowShown="0" headerRowDxfId="220" dataDxfId="219" tableBorderDxfId="218">
  <autoFilter ref="A34:B52" xr:uid="{309A4095-14D1-4198-A16A-B2696D97B455}"/>
  <tableColumns count="2">
    <tableColumn id="1" xr3:uid="{135BB3DF-9F47-4F4A-ADAE-1AA4390AD83E}" name="Colonna1" dataDxfId="217"/>
    <tableColumn id="2" xr3:uid="{3A7B970E-CEC2-4FF5-82C0-D478E07254F6}" name="Theta vib" dataDxfId="216">
      <calculatedColumnFormula array="1">(Tabella3[Planck h]*Tabella1055[[#This Row],[Colonna1]])/Tabella3[Boltzmann k]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5A96B35-0471-4359-866D-3D78F652BD25}" name="Tabella1156" displayName="Tabella1156" ref="D36:H54" totalsRowShown="0" headerRowDxfId="215" dataDxfId="214" tableBorderDxfId="213">
  <autoFilter ref="D36:H54" xr:uid="{45A96B35-0471-4359-866D-3D78F652BD25}"/>
  <tableColumns count="5">
    <tableColumn id="1" xr3:uid="{C2278388-3306-4A67-B342-67F74078FBF0}" name="Temperatura" dataDxfId="212"/>
    <tableColumn id="2" xr3:uid="{170A9EA2-C8CC-4933-ABBA-0CB2AABFECEC}" name="S vib 1" dataDxfId="211">
      <calculatedColumnFormula array="1">(    (Tabella1257[Theta vib 1]/Tabella1156[[#This Row],[Temperatura]]) /(EXP(Tabella1257[Theta vib 1]/Tabella1156[[#This Row],[Temperatura]])-1) - LN(1-EXP(-Tabella1257[Theta vib 1]/Tabella1156[[#This Row],[Temperatura]]))    )</calculatedColumnFormula>
    </tableColumn>
    <tableColumn id="3" xr3:uid="{DD18C5BD-4045-4E0E-A44C-190EA9EE31E3}" name="S vib 2" dataDxfId="210">
      <calculatedColumnFormula array="1">(    (Tabella1257[Theta vib2]/Tabella1156[[#This Row],[Temperatura]]) /(EXP(Tabella1257[Theta vib2]/Tabella1156[[#This Row],[Temperatura]])-1) - LN(1-EXP(-Tabella1257[Theta vib2]/Tabella1156[[#This Row],[Temperatura]]))    )</calculatedColumnFormula>
    </tableColumn>
    <tableColumn id="4" xr3:uid="{ACB21BA1-0EA3-44F0-B309-3072B7DFE526}" name="S vib 3" dataDxfId="209">
      <calculatedColumnFormula array="1">(    (Tabella1257[Theta vib3]/Tabella1156[[#This Row],[Temperatura]]) /(EXP(Tabella1257[Theta vib3]/Tabella1156[[#This Row],[Temperatura]])-1) - LN(1-EXP(-Tabella1257[Theta vib3]/Tabella1156[[#This Row],[Temperatura]]))    )</calculatedColumnFormula>
    </tableColumn>
    <tableColumn id="20" xr3:uid="{9414042B-0459-446B-827A-505AD3DE6443}" name="S vib tot" dataDxfId="208">
      <calculatedColumnFormula array="1">Tabella3[Rydberg R]*SUM(Tabella1156[[#This Row],[S vib 1]:[S vib 3]])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E8C1C95-D361-48BE-8EED-3F7850BF88DC}" name="Tabella1257" displayName="Tabella1257" ref="E34:G35" totalsRowShown="0" headerRowDxfId="207" dataDxfId="206">
  <autoFilter ref="E34:G35" xr:uid="{EE8C1C95-D361-48BE-8EED-3F7850BF88DC}"/>
  <tableColumns count="3">
    <tableColumn id="1" xr3:uid="{E7EF5FDD-6BF7-451E-8B6D-CC85C574B88C}" name="Theta vib 1" dataDxfId="205">
      <calculatedColumnFormula>B35</calculatedColumnFormula>
    </tableColumn>
    <tableColumn id="2" xr3:uid="{CD0B70CA-854A-48E0-8931-84884CBE6D28}" name="Theta vib2" dataDxfId="204">
      <calculatedColumnFormula>B36</calculatedColumnFormula>
    </tableColumn>
    <tableColumn id="3" xr3:uid="{ED4521EB-FADB-440C-82FF-B56DCCF17696}" name="Theta vib3" dataDxfId="203">
      <calculatedColumnFormula>B37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B14B9BE-C3DB-4F08-9B5D-DFC618FB7FF9}" name="Tabella1358" displayName="Tabella1358" ref="M57:N76" totalsRowCount="1" headerRowDxfId="202" dataDxfId="201" totalsRowDxfId="199" tableBorderDxfId="200">
  <autoFilter ref="M57:N75" xr:uid="{AB14B9BE-C3DB-4F08-9B5D-DFC618FB7FF9}"/>
  <tableColumns count="2">
    <tableColumn id="1" xr3:uid="{46A2243E-9777-453F-A888-BBC4C8C9BEE5}" name="Temperatura" dataDxfId="198" totalsRowDxfId="197"/>
    <tableColumn id="2" xr3:uid="{E6F72E9B-D266-466C-A168-F329C2B707DC}" name="S rotational" totalsRowFunction="custom" dataDxfId="196" totalsRowDxfId="195">
      <calculatedColumnFormula array="1">Tabella348[Rydberg R]*(1.5+LN(SQRT(PI()*POWER(Tabella1358[[#This Row],[Temperatura]],3)/(Tabella651[Simmetria]*Tabella651[Simmetria]*PRODUCT($G$7:$I$7)))))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6AC02E-7E48-4A38-8FFD-9300D032B4D8}" name="Tabella1560" displayName="Tabella1560" ref="A79:E98" totalsRowCount="1" headerRowDxfId="194" dataDxfId="193" totalsRowDxfId="191" tableBorderDxfId="192">
  <autoFilter ref="A79:E97" xr:uid="{816AC02E-7E48-4A38-8FFD-9300D032B4D8}"/>
  <tableColumns count="5">
    <tableColumn id="1" xr3:uid="{D5D08DC5-1B74-4CE0-97AC-833EBC13F0A5}" name="Temperatura" totalsRowLabel="DELTA" dataDxfId="190" totalsRowDxfId="189"/>
    <tableColumn id="2" xr3:uid="{4C633187-746E-43D6-8303-CAAEA6065C4A}" name="CvRot" dataDxfId="188" totalsRowDxfId="187">
      <calculatedColumnFormula array="1">(3/2)*Tabella348[Rydberg R]</calculatedColumnFormula>
    </tableColumn>
    <tableColumn id="3" xr3:uid="{4D4439FB-D84B-43AD-A7F5-0D44BC5AFE6D}" name="Cv translational" dataDxfId="186" totalsRowDxfId="185">
      <calculatedColumnFormula array="1">(3/2)*Tabella348[Rydberg R]</calculatedColumnFormula>
    </tableColumn>
    <tableColumn id="4" xr3:uid="{07370CEC-6161-433F-866D-F644EF754A42}" name="Cv Vib" totalsRowFunction="custom" dataDxfId="184" totalsRowDxfId="183">
      <calculatedColumnFormula array="1">Tabella348[Rydberg R]*SUM( ( ($E$35:$G$35) * ($E$35:$G$35)* EXP($E$35:$G$35/Tabella1560[[#This Row],[Temperatura]]) ) / ( Tabella1560[[#This Row],[Temperatura]]*Tabella1560[[#This Row],[Temperatura]]* ( EXP(( $E$35:$G$35)/Tabella1560[[#This Row],[Temperatura]] )  -1)^2 ) )</calculatedColumnFormula>
      <totalsRowFormula>D97-D80</totalsRowFormula>
    </tableColumn>
    <tableColumn id="5" xr3:uid="{D2D52FED-5C7E-4009-99DD-2406242FAB45}" name="Cv Tot" totalsRowFunction="custom" dataDxfId="182" totalsRowDxfId="181">
      <calculatedColumnFormula>SUM(Tabella1560[[#This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3FD18E9-21FC-410B-A1D8-1CA7FC1A5271}" name="Tabella93162" displayName="Tabella93162" ref="B10:D11" totalsRowShown="0" headerRowDxfId="180" dataDxfId="179">
  <autoFilter ref="B10:D11" xr:uid="{33FD18E9-21FC-410B-A1D8-1CA7FC1A5271}"/>
  <tableColumns count="3">
    <tableColumn id="1" xr3:uid="{E5DB4C29-6D9F-4D01-B6DC-B7A061B4CB68}" name="Frequenza1" dataDxfId="178"/>
    <tableColumn id="2" xr3:uid="{E1E09FA3-E35A-41FD-8D35-17DA525373DF}" name="Frequenza2" dataDxfId="177"/>
    <tableColumn id="3" xr3:uid="{B872DC6D-573E-4227-BC0B-94B0E883FB6D}" name="Frequenza3" dataDxfId="176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906C4B-6258-4BF3-B6B7-F3E596C5ABBF}" name="Tabella85218" displayName="Tabella85218" ref="G14:J33" totalsRowShown="0" headerRowDxfId="175" dataDxfId="174">
  <autoFilter ref="G14:J33" xr:uid="{E3906C4B-6258-4BF3-B6B7-F3E596C5ABBF}"/>
  <tableColumns count="4">
    <tableColumn id="1" xr3:uid="{113FFE36-B9C8-4F1C-86C6-B1E72B64C148}" name="Temperatura" dataDxfId="173"/>
    <tableColumn id="2" xr3:uid="{479AC1FD-FDB5-4D2D-BACF-0A5DD095E4B2}" name="Qvib1" dataDxfId="172">
      <calculatedColumnFormula array="1">(EXP(-(Tabella333[Planck h]*Tabella953[Frequenza1])/(2*Tabella348[Boltzmann k]*Tabella85218[[#This Row],[Temperatura]])))/(1-EXP(-(Tabella348[Planck h]*Tabella953[Frequenza1])/(Tabella348[Boltzmann k]*Tabella85218[[#This Row],[Temperatura]])))</calculatedColumnFormula>
    </tableColumn>
    <tableColumn id="3" xr3:uid="{F3778EBA-B9DD-4C01-8ABF-B78F3B600127}" name="Qvib2" dataDxfId="171">
      <calculatedColumnFormula array="1">(EXP(-(Tabella333[Planck h]*Tabella953[Frequenza2])/(2*Tabella348[Boltzmann k]*Tabella85218[[#This Row],[Temperatura]])))/(1-EXP(-(Tabella348[Planck h]*Tabella953[Frequenza2])/(Tabella348[Boltzmann k]*Tabella85218[[#This Row],[Temperatura]])))</calculatedColumnFormula>
    </tableColumn>
    <tableColumn id="4" xr3:uid="{39EB0BE1-A95E-496E-A986-BECF4C4B8145}" name="Qvib3" dataDxfId="170">
      <calculatedColumnFormula array="1">(EXP(-(Tabella348[Planck h]*Tabella953[Frequenza3])/(2*Tabella348[Boltzmann k]*Tabella85218[[#This Row],[Temperatura]])))/(1-EXP(-(Tabella348[Planck h]*Tabella953[Frequenza3])/(Tabella348[Boltzmann k]*Tabella85218[[#This Row],[Temperatura]])))</calculatedColumnFormula>
    </tableColumn>
  </tableColumns>
  <tableStyleInfo name="TableStyleLight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69E67-574E-4326-A3F8-F299078BC917}" name="Tabella3" displayName="Tabella3" ref="A1:H2" totalsRowShown="0" headerRowDxfId="169" dataDxfId="168">
  <autoFilter ref="A1:H2" xr:uid="{02869E67-574E-4326-A3F8-F299078BC917}"/>
  <tableColumns count="8">
    <tableColumn id="1" xr3:uid="{3D89D978-443C-43E2-A9F8-9330C899104E}" name="Pi Greco" dataDxfId="167">
      <calculatedColumnFormula>PI()</calculatedColumnFormula>
    </tableColumn>
    <tableColumn id="2" xr3:uid="{40E61CFC-B7F3-4CEE-98A7-DA5C011FF8EC}" name="Massa [kg]" dataDxfId="166">
      <calculatedColumnFormula>1.66E-27*Tabella3[[#This Row],[Massa '[g/mol']]]</calculatedColumnFormula>
    </tableColumn>
    <tableColumn id="3" xr3:uid="{932A76ED-3AF3-4410-9EB4-9C5B327CE00E}" name="Boltzmann k" dataDxfId="165"/>
    <tableColumn id="4" xr3:uid="{DC3692DE-D5EE-4DF1-9305-83428B334ECC}" name="Planck h" dataDxfId="164"/>
    <tableColumn id="5" xr3:uid="{50F095B7-BC94-42BF-96C6-CF3ACDED7A2C}" name="Rydberg R" dataDxfId="163"/>
    <tableColumn id="6" xr3:uid="{231DB63D-3AFD-4F35-A77B-C22913B65756}" name="Avogadro N" dataDxfId="162"/>
    <tableColumn id="7" xr3:uid="{7A423662-0339-4279-8395-42592948C814}" name="Massa [g/mol]" dataDxfId="161"/>
    <tableColumn id="8" xr3:uid="{56DF0438-D37F-4900-A704-5B20796FF1C5}" name="N" dataDxfId="160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35CEC-6353-4671-833B-07B0D1500060}" name="Tabella5" displayName="Tabella5" ref="A57:F76" totalsRowCount="1" headerRowDxfId="159" dataDxfId="158" totalsRowDxfId="157">
  <autoFilter ref="A57:F75" xr:uid="{81335CEC-6353-4671-833B-07B0D1500060}"/>
  <tableColumns count="6">
    <tableColumn id="1" xr3:uid="{F06D3FB4-F524-4AFD-BD8D-2CA9CDDA6968}" name="Temperatura" totalsRowLabel="DELTA" dataDxfId="156" totalsRowDxfId="155"/>
    <tableColumn id="12" xr3:uid="{40A542E2-2FAA-4EDF-B9BC-90766680A03F}" name="Volume" dataDxfId="154" totalsRowDxfId="153">
      <calculatedColumnFormula array="1">(Tabella3[Boltzmann k]*Tabella5[[#This Row],[Temperatura]])/101325</calculatedColumnFormula>
    </tableColumn>
    <tableColumn id="2" xr3:uid="{4D166DA7-26AE-4FE8-87D4-20D572B1D196}" name="Qtrasl" totalsRowFunction="custom" dataDxfId="152" totalsRowDxfId="151">
      <calculatedColumnFormula array="1">POWER((2*Tabella3[Pi Greco]*Tabella3[Massa '[kg']]*Tabella3[Boltzmann k]*Tabella5[[#This Row],[Temperatura]])/(POWER(Tabella3[Planck h],2)),1.5)*Tabella5[[#This Row],[Volume]]</calculatedColumnFormula>
      <totalsRowFormula>C75-C58</totalsRowFormula>
    </tableColumn>
    <tableColumn id="3" xr3:uid="{8F7E792C-96E8-4360-A551-45FF1405FC28}" name="Qvib" totalsRowFunction="custom" dataDxfId="150" totalsRowDxfId="149">
      <calculatedColumnFormula>T15</calculatedColumnFormula>
      <totalsRowFormula>D75-D58</totalsRowFormula>
    </tableColumn>
    <tableColumn id="4" xr3:uid="{E38384C9-70C5-4A9E-B878-0E01E8CB8F13}" name="Qrot" totalsRowFunction="custom" dataDxfId="148" totalsRowDxfId="147">
      <calculatedColumnFormula array="1">(SQRT(PI())/Tabella6[Simmetria])*(SQRT(POWER(Tabella5[[#This Row],[Temperatura]],3)/PRODUCT($G$7,$H$7,$I$7)))</calculatedColumnFormula>
      <totalsRowFormula>E75-E58</totalsRowFormula>
    </tableColumn>
    <tableColumn id="5" xr3:uid="{36CE032E-9660-4815-A9B8-AFF4CDB9F975}" name="Qel" dataDxfId="146" totalsRowDxfId="145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D8B2B-7816-44DE-867A-C80A23B2F7AF}" name="Tabella6" displayName="Tabella6" ref="A8:B9" totalsRowShown="0" headerRowDxfId="144" dataDxfId="143">
  <autoFilter ref="A8:B9" xr:uid="{EBAD8B2B-7816-44DE-867A-C80A23B2F7AF}"/>
  <tableColumns count="2">
    <tableColumn id="1" xr3:uid="{9AC1327A-123E-462E-B5B5-F08F99AC60CB}" name="Simmetria" dataDxfId="142"/>
    <tableColumn id="2" xr3:uid="{CAAAED2B-2D1C-4287-8525-CB3FBAEC8299}" name="Gel" dataDxfId="141"/>
  </tableColumns>
  <tableStyleInfo name="TableStyleLight1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7DB2BB-42C8-44C8-829B-D34114293CBD}" name="Tabella8" displayName="Tabella8" ref="A14:S33" totalsRowShown="0" headerRowDxfId="140" dataDxfId="139">
  <autoFilter ref="A14:S33" xr:uid="{D37DB2BB-42C8-44C8-829B-D34114293CBD}"/>
  <tableColumns count="19">
    <tableColumn id="1" xr3:uid="{07B3230D-6701-40AE-BFB1-E13BBC536D70}" name="Temperatura" dataDxfId="138"/>
    <tableColumn id="2" xr3:uid="{03359489-0328-420A-AD0E-E6E733323C78}" name="Qvib1" dataDxfId="137">
      <calculatedColumnFormula array="1">(EXP(-(Tabella3[Planck h]*Tabella9[Frequenza1])/(2*Tabella3[Boltzmann k]*Tabella8[[#This Row],[Temperatura]])))/(1-EXP(-(Tabella3[Planck h]*Tabella9[Frequenza1])/(Tabella3[Boltzmann k]*Tabella8[[#This Row],[Temperatura]])))</calculatedColumnFormula>
    </tableColumn>
    <tableColumn id="3" xr3:uid="{F8006461-7A92-4A60-803D-0487CDF90DB0}" name="Qvib2" dataDxfId="136">
      <calculatedColumnFormula array="1">(EXP(-(Tabella3[Planck h]*Tabella9[Frequenza2])/(2*Tabella3[Boltzmann k]*Tabella8[[#This Row],[Temperatura]])))/(1-EXP(-(Tabella3[Planck h]*Tabella9[Frequenza2])/(Tabella3[Boltzmann k]*Tabella8[[#This Row],[Temperatura]])))</calculatedColumnFormula>
    </tableColumn>
    <tableColumn id="4" xr3:uid="{E5107E7B-36E1-476A-8E44-E979B747D2A6}" name="Qvib3" dataDxfId="135">
      <calculatedColumnFormula array="1">(EXP(-(Tabella3[Planck h]*Tabella9[Frequenza3])/(2*Tabella3[Boltzmann k]*Tabella8[[#This Row],[Temperatura]])))/(1-EXP(-(Tabella3[Planck h]*Tabella9[Frequenza3])/(Tabella3[Boltzmann k]*Tabella8[[#This Row],[Temperatura]])))</calculatedColumnFormula>
    </tableColumn>
    <tableColumn id="5" xr3:uid="{9700FFE0-2687-4D9B-B5F9-ADEE0BB5E155}" name="Qvib4" dataDxfId="134">
      <calculatedColumnFormula array="1">(EXP(-(Tabella3[Planck h]*Tabella9[Frequenza4])/(2*Tabella3[Boltzmann k]*Tabella8[[#This Row],[Temperatura]])))/(1-EXP(-(Tabella3[Planck h]*Tabella9[Frequenza4])/(Tabella3[Boltzmann k]*Tabella8[[#This Row],[Temperatura]])))</calculatedColumnFormula>
    </tableColumn>
    <tableColumn id="6" xr3:uid="{C8B5A33F-9763-41F3-8258-1778BC368430}" name="Qvib5" dataDxfId="133">
      <calculatedColumnFormula array="1">(EXP(-(Tabella3[Planck h]*Tabella9[Frequenza5])/(2*Tabella3[Boltzmann k]*Tabella8[[#This Row],[Temperatura]])))/(1-EXP(-(Tabella3[Planck h]*Tabella9[Frequenza5])/(Tabella3[Boltzmann k]*Tabella8[[#This Row],[Temperatura]])))</calculatedColumnFormula>
    </tableColumn>
    <tableColumn id="7" xr3:uid="{63267079-B458-41F7-8ECA-DB865127F018}" name="Qvib6" dataDxfId="132">
      <calculatedColumnFormula array="1">(EXP(-(Tabella3[Planck h]*Tabella9[Frequenza6])/(2*Tabella3[Boltzmann k]*Tabella8[[#This Row],[Temperatura]])))/(1-EXP(-(Tabella3[Planck h]*Tabella9[Frequenza6])/(Tabella3[Boltzmann k]*Tabella8[[#This Row],[Temperatura]])))</calculatedColumnFormula>
    </tableColumn>
    <tableColumn id="8" xr3:uid="{C7B4E531-B50F-4292-AC96-265A96231D9B}" name="Qvib7" dataDxfId="131">
      <calculatedColumnFormula array="1">(EXP(-(Tabella3[Planck h]*Tabella9[Frequenza7])/(2*Tabella3[Boltzmann k]*Tabella8[[#This Row],[Temperatura]])))/(1-EXP(-(Tabella3[Planck h]*Tabella9[Frequenza7])/(Tabella3[Boltzmann k]*Tabella8[[#This Row],[Temperatura]])))</calculatedColumnFormula>
    </tableColumn>
    <tableColumn id="9" xr3:uid="{7F86BA48-9602-465A-A140-70747FDFD3EB}" name="Qvib8" dataDxfId="130">
      <calculatedColumnFormula array="1">(EXP(-(Tabella3[Planck h]*Tabella9[Frequenza8])/(2*Tabella3[Boltzmann k]*Tabella8[[#This Row],[Temperatura]])))/(1-EXP(-(Tabella3[Planck h]*Tabella9[Frequenza8])/(Tabella3[Boltzmann k]*Tabella8[[#This Row],[Temperatura]])))</calculatedColumnFormula>
    </tableColumn>
    <tableColumn id="10" xr3:uid="{97B857BE-AA1D-4849-99E9-1D8230AD8B32}" name="Qvib9" dataDxfId="129">
      <calculatedColumnFormula array="1">(EXP(-(Tabella3[Planck h]*Tabella9[Frequenza9])/(2*Tabella3[Boltzmann k]*Tabella8[[#This Row],[Temperatura]])))/(1-EXP(-(Tabella3[Planck h]*Tabella9[Frequenza9])/(Tabella3[Boltzmann k]*Tabella8[[#This Row],[Temperatura]])))</calculatedColumnFormula>
    </tableColumn>
    <tableColumn id="13" xr3:uid="{88E81CA5-2432-4785-BC86-76583380A91C}" name="Qvib10" dataDxfId="128">
      <calculatedColumnFormula array="1">(EXP(-(Tabella3[Planck h]*Tabella9[Frequenza10])/(2*Tabella3[Boltzmann k]*Tabella8[[#This Row],[Temperatura]])))/(1-EXP(-(Tabella3[Planck h]*Tabella9[Frequenza10])/(Tabella3[Boltzmann k]*Tabella8[[#This Row],[Temperatura]])))</calculatedColumnFormula>
    </tableColumn>
    <tableColumn id="11" xr3:uid="{BC6449C1-BE4D-4F44-8247-061AAF353483}" name="Qvib11" dataDxfId="127">
      <calculatedColumnFormula array="1">(EXP(-(Tabella3[Planck h]*Tabella9[Frequenza11])/(2*Tabella3[Boltzmann k]*Tabella8[[#This Row],[Temperatura]])))/(1-EXP(-(Tabella3[Planck h]*Tabella9[Frequenza11])/(Tabella3[Boltzmann k]*Tabella8[[#This Row],[Temperatura]])))</calculatedColumnFormula>
    </tableColumn>
    <tableColumn id="12" xr3:uid="{6962BE77-C6FB-4B5F-8B01-83D87672206C}" name="Qvib12" dataDxfId="126">
      <calculatedColumnFormula array="1">(EXP(-(Tabella3[Planck h]*Tabella9[Frequenza12])/(2*Tabella3[Boltzmann k]*Tabella8[[#This Row],[Temperatura]])))/(1-EXP(-(Tabella3[Planck h]*Tabella9[Frequenza12])/(Tabella3[Boltzmann k]*Tabella8[[#This Row],[Temperatura]])))</calculatedColumnFormula>
    </tableColumn>
    <tableColumn id="14" xr3:uid="{C6FB7542-96C9-4A70-B8CF-C791242CECC9}" name="Qvib13" dataDxfId="125">
      <calculatedColumnFormula array="1">(EXP(-(Tabella3[Planck h]*Tabella9[Frequenza13])/(2*Tabella3[Boltzmann k]*Tabella8[[#This Row],[Temperatura]])))/(1-EXP(-(Tabella3[Planck h]*Tabella9[Frequenza13])/(Tabella3[Boltzmann k]*Tabella8[[#This Row],[Temperatura]])))</calculatedColumnFormula>
    </tableColumn>
    <tableColumn id="15" xr3:uid="{EF096246-7898-4493-9043-7DDB744F8564}" name="Qvib14" dataDxfId="124">
      <calculatedColumnFormula array="1">(EXP(-(Tabella3[Planck h]*Tabella9[Frequenza14])/(2*Tabella3[Boltzmann k]*Tabella8[[#This Row],[Temperatura]])))/(1-EXP(-(Tabella3[Planck h]*Tabella9[Frequenza14])/(Tabella3[Boltzmann k]*Tabella8[[#This Row],[Temperatura]])))</calculatedColumnFormula>
    </tableColumn>
    <tableColumn id="16" xr3:uid="{D8A55D24-96F7-4D9E-8A7E-EF2D6E3D6502}" name="Qvib15" dataDxfId="123">
      <calculatedColumnFormula array="1">(EXP(-(Tabella3[Planck h]*Tabella9[Frequenza15])/(2*Tabella3[Boltzmann k]*Tabella8[[#This Row],[Temperatura]])))/(1-EXP(-(Tabella3[Planck h]*Tabella9[Frequenza15])/(Tabella3[Boltzmann k]*Tabella8[[#This Row],[Temperatura]])))</calculatedColumnFormula>
    </tableColumn>
    <tableColumn id="17" xr3:uid="{ADF7EA87-62F6-41D3-BBF4-8E52D815E220}" name="Qvib16" dataDxfId="122">
      <calculatedColumnFormula array="1">(EXP(-(Tabella3[Planck h]*Tabella9[Frequenza16])/(2*Tabella3[Boltzmann k]*Tabella8[[#This Row],[Temperatura]])))/(1-EXP(-(Tabella3[Planck h]*Tabella9[Frequenza16])/(Tabella3[Boltzmann k]*Tabella8[[#This Row],[Temperatura]])))</calculatedColumnFormula>
    </tableColumn>
    <tableColumn id="18" xr3:uid="{7B353F64-BB82-4DB8-8F4B-7197CB47EE5C}" name="Qvib17" dataDxfId="121">
      <calculatedColumnFormula array="1">(EXP(-(Tabella3[Planck h]*Tabella9[Frequenza17])/(2*Tabella3[Boltzmann k]*Tabella8[[#This Row],[Temperatura]])))/(1-EXP(-(Tabella3[Planck h]*Tabella9[Frequenza17])/(Tabella3[Boltzmann k]*Tabella8[[#This Row],[Temperatura]])))</calculatedColumnFormula>
    </tableColumn>
    <tableColumn id="19" xr3:uid="{AE8F5328-34C5-4E35-8DF2-86D112C41AAE}" name="Qvib18" dataDxfId="120">
      <calculatedColumnFormula array="1">(EXP(-(Tabella3[Planck h]*Tabella9[Frequenza18])/(2*Tabella3[Boltzmann k]*Tabella8[[#This Row],[Temperatura]])))/(1-EXP(-(Tabella3[Planck h]*Tabella9[Frequenza18])/(Tabella3[Boltzmann k]*Tabella8[[#This Row],[Temperatura]])))</calculatedColumnFormula>
    </tableColumn>
  </tableColumns>
  <tableStyleInfo name="TableStyleLight1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2CC45A-820D-429C-86F3-53F2A5B55BB0}" name="Tabella9" displayName="Tabella9" ref="B12:S13" totalsRowShown="0" headerRowDxfId="119" dataDxfId="118">
  <autoFilter ref="B12:S13" xr:uid="{752CC45A-820D-429C-86F3-53F2A5B55BB0}"/>
  <tableColumns count="18">
    <tableColumn id="1" xr3:uid="{9FBF9114-346F-4271-B179-026DAAD83B9A}" name="Frequenza1" dataDxfId="117">
      <calculatedColumnFormula array="1">Tabella931[Frequenza1]*29979300000</calculatedColumnFormula>
    </tableColumn>
    <tableColumn id="2" xr3:uid="{1A0D1705-FFEC-4D92-B2F9-A637C11422D2}" name="Frequenza2" dataDxfId="116">
      <calculatedColumnFormula array="1">Tabella931[Frequenza2]*29979300000</calculatedColumnFormula>
    </tableColumn>
    <tableColumn id="3" xr3:uid="{6C2291BC-4AAA-41AC-A950-CB7FEEC5AD05}" name="Frequenza3" dataDxfId="115">
      <calculatedColumnFormula array="1">Tabella931[Frequenza3]*29979300000</calculatedColumnFormula>
    </tableColumn>
    <tableColumn id="4" xr3:uid="{B6B448A2-F70C-41BD-B914-0A497F50E908}" name="Frequenza4" dataDxfId="114">
      <calculatedColumnFormula array="1">Tabella931[Frequenza4]*29979300000</calculatedColumnFormula>
    </tableColumn>
    <tableColumn id="5" xr3:uid="{91DA4BC4-C7DC-4E49-B999-3822467CA1A6}" name="Frequenza5" dataDxfId="113">
      <calculatedColumnFormula array="1">Tabella931[Frequenza5]*29979300000</calculatedColumnFormula>
    </tableColumn>
    <tableColumn id="6" xr3:uid="{27F04DE4-7605-4653-8699-70D49C666B1A}" name="Frequenza6" dataDxfId="112">
      <calculatedColumnFormula array="1">Tabella931[Frequenza6]*29979300000</calculatedColumnFormula>
    </tableColumn>
    <tableColumn id="7" xr3:uid="{47F3B3BB-A321-48B1-800B-F37C21B399F6}" name="Frequenza7" dataDxfId="111">
      <calculatedColumnFormula array="1">Tabella931[Frequenza7]*29979300000</calculatedColumnFormula>
    </tableColumn>
    <tableColumn id="8" xr3:uid="{50C0F7F8-7165-4706-9E22-42B61F2718BB}" name="Frequenza8" dataDxfId="110">
      <calculatedColumnFormula array="1">Tabella931[Frequenza8]*29979300000</calculatedColumnFormula>
    </tableColumn>
    <tableColumn id="9" xr3:uid="{D0348256-679C-4A96-8A6D-485474903F86}" name="Frequenza9" dataDxfId="109">
      <calculatedColumnFormula array="1">Tabella931[Frequenza9]*29979300000</calculatedColumnFormula>
    </tableColumn>
    <tableColumn id="10" xr3:uid="{941B177B-384A-4BE0-ADAD-F1B642D3D876}" name="Frequenza10" dataDxfId="108">
      <calculatedColumnFormula array="1">Tabella931[Frequenza10]*29979300000</calculatedColumnFormula>
    </tableColumn>
    <tableColumn id="11" xr3:uid="{71EC4C63-A989-4BA1-AEB1-7827E3C326EE}" name="Frequenza11" dataDxfId="107">
      <calculatedColumnFormula array="1">Tabella931[Frequenza11]*29979300000</calculatedColumnFormula>
    </tableColumn>
    <tableColumn id="12" xr3:uid="{44A265D5-D24C-41E6-B320-2957539C1A7C}" name="Frequenza12" dataDxfId="106">
      <calculatedColumnFormula array="1">Tabella931[Frequenza12]*29979300000</calculatedColumnFormula>
    </tableColumn>
    <tableColumn id="13" xr3:uid="{17BF97C8-1330-42F9-BF49-FB5B47CDBBAE}" name="Frequenza13" dataDxfId="105">
      <calculatedColumnFormula array="1">Tabella931[Frequenza13]*29979300000</calculatedColumnFormula>
    </tableColumn>
    <tableColumn id="14" xr3:uid="{29EBD017-94D0-478A-945B-B52B531C5B22}" name="Frequenza14" dataDxfId="104">
      <calculatedColumnFormula array="1">Tabella931[Frequenza14]*29979300000</calculatedColumnFormula>
    </tableColumn>
    <tableColumn id="15" xr3:uid="{614484CC-44BC-44C5-8986-102B431586C2}" name="Frequenza15" dataDxfId="103">
      <calculatedColumnFormula array="1">Tabella931[Frequenza15]*29979300000</calculatedColumnFormula>
    </tableColumn>
    <tableColumn id="16" xr3:uid="{810D49C3-F0C7-4732-9A3B-216C8338A6EB}" name="Frequenza16" dataDxfId="102">
      <calculatedColumnFormula array="1">Tabella931[Frequenza16]*29979300000</calculatedColumnFormula>
    </tableColumn>
    <tableColumn id="17" xr3:uid="{81A8EC19-D3B3-457D-B8ED-CE08E165101B}" name="Frequenza17" dataDxfId="101">
      <calculatedColumnFormula array="1">Tabella931[Frequenza17]*29979300000</calculatedColumnFormula>
    </tableColumn>
    <tableColumn id="18" xr3:uid="{10A97A78-1D1B-4062-9EFC-30A7A3A81E44}" name="Frequenza18" dataDxfId="100">
      <calculatedColumnFormula array="1">Tabella931[Frequenza18]*29979300000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C47E-9B0C-4516-B80D-9D65F8ED9043}" name="Tabella1" displayName="Tabella1" ref="H57:K77" totalsRowShown="0" headerRowDxfId="99" dataDxfId="98" tableBorderDxfId="97">
  <autoFilter ref="H57:K77" xr:uid="{6C35C47E-9B0C-4516-B80D-9D65F8ED9043}"/>
  <tableColumns count="4">
    <tableColumn id="1" xr3:uid="{068D8DD0-A7B2-4833-A9DA-A79904AA0875}" name="Temperatura" dataDxfId="96"/>
    <tableColumn id="2" xr3:uid="{B13EFF79-5D37-4426-BCEE-5AAF949CD7F9}" name="Translational Factor" dataDxfId="95">
      <calculatedColumnFormula array="1">POWER((2*PI()*Tabella3[Massa '[kg']]*Tabella3[Boltzmann k]*Tabella1[[#This Row],[Temperatura]])/(POWER(Tabella3[Planck h],2)),1.5)</calculatedColumnFormula>
    </tableColumn>
    <tableColumn id="3" xr3:uid="{9598CD40-AA71-4895-9FFC-9F64C316C24B}" name="Volume" dataDxfId="94">
      <calculatedColumnFormula array="1">(Tabella1[[#This Row],[Temperatura]]*Tabella3[Boltzmann k])/101325</calculatedColumnFormula>
    </tableColumn>
    <tableColumn id="4" xr3:uid="{2106037B-7468-4621-949B-1B4CAB7DD34C}" name="S Translational" dataDxfId="93">
      <calculatedColumnFormula array="1">Tabella3[Rydberg R]*(2.5+LN(Tabella1[[#This Row],[Volume]]*Tabella1[[#This Row],[Translational Factor]]))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75784-2FE5-4D07-A21C-99C9C9FBF68B}" name="Tabella10" displayName="Tabella10" ref="A34:B52" totalsRowShown="0" headerRowDxfId="92" dataDxfId="91" tableBorderDxfId="90">
  <autoFilter ref="A34:B52" xr:uid="{8EE75784-2FE5-4D07-A21C-99C9C9FBF68B}"/>
  <tableColumns count="2">
    <tableColumn id="1" xr3:uid="{8AC27E1A-960F-425C-BA77-E5536B76C246}" name="Colonna1" dataDxfId="89"/>
    <tableColumn id="2" xr3:uid="{EBAF392C-32A9-4E5A-9C4C-B8C66774F109}" name="Theta vib" dataDxfId="88">
      <calculatedColumnFormula array="1">(Tabella3[Planck h]*Tabella10[[#This Row],[Colonna1]])/Tabella3[Boltzmann k]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31EE4-0E00-483A-969A-3E85182E1038}" name="Tabella11" displayName="Tabella11" ref="D36:W54" totalsRowShown="0" headerRowDxfId="87" dataDxfId="86" tableBorderDxfId="85">
  <autoFilter ref="D36:W54" xr:uid="{FB331EE4-0E00-483A-969A-3E85182E1038}"/>
  <tableColumns count="20">
    <tableColumn id="1" xr3:uid="{61471263-4BD2-4517-9F6F-DC1172843825}" name="Temperatura" dataDxfId="84"/>
    <tableColumn id="2" xr3:uid="{5728204A-7038-4446-899F-50E796874F70}" name="S vib 1" dataDxfId="83"/>
    <tableColumn id="3" xr3:uid="{1414B249-4DCB-4FC3-A210-ACDC8CD4F99B}" name="S vib 2" dataDxfId="82">
      <calculatedColumnFormula array="1">(    (Tabella12[Theta vib2]/Tabella11[[#This Row],[Temperatura]]) /(EXP(Tabella12[Theta vib2]/Tabella11[[#This Row],[Temperatura]])-1) - LN(1-EXP(-Tabella12[Theta vib3]/Tabella11[[#This Row],[Temperatura]]))    )</calculatedColumnFormula>
    </tableColumn>
    <tableColumn id="4" xr3:uid="{C430FC1C-C39B-4D0E-8E02-82A6E2C18098}" name="S vib 3" dataDxfId="81">
      <calculatedColumnFormula array="1">(    (Tabella12[Theta vib3]/Tabella11[[#This Row],[Temperatura]]) /(EXP(Tabella12[Theta vib3]/Tabella11[[#This Row],[Temperatura]])-1) - LN(1-EXP(-Tabella12[Theta vib3]/Tabella11[[#This Row],[Temperatura]]))    )</calculatedColumnFormula>
    </tableColumn>
    <tableColumn id="5" xr3:uid="{963F8E6C-1769-49B7-8B84-3A70E55169F0}" name="S vib 4" dataDxfId="80">
      <calculatedColumnFormula array="1" xml:space="preserve">   (Tabella12[Theta vib4]/Tabella11[[#This Row],[Temperatura]]) /(EXP(Tabella12[Theta vib4]/Tabella11[[#This Row],[Temperatura]])-1) - LN(1-EXP(-Tabella12[Theta vib4]/Tabella11[[#This Row],[Temperatura]]))</calculatedColumnFormula>
    </tableColumn>
    <tableColumn id="6" xr3:uid="{986BC10F-9511-4695-8225-9955B7DBFD91}" name="S vib 5" dataDxfId="79">
      <calculatedColumnFormula array="1">(    (Tabella12[Theta vib5]/Tabella11[[#This Row],[Temperatura]]) /(EXP(Tabella12[Theta vib5]/Tabella11[[#This Row],[Temperatura]])-1) - LN(1-EXP(-Tabella12[Theta vib5]/Tabella11[[#This Row],[Temperatura]]))    )</calculatedColumnFormula>
    </tableColumn>
    <tableColumn id="7" xr3:uid="{5F5F5D2A-9B9C-4AED-A4CB-BB7852D00EC7}" name="S vib 6" dataDxfId="78">
      <calculatedColumnFormula array="1">(    (Tabella12[Theta vib6]/Tabella11[[#This Row],[Temperatura]]) /(EXP(Tabella12[Theta vib6]/Tabella11[[#This Row],[Temperatura]])-1) - LN(1-EXP(-Tabella12[Theta vib6]/Tabella11[[#This Row],[Temperatura]]))    )</calculatedColumnFormula>
    </tableColumn>
    <tableColumn id="8" xr3:uid="{30F485D5-9FB8-4D91-85E6-D263B3929638}" name="S vib 7" dataDxfId="77">
      <calculatedColumnFormula array="1">(    (Tabella12[Theta vib7]/Tabella11[[#This Row],[Temperatura]]) /(EXP(Tabella12[Theta vib7]/Tabella11[[#This Row],[Temperatura]])-1) - LN(1-EXP(-Tabella12[Theta vib7]/Tabella11[[#This Row],[Temperatura]]))    )</calculatedColumnFormula>
    </tableColumn>
    <tableColumn id="9" xr3:uid="{964E644B-E473-4143-B88D-88CFECA6C0F3}" name="S vib 8" dataDxfId="76">
      <calculatedColumnFormula array="1">(    (Tabella12[Theta vib8]/Tabella11[[#This Row],[Temperatura]]) /(EXP(Tabella12[Theta vib8]/Tabella11[[#This Row],[Temperatura]])-1) - LN(1-EXP(-Tabella12[Theta vib8]/Tabella11[[#This Row],[Temperatura]]))    )</calculatedColumnFormula>
    </tableColumn>
    <tableColumn id="10" xr3:uid="{89630141-5505-48BB-BDA4-00B195E5A082}" name="S vib 9" dataDxfId="75">
      <calculatedColumnFormula array="1">(    (Tabella12[Theta vib9]/Tabella11[[#This Row],[Temperatura]]) /(EXP(Tabella12[Theta vib9]/Tabella11[[#This Row],[Temperatura]])-1) - LN(1-EXP(-Tabella12[Theta vib9]/Tabella11[[#This Row],[Temperatura]]))    )</calculatedColumnFormula>
    </tableColumn>
    <tableColumn id="11" xr3:uid="{A9A997D6-FE02-4115-8DAF-E9EA0DA346F0}" name="S vib 10" dataDxfId="74">
      <calculatedColumnFormula array="1">(    (Tabella12[Theta vib10]/Tabella11[[#This Row],[Temperatura]]) /(EXP(Tabella12[Theta vib10]/Tabella11[[#This Row],[Temperatura]])-1) - LN(1-EXP(-Tabella12[Theta vib10]/Tabella11[[#This Row],[Temperatura]]))    )</calculatedColumnFormula>
    </tableColumn>
    <tableColumn id="12" xr3:uid="{91F86FBF-E8C7-48DA-91A3-45353B3192F3}" name="S vib 11" dataDxfId="73">
      <calculatedColumnFormula array="1">(    (Tabella12[Theta vib10]/Tabella11[[#This Row],[Temperatura]]) /(EXP(Tabella12[Theta vib11]/Tabella11[[#This Row],[Temperatura]])-1) - LN(1-EXP(-Tabella12[Theta vib11]/Tabella11[[#This Row],[Temperatura]]))    )</calculatedColumnFormula>
    </tableColumn>
    <tableColumn id="13" xr3:uid="{53C88EED-991F-4B1E-84C8-654A436CF622}" name="S vib 12" dataDxfId="72">
      <calculatedColumnFormula array="1">(    (Tabella12[Theta vib12]/Tabella11[[#This Row],[Temperatura]]) /(EXP(Tabella12[Theta vib12]/Tabella11[[#This Row],[Temperatura]])-1) - LN(1-EXP(-Tabella12[Theta vib12]/Tabella11[[#This Row],[Temperatura]]))    )</calculatedColumnFormula>
    </tableColumn>
    <tableColumn id="14" xr3:uid="{9D0E08FF-CB59-468E-B8EF-D1DD7CBBF9E7}" name="S vib 13" dataDxfId="71">
      <calculatedColumnFormula array="1">(    (Tabella12[Theta vib13]/Tabella11[[#This Row],[Temperatura]]) /(EXP(Tabella12[Theta vib13]/Tabella11[[#This Row],[Temperatura]])-1) - LN(1-EXP(-Tabella12[Theta vib13]/Tabella11[[#This Row],[Temperatura]]))    )</calculatedColumnFormula>
    </tableColumn>
    <tableColumn id="15" xr3:uid="{24BFEF78-CDA6-4225-AE31-335ABF45F4ED}" name="S vib 14" dataDxfId="70">
      <calculatedColumnFormula array="1">(    (Tabella12[Theta vib14]/Tabella11[[#This Row],[Temperatura]]) /(EXP(Tabella12[Theta vib14]/Tabella11[[#This Row],[Temperatura]])-1) - LN(1-EXP(-Tabella12[Theta vib14]/Tabella11[[#This Row],[Temperatura]]))    )</calculatedColumnFormula>
    </tableColumn>
    <tableColumn id="16" xr3:uid="{946FB09B-C3C1-4F04-BB6E-EEE8E7B318F4}" name="S vib 15" dataDxfId="69">
      <calculatedColumnFormula array="1">(    (Tabella12[Theta vib15]/Tabella11[[#This Row],[Temperatura]]) /(EXP(Tabella12[Theta vib15]/Tabella11[[#This Row],[Temperatura]])-1) - LN(1-EXP(-Tabella12[Theta vib15]/Tabella11[[#This Row],[Temperatura]]))    )</calculatedColumnFormula>
    </tableColumn>
    <tableColumn id="17" xr3:uid="{33AA093D-FB29-4844-9C4D-5D9ACE2592AA}" name="S vib 16" dataDxfId="68">
      <calculatedColumnFormula array="1">(    (Tabella12[Theta vib16]/Tabella11[[#This Row],[Temperatura]]) /(EXP(Tabella12[Theta vib16]/Tabella11[[#This Row],[Temperatura]])-1) - LN(1-EXP(-Tabella12[Theta vib16]/Tabella11[[#This Row],[Temperatura]]))    )</calculatedColumnFormula>
    </tableColumn>
    <tableColumn id="18" xr3:uid="{4A2149B6-5F41-4D31-9C36-3E5F3E3BE574}" name="S vib 17" dataDxfId="67">
      <calculatedColumnFormula array="1">(    (Tabella12[Theta vib17]/Tabella11[[#This Row],[Temperatura]]) /(EXP(Tabella12[Theta vib17]/Tabella11[[#This Row],[Temperatura]])-1) - LN(1-EXP(-Tabella12[Theta vib17]/Tabella11[[#This Row],[Temperatura]]))    )</calculatedColumnFormula>
    </tableColumn>
    <tableColumn id="19" xr3:uid="{89FA252F-F46A-4C22-B812-5579C12F966C}" name="S vib 18" dataDxfId="66">
      <calculatedColumnFormula array="1">(    (Tabella12[Theta vib18]/Tabella11[[#This Row],[Temperatura]]) /(EXP(Tabella12[Theta vib18]/Tabella11[[#This Row],[Temperatura]])-1) - LN(1-EXP(-Tabella12[Theta vib18]/Tabella11[[#This Row],[Temperatura]]))    )</calculatedColumnFormula>
    </tableColumn>
    <tableColumn id="20" xr3:uid="{059F29EA-952C-448F-8048-AF7B53E29CCA}" name="S vib tot" dataDxfId="65">
      <calculatedColumnFormula array="1">Tabella3[Rydberg R]*SUM(Tabella11[[#This Row],[S vib 1]:[S vib 18]])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CBD88-6239-4EFA-8EF2-2B939CA10E1C}" name="Tabella12" displayName="Tabella12" ref="E34:V35" totalsRowShown="0" headerRowDxfId="64" dataDxfId="63">
  <autoFilter ref="E34:V35" xr:uid="{A82CBD88-6239-4EFA-8EF2-2B939CA10E1C}"/>
  <tableColumns count="18">
    <tableColumn id="1" xr3:uid="{C7B88E24-1815-4D39-88EB-A6E6F8444FE6}" name="Theta vib 1" dataDxfId="62">
      <calculatedColumnFormula>B35</calculatedColumnFormula>
    </tableColumn>
    <tableColumn id="2" xr3:uid="{197BD06F-316B-4BFB-9ABA-1148A4200AA8}" name="Theta vib2" dataDxfId="61">
      <calculatedColumnFormula>B36</calculatedColumnFormula>
    </tableColumn>
    <tableColumn id="3" xr3:uid="{4251716C-6AA7-468F-BD26-95166DAEF10B}" name="Theta vib3" dataDxfId="60">
      <calculatedColumnFormula>B37</calculatedColumnFormula>
    </tableColumn>
    <tableColumn id="4" xr3:uid="{92EB4412-5F77-41AF-96DD-1E7A77DCBB43}" name="Theta vib4" dataDxfId="59">
      <calculatedColumnFormula>B38</calculatedColumnFormula>
    </tableColumn>
    <tableColumn id="5" xr3:uid="{DC051AD9-23AA-44B6-8924-B089073D7EBD}" name="Theta vib5" dataDxfId="58">
      <calculatedColumnFormula>B39</calculatedColumnFormula>
    </tableColumn>
    <tableColumn id="6" xr3:uid="{C4B74584-3859-4249-92E4-92FF69C7F340}" name="Theta vib6" dataDxfId="57">
      <calculatedColumnFormula>B40</calculatedColumnFormula>
    </tableColumn>
    <tableColumn id="7" xr3:uid="{DE4F7F1A-E086-4D81-B823-EB9F94AEC620}" name="Theta vib7" dataDxfId="56">
      <calculatedColumnFormula>B41</calculatedColumnFormula>
    </tableColumn>
    <tableColumn id="8" xr3:uid="{270E63AC-75EC-41DD-91AF-04085651476F}" name="Theta vib8" dataDxfId="55">
      <calculatedColumnFormula>B42</calculatedColumnFormula>
    </tableColumn>
    <tableColumn id="9" xr3:uid="{FA5AC110-162A-4C39-9A4D-5FA46EA0A727}" name="Theta vib9" dataDxfId="54">
      <calculatedColumnFormula>B43</calculatedColumnFormula>
    </tableColumn>
    <tableColumn id="10" xr3:uid="{33599A6C-1094-4FFA-A6F0-EB69D532BFEB}" name="Theta vib10" dataDxfId="53">
      <calculatedColumnFormula>B44</calculatedColumnFormula>
    </tableColumn>
    <tableColumn id="11" xr3:uid="{A699DB93-FECB-45CC-9320-22EA44BB5AC2}" name="Theta vib11" dataDxfId="52">
      <calculatedColumnFormula>B45</calculatedColumnFormula>
    </tableColumn>
    <tableColumn id="12" xr3:uid="{B18FA8D3-2B91-475F-B438-7792BEE2ED21}" name="Theta vib12" dataDxfId="51">
      <calculatedColumnFormula>B46</calculatedColumnFormula>
    </tableColumn>
    <tableColumn id="13" xr3:uid="{EEAC9855-57A0-4330-AEED-C95E8F7183A5}" name="Theta vib13" dataDxfId="50">
      <calculatedColumnFormula>B47</calculatedColumnFormula>
    </tableColumn>
    <tableColumn id="14" xr3:uid="{CD1BBBE7-67C5-441F-A90E-9EB9E4187D97}" name="Theta vib14" dataDxfId="49">
      <calculatedColumnFormula>B48</calculatedColumnFormula>
    </tableColumn>
    <tableColumn id="15" xr3:uid="{BB82C5E3-71E5-47FA-B0BE-ABB559420979}" name="Theta vib15" dataDxfId="48">
      <calculatedColumnFormula>B49</calculatedColumnFormula>
    </tableColumn>
    <tableColumn id="16" xr3:uid="{66E3553F-AD89-40E0-A711-1008ED4094CC}" name="Theta vib16" dataDxfId="47">
      <calculatedColumnFormula>B50</calculatedColumnFormula>
    </tableColumn>
    <tableColumn id="17" xr3:uid="{02C34ABA-5E4C-4A9E-89FB-472078080F32}" name="Theta vib17" dataDxfId="46">
      <calculatedColumnFormula>B51</calculatedColumnFormula>
    </tableColumn>
    <tableColumn id="18" xr3:uid="{E9FE84BA-C745-4ED4-A8D0-A8D9883A140B}" name="Theta vib18" dataDxfId="45">
      <calculatedColumnFormula>B52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7DD12F-9A79-4CF9-8CE2-7C42CC50F3FE}" name="Tabella13" displayName="Tabella13" ref="M57:N76" totalsRowCount="1" headerRowDxfId="44" dataDxfId="43" totalsRowDxfId="41" tableBorderDxfId="42">
  <autoFilter ref="M57:N75" xr:uid="{A17DD12F-9A79-4CF9-8CE2-7C42CC50F3FE}"/>
  <tableColumns count="2">
    <tableColumn id="1" xr3:uid="{2684F8F9-D586-4B8B-885A-75EBDA4FAAD7}" name="Temperatura" dataDxfId="40" totalsRowDxfId="39"/>
    <tableColumn id="2" xr3:uid="{90382C13-35EE-4215-A1A8-A82EDE49001F}" name="S rotational" totalsRowFunction="custom" dataDxfId="38" totalsRowDxfId="37">
      <calculatedColumnFormula array="1">Tabella3[Rydberg R]*(1.5+LN(SQRT(PI()*POWER(Tabella13[[#This Row],[Temperatura]],3)/(Tabella6[Simmetria]*Tabella6[Simmetria]*PRODUCT($G$7:$I$7)))))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2EF7-2316-4CF4-BFBC-ABEB661B86C8}" name="Tabella14" displayName="Tabella14" ref="J6:J7" totalsRowShown="0" headerRowDxfId="36" dataDxfId="35">
  <autoFilter ref="J6:J7" xr:uid="{50092EF7-2316-4CF4-BFBC-ABEB661B86C8}"/>
  <tableColumns count="1">
    <tableColumn id="1" xr3:uid="{9B540E44-2D2A-4857-9504-681230666A58}" name="Theta Rot" dataDxfId="34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C7E0C-6472-472D-B323-A5A9CEF9C677}" name="Tabella15" displayName="Tabella15" ref="A79:E98" totalsRowCount="1" headerRowDxfId="33" dataDxfId="32" totalsRowDxfId="30" tableBorderDxfId="31">
  <autoFilter ref="A79:E97" xr:uid="{9F3C7E0C-6472-472D-B323-A5A9CEF9C677}"/>
  <tableColumns count="5">
    <tableColumn id="1" xr3:uid="{99D9D609-2A08-45B7-BE4A-46E16C2DCA94}" name="Temperatura" totalsRowLabel="DELTA" dataDxfId="29" totalsRowDxfId="28"/>
    <tableColumn id="2" xr3:uid="{EB8687D0-925F-4518-9D18-43B249373D41}" name="CvRot" dataDxfId="27" totalsRowDxfId="26">
      <calculatedColumnFormula array="1">(3/2)*Tabella3[Rydberg R]</calculatedColumnFormula>
    </tableColumn>
    <tableColumn id="3" xr3:uid="{CB220B6A-F43A-47BC-9064-544B09B924A1}" name="Cv translational" dataDxfId="25" totalsRowDxfId="24">
      <calculatedColumnFormula array="1">(3/2)*Tabella3[Rydberg R]</calculatedColumnFormula>
    </tableColumn>
    <tableColumn id="4" xr3:uid="{EAED0DFE-E311-41F2-A7BF-78053D855886}" name="Cv Vib" totalsRowFunction="custom" dataDxfId="23" totalsRowDxfId="22">
      <calculatedColumnFormula array="1">Tabella3[Rydberg R]*SUM( ( ($E$35:$V$35) * ($E$35:$V$35)* EXP($E$35:$V$35/Tabella15[[#This Row],[Temperatura]]) ) / ( Tabella15[[#This Row],[Temperatura]]*Tabella15[[#This Row],[Temperatura]]* ( EXP(( $E$35:$V$35)/Tabella15[[#This Row],[Temperatura]] )  -1)^2 ) )</calculatedColumnFormula>
      <totalsRowFormula>D97-D80</totalsRowFormula>
    </tableColumn>
    <tableColumn id="5" xr3:uid="{F35C0211-A6F3-404C-BF69-6DDDF2A75015}" name="Cv Tot" dataDxfId="21" totalsRowDxfId="20">
      <calculatedColumnFormula>SUM(Tabella15[[#This Row],[CvRot]:[Cv Vib]])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8A90A48-8D3D-462E-9624-2641B5682046}" name="Tabella931" displayName="Tabella931" ref="B10:S11" totalsRowShown="0" headerRowDxfId="19" dataDxfId="18">
  <autoFilter ref="B10:S11" xr:uid="{28A90A48-8D3D-462E-9624-2641B5682046}"/>
  <tableColumns count="18">
    <tableColumn id="1" xr3:uid="{480F319A-D9AC-43F0-AD3B-EF186A81671D}" name="Frequenza1" dataDxfId="17">
      <calculatedColumnFormula>308.2331</calculatedColumnFormula>
    </tableColumn>
    <tableColumn id="2" xr3:uid="{627C2F80-1D77-4F72-B256-4571C91BCE86}" name="Frequenza2" dataDxfId="16"/>
    <tableColumn id="3" xr3:uid="{2426C765-8F27-4937-9E15-FBD0576EF65B}" name="Frequenza3" dataDxfId="15"/>
    <tableColumn id="4" xr3:uid="{DC3B726E-E3B5-484B-9DF0-65A62509CE02}" name="Frequenza4" dataDxfId="14"/>
    <tableColumn id="5" xr3:uid="{6934997B-95AE-4FB2-903D-2E0663278A5C}" name="Frequenza5" dataDxfId="13"/>
    <tableColumn id="6" xr3:uid="{73E32C11-8DEF-4130-9022-0EF47B45F62B}" name="Frequenza6" dataDxfId="12"/>
    <tableColumn id="7" xr3:uid="{398478DD-0551-493E-B5F7-CF32D1D3994E}" name="Frequenza7" dataDxfId="11"/>
    <tableColumn id="8" xr3:uid="{D791E75F-C9A2-4D46-9AF8-382E7A78C972}" name="Frequenza8" dataDxfId="10"/>
    <tableColumn id="9" xr3:uid="{7402E2A7-C13A-4961-8A82-608B4F1CB906}" name="Frequenza9" dataDxfId="9"/>
    <tableColumn id="10" xr3:uid="{11CCEB22-D01D-4BEE-8CAD-DDC307AAD401}" name="Frequenza10" dataDxfId="8"/>
    <tableColumn id="11" xr3:uid="{87F5BB90-EDE7-45FE-A4AB-534474F8BE58}" name="Frequenza11" dataDxfId="7"/>
    <tableColumn id="12" xr3:uid="{22C9BA07-C910-485D-9691-FA66C894AD8F}" name="Frequenza12" dataDxfId="6"/>
    <tableColumn id="13" xr3:uid="{3A6FFC89-753A-4CBC-846D-9FA191CBF056}" name="Frequenza13" dataDxfId="5"/>
    <tableColumn id="14" xr3:uid="{42A9388D-0A9D-42D6-AED7-EFE969DC78D0}" name="Frequenza14" dataDxfId="4"/>
    <tableColumn id="15" xr3:uid="{42EE21D1-F33E-4A85-912F-2E460DAD4C43}" name="Frequenza15" dataDxfId="3"/>
    <tableColumn id="16" xr3:uid="{941810E5-D977-4443-BB82-BD798C356BAD}" name="Frequenza16" dataDxfId="2"/>
    <tableColumn id="17" xr3:uid="{D8233107-94EE-421E-B853-C1AF90C94A47}" name="Frequenza17" dataDxfId="1"/>
    <tableColumn id="18" xr3:uid="{BF9F5905-49AC-4A37-9A14-F74ABC033823}" name="Frequenza1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13" Type="http://schemas.openxmlformats.org/officeDocument/2006/relationships/table" Target="../tables/table49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13" Type="http://schemas.openxmlformats.org/officeDocument/2006/relationships/table" Target="../tables/table61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drawing" Target="../drawings/drawing3.xml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Relationship Id="rId14" Type="http://schemas.openxmlformats.org/officeDocument/2006/relationships/table" Target="../tables/table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AF3-197A-42E3-8C78-73F4DC2F2347}">
  <dimension ref="A1:X178"/>
  <sheetViews>
    <sheetView topLeftCell="A14" zoomScale="85" zoomScaleNormal="85" workbookViewId="0">
      <selection activeCell="C58" sqref="C58:C75"/>
    </sheetView>
  </sheetViews>
  <sheetFormatPr defaultColWidth="9.1796875" defaultRowHeight="14.5" x14ac:dyDescent="0.35"/>
  <cols>
    <col min="1" max="1" width="15.81640625" style="18" customWidth="1"/>
    <col min="2" max="2" width="21.54296875" style="18" bestFit="1" customWidth="1"/>
    <col min="3" max="3" width="15.7265625" style="18" customWidth="1"/>
    <col min="4" max="4" width="18.54296875" style="18" customWidth="1"/>
    <col min="5" max="5" width="20.1796875" style="18" bestFit="1" customWidth="1"/>
    <col min="6" max="6" width="14.7265625" style="18" customWidth="1"/>
    <col min="7" max="7" width="24.81640625" style="18" bestFit="1" customWidth="1"/>
    <col min="8" max="8" width="19.54296875" style="18" customWidth="1"/>
    <col min="9" max="9" width="24.7265625" style="18" bestFit="1" customWidth="1"/>
    <col min="10" max="10" width="13.7265625" style="18" customWidth="1"/>
    <col min="11" max="11" width="14.26953125" style="18" customWidth="1"/>
    <col min="12" max="13" width="13.7265625" style="18" customWidth="1"/>
    <col min="14" max="14" width="14.54296875" style="18" bestFit="1" customWidth="1"/>
    <col min="15" max="15" width="13.7265625" style="18" customWidth="1"/>
    <col min="16" max="16" width="13.453125" style="18" customWidth="1"/>
    <col min="17" max="19" width="14.54296875" style="18" bestFit="1" customWidth="1"/>
    <col min="20" max="24" width="13.453125" style="18" bestFit="1" customWidth="1"/>
    <col min="25" max="16384" width="9.1796875" style="18"/>
  </cols>
  <sheetData>
    <row r="1" spans="1:8" x14ac:dyDescent="0.3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8" x14ac:dyDescent="0.35">
      <c r="A2" s="18">
        <f>PI()</f>
        <v>3.1415926535897931</v>
      </c>
      <c r="B2" s="32">
        <f>1.66E-27*Tabella3331776[[#This Row],[Massa '[g/mol']]]</f>
        <v>4.6471550600000001E-26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27.994910000000001</v>
      </c>
      <c r="H2" s="18">
        <v>2</v>
      </c>
    </row>
    <row r="6" spans="1:8" ht="15" thickBot="1" x14ac:dyDescent="0.4">
      <c r="G6" s="48" t="s">
        <v>103</v>
      </c>
    </row>
    <row r="7" spans="1:8" ht="15" thickBot="1" x14ac:dyDescent="0.4">
      <c r="G7" s="113">
        <v>2.7352300000000001</v>
      </c>
    </row>
    <row r="8" spans="1:8" x14ac:dyDescent="0.35">
      <c r="A8" s="18" t="s">
        <v>11</v>
      </c>
      <c r="B8" s="18" t="s">
        <v>12</v>
      </c>
      <c r="C8" s="18" t="s">
        <v>13</v>
      </c>
      <c r="G8" s="32"/>
    </row>
    <row r="9" spans="1:8" x14ac:dyDescent="0.35">
      <c r="A9" s="18">
        <v>1</v>
      </c>
      <c r="B9" s="18">
        <v>1</v>
      </c>
      <c r="C9" s="18">
        <f>H85+H89</f>
        <v>0</v>
      </c>
    </row>
    <row r="10" spans="1:8" x14ac:dyDescent="0.35">
      <c r="B10" s="18" t="s">
        <v>22</v>
      </c>
    </row>
    <row r="11" spans="1:8" x14ac:dyDescent="0.35">
      <c r="B11" s="8">
        <v>2202.4245999999998</v>
      </c>
    </row>
    <row r="12" spans="1:8" x14ac:dyDescent="0.35">
      <c r="B12" s="18" t="s">
        <v>22</v>
      </c>
      <c r="G12" s="32"/>
      <c r="H12" s="32"/>
    </row>
    <row r="13" spans="1:8" x14ac:dyDescent="0.35">
      <c r="B13" s="18" cm="1">
        <f t="array" ref="B13">Tabella931477590[Frequenza1]*29979300000</f>
        <v>66027147810779.992</v>
      </c>
      <c r="F13" s="32"/>
    </row>
    <row r="14" spans="1:8" x14ac:dyDescent="0.35">
      <c r="A14" s="18" t="s">
        <v>6</v>
      </c>
      <c r="B14" s="18" t="s">
        <v>31</v>
      </c>
      <c r="C14" s="50" t="s">
        <v>32</v>
      </c>
      <c r="F14" s="32"/>
    </row>
    <row r="15" spans="1:8" x14ac:dyDescent="0.35">
      <c r="A15" s="18">
        <v>298.14999999999998</v>
      </c>
      <c r="B15" s="32" cm="1">
        <f t="array" ref="B15">EXP(-(Tabella3[Planck h]*Tabella9386681[Frequenza1])/(Tabella3[Boltzmann k]*2*Tabella8376580[[#This Row],[Temperatura]]))/(1-EXP(-(Tabella3[Planck h]*Tabella9386681[Frequenza1])/(Tabella3[Boltzmann k]*Tabella8376580[[#This Row],[Temperatura]])))</f>
        <v>4.9217857092415107E-3</v>
      </c>
      <c r="C15" s="51">
        <f>Tabella8376580[[#This Row],[Qvib1]]</f>
        <v>4.9217857092415107E-3</v>
      </c>
      <c r="F15" s="32"/>
      <c r="G15" s="32"/>
    </row>
    <row r="16" spans="1:8" x14ac:dyDescent="0.35">
      <c r="A16" s="18">
        <v>400</v>
      </c>
      <c r="B16" s="32" cm="1">
        <f t="array" ref="B16">EXP(-(Tabella3[Planck h]*Tabella9386681[Frequenza1])/(Tabella3[Boltzmann k]*2*Tabella8376580[[#This Row],[Temperatura]]))/(1-EXP(-(Tabella3[Planck h]*Tabella9386681[Frequenza1])/(Tabella3[Boltzmann k]*Tabella8376580[[#This Row],[Temperatura]])))</f>
        <v>1.9050906813978807E-2</v>
      </c>
      <c r="C16" s="51">
        <f>Tabella8376580[[#This Row],[Qvib1]]</f>
        <v>1.9050906813978807E-2</v>
      </c>
    </row>
    <row r="17" spans="1:7" x14ac:dyDescent="0.35">
      <c r="A17" s="18">
        <v>500</v>
      </c>
      <c r="B17" s="32" cm="1">
        <f t="array" ref="B17">EXP(-(Tabella3[Planck h]*Tabella9386681[Frequenza1])/(Tabella3[Boltzmann k]*2*Tabella8376580[[#This Row],[Temperatura]]))/(1-EXP(-(Tabella3[Planck h]*Tabella9386681[Frequenza1])/(Tabella3[Boltzmann k]*Tabella8376580[[#This Row],[Temperatura]])))</f>
        <v>4.2128426383191024E-2</v>
      </c>
      <c r="C17" s="51">
        <f>Tabella8376580[[#This Row],[Qvib1]]</f>
        <v>4.2128426383191024E-2</v>
      </c>
      <c r="G17" s="32"/>
    </row>
    <row r="18" spans="1:7" x14ac:dyDescent="0.35">
      <c r="A18" s="18">
        <v>600</v>
      </c>
      <c r="B18" s="32" cm="1">
        <f t="array" ref="B18">EXP(-(Tabella3[Planck h]*Tabella9386681[Frequenza1])/(Tabella3[Boltzmann k]*2*Tabella8376580[[#This Row],[Temperatura]]))/(1-EXP(-(Tabella3[Planck h]*Tabella9386681[Frequenza1])/(Tabella3[Boltzmann k]*Tabella8376580[[#This Row],[Temperatura]])))</f>
        <v>7.1678081255336132E-2</v>
      </c>
      <c r="C18" s="51">
        <f>Tabella8376580[[#This Row],[Qvib1]]</f>
        <v>7.1678081255336132E-2</v>
      </c>
      <c r="G18" s="32"/>
    </row>
    <row r="19" spans="1:7" x14ac:dyDescent="0.35">
      <c r="A19" s="18">
        <v>700</v>
      </c>
      <c r="B19" s="32" cm="1">
        <f t="array" ref="B19">EXP(-(Tabella3[Planck h]*Tabella9386681[Frequenza1])/(Tabella3[Boltzmann k]*2*Tabella8376580[[#This Row],[Temperatura]]))/(1-EXP(-(Tabella3[Planck h]*Tabella9386681[Frequenza1])/(Tabella3[Boltzmann k]*Tabella8376580[[#This Row],[Temperatura]])))</f>
        <v>0.10513006370041687</v>
      </c>
      <c r="C19" s="51">
        <f>Tabella8376580[[#This Row],[Qvib1]]</f>
        <v>0.10513006370041687</v>
      </c>
    </row>
    <row r="20" spans="1:7" x14ac:dyDescent="0.35">
      <c r="A20" s="18">
        <v>800</v>
      </c>
      <c r="B20" s="32" cm="1">
        <f t="array" ref="B20">EXP(-(Tabella3[Planck h]*Tabella9386681[Frequenza1])/(Tabella3[Boltzmann k]*2*Tabella8376580[[#This Row],[Temperatura]]))/(1-EXP(-(Tabella3[Planck h]*Tabella9386681[Frequenza1])/(Tabella3[Boltzmann k]*Tabella8376580[[#This Row],[Temperatura]])))</f>
        <v>0.14067908323359954</v>
      </c>
      <c r="C20" s="51">
        <f>Tabella8376580[[#This Row],[Qvib1]]</f>
        <v>0.14067908323359954</v>
      </c>
    </row>
    <row r="21" spans="1:7" x14ac:dyDescent="0.35">
      <c r="A21" s="18">
        <v>900</v>
      </c>
      <c r="B21" s="32" cm="1">
        <f t="array" ref="B21">EXP(-(Tabella3[Planck h]*Tabella9386681[Frequenza1])/(Tabella3[Boltzmann k]*2*Tabella8376580[[#This Row],[Temperatura]]))/(1-EXP(-(Tabella3[Planck h]*Tabella9386681[Frequenza1])/(Tabella3[Boltzmann k]*Tabella8376580[[#This Row],[Temperatura]])))</f>
        <v>0.17720876650390932</v>
      </c>
      <c r="C21" s="51">
        <f>Tabella8376580[[#This Row],[Qvib1]]</f>
        <v>0.17720876650390932</v>
      </c>
    </row>
    <row r="22" spans="1:7" x14ac:dyDescent="0.35">
      <c r="A22" s="18">
        <v>1000</v>
      </c>
      <c r="B22" s="32" cm="1">
        <f t="array" ref="B22">EXP(-(Tabella3[Planck h]*Tabella9386681[Frequenza1])/(Tabella3[Boltzmann k]*2*Tabella8376580[[#This Row],[Temperatura]]))/(1-EXP(-(Tabella3[Planck h]*Tabella9386681[Frequenza1])/(Tabella3[Boltzmann k]*Tabella8376580[[#This Row],[Temperatura]])))</f>
        <v>0.21407314161831972</v>
      </c>
      <c r="C22" s="51">
        <f>Tabella8376580[[#This Row],[Qvib1]]</f>
        <v>0.21407314161831972</v>
      </c>
    </row>
    <row r="23" spans="1:7" x14ac:dyDescent="0.35">
      <c r="A23" s="18">
        <v>1100</v>
      </c>
      <c r="B23" s="32" cm="1">
        <f t="array" ref="B23">EXP(-(Tabella3[Planck h]*Tabella9386681[Frequenza1])/(Tabella3[Boltzmann k]*2*Tabella8376580[[#This Row],[Temperatura]]))/(1-EXP(-(Tabella3[Planck h]*Tabella9386681[Frequenza1])/(Tabella3[Boltzmann k]*Tabella8376580[[#This Row],[Temperatura]])))</f>
        <v>0.25091617945324685</v>
      </c>
      <c r="C23" s="51">
        <f>Tabella8376580[[#This Row],[Qvib1]]</f>
        <v>0.25091617945324685</v>
      </c>
    </row>
    <row r="24" spans="1:7" x14ac:dyDescent="0.35">
      <c r="A24" s="18">
        <v>1200</v>
      </c>
      <c r="B24" s="32" cm="1">
        <f t="array" ref="B24">EXP(-(Tabella3[Planck h]*Tabella9386681[Frequenza1])/(Tabella3[Boltzmann k]*2*Tabella8376580[[#This Row],[Temperatura]]))/(1-EXP(-(Tabella3[Planck h]*Tabella9386681[Frequenza1])/(Tabella3[Boltzmann k]*Tabella8376580[[#This Row],[Temperatura]])))</f>
        <v>0.28755235690112763</v>
      </c>
      <c r="C24" s="51">
        <f>Tabella8376580[[#This Row],[Qvib1]]</f>
        <v>0.28755235690112763</v>
      </c>
    </row>
    <row r="25" spans="1:7" x14ac:dyDescent="0.35">
      <c r="A25" s="18">
        <v>1300</v>
      </c>
      <c r="B25" s="32" cm="1">
        <f t="array" ref="B25">EXP(-(Tabella3[Planck h]*Tabella9386681[Frequenza1])/(Tabella3[Boltzmann k]*2*Tabella8376580[[#This Row],[Temperatura]]))/(1-EXP(-(Tabella3[Planck h]*Tabella9386681[Frequenza1])/(Tabella3[Boltzmann k]*Tabella8376580[[#This Row],[Temperatura]])))</f>
        <v>0.3238938304339492</v>
      </c>
      <c r="C25" s="51">
        <f>Tabella8376580[[#This Row],[Qvib1]]</f>
        <v>0.3238938304339492</v>
      </c>
    </row>
    <row r="26" spans="1:7" x14ac:dyDescent="0.35">
      <c r="A26" s="18">
        <v>1400</v>
      </c>
      <c r="B26" s="32" cm="1">
        <f t="array" ref="B26">EXP(-(Tabella3[Planck h]*Tabella9386681[Frequenza1])/(Tabella3[Boltzmann k]*2*Tabella8376580[[#This Row],[Temperatura]]))/(1-EXP(-(Tabella3[Planck h]*Tabella9386681[Frequenza1])/(Tabella3[Boltzmann k]*Tabella8376580[[#This Row],[Temperatura]])))</f>
        <v>0.35990756739502355</v>
      </c>
      <c r="C26" s="51">
        <f>Tabella8376580[[#This Row],[Qvib1]]</f>
        <v>0.35990756739502355</v>
      </c>
    </row>
    <row r="27" spans="1:7" x14ac:dyDescent="0.35">
      <c r="A27" s="18">
        <v>1500</v>
      </c>
      <c r="B27" s="32" cm="1">
        <f t="array" ref="B27">EXP(-(Tabella3[Planck h]*Tabella9386681[Frequenza1])/(Tabella3[Boltzmann k]*2*Tabella8376580[[#This Row],[Temperatura]]))/(1-EXP(-(Tabella3[Planck h]*Tabella9386681[Frequenza1])/(Tabella3[Boltzmann k]*Tabella8376580[[#This Row],[Temperatura]])))</f>
        <v>0.39559051364415032</v>
      </c>
      <c r="C27" s="51">
        <f>Tabella8376580[[#This Row],[Qvib1]]</f>
        <v>0.39559051364415032</v>
      </c>
    </row>
    <row r="28" spans="1:7" x14ac:dyDescent="0.35">
      <c r="A28" s="18">
        <v>1600</v>
      </c>
      <c r="B28" s="32" cm="1">
        <f t="array" ref="B28">EXP(-(Tabella3[Planck h]*Tabella9386681[Frequenza1])/(Tabella3[Boltzmann k]*2*Tabella8376580[[#This Row],[Temperatura]]))/(1-EXP(-(Tabella3[Planck h]*Tabella9386681[Frequenza1])/(Tabella3[Boltzmann k]*Tabella8376580[[#This Row],[Temperatura]])))</f>
        <v>0.43095533252497775</v>
      </c>
      <c r="C28" s="51">
        <f>Tabella8376580[[#This Row],[Qvib1]]</f>
        <v>0.43095533252497775</v>
      </c>
    </row>
    <row r="29" spans="1:7" x14ac:dyDescent="0.35">
      <c r="A29" s="18">
        <v>1700</v>
      </c>
      <c r="B29" s="32" cm="1">
        <f t="array" ref="B29">EXP(-(Tabella3[Planck h]*Tabella9386681[Frequenza1])/(Tabella3[Boltzmann k]*2*Tabella8376580[[#This Row],[Temperatura]]))/(1-EXP(-(Tabella3[Planck h]*Tabella9386681[Frequenza1])/(Tabella3[Boltzmann k]*Tabella8376580[[#This Row],[Temperatura]])))</f>
        <v>0.46602227713883054</v>
      </c>
      <c r="C29" s="51">
        <f>Tabella8376580[[#This Row],[Qvib1]]</f>
        <v>0.46602227713883054</v>
      </c>
    </row>
    <row r="30" spans="1:7" x14ac:dyDescent="0.35">
      <c r="A30" s="18">
        <v>1800</v>
      </c>
      <c r="B30" s="32" cm="1">
        <f t="array" ref="B30">EXP(-(Tabella3[Planck h]*Tabella9386681[Frequenza1])/(Tabella3[Boltzmann k]*2*Tabella8376580[[#This Row],[Temperatura]]))/(1-EXP(-(Tabella3[Planck h]*Tabella9386681[Frequenza1])/(Tabella3[Boltzmann k]*Tabella8376580[[#This Row],[Temperatura]])))</f>
        <v>0.50081461095308266</v>
      </c>
      <c r="C30" s="51">
        <f>Tabella8376580[[#This Row],[Qvib1]]</f>
        <v>0.50081461095308266</v>
      </c>
    </row>
    <row r="31" spans="1:7" x14ac:dyDescent="0.35">
      <c r="A31" s="18">
        <v>1900</v>
      </c>
      <c r="B31" s="32" cm="1">
        <f t="array" ref="B31">EXP(-(Tabella3[Planck h]*Tabella9386681[Frequenza1])/(Tabella3[Boltzmann k]*2*Tabella8376580[[#This Row],[Temperatura]]))/(1-EXP(-(Tabella3[Planck h]*Tabella9386681[Frequenza1])/(Tabella3[Boltzmann k]*Tabella8376580[[#This Row],[Temperatura]])))</f>
        <v>0.53535608044660232</v>
      </c>
      <c r="C31" s="51">
        <f>Tabella8376580[[#This Row],[Qvib1]]</f>
        <v>0.53535608044660232</v>
      </c>
      <c r="G31" s="32"/>
    </row>
    <row r="32" spans="1:7" x14ac:dyDescent="0.35">
      <c r="A32" s="18">
        <v>2000</v>
      </c>
      <c r="B32" s="32" cm="1">
        <f t="array" ref="B32">EXP(-(Tabella3[Planck h]*Tabella9386681[Frequenza1])/(Tabella3[Boltzmann k]*2*Tabella8376580[[#This Row],[Temperatura]]))/(1-EXP(-(Tabella3[Planck h]*Tabella9386681[Frequenza1])/(Tabella3[Boltzmann k]*Tabella8376580[[#This Row],[Temperatura]])))</f>
        <v>0.56966957328013501</v>
      </c>
      <c r="C32" s="51">
        <f>Tabella8376580[[#This Row],[Qvib1]]</f>
        <v>0.56966957328013501</v>
      </c>
    </row>
    <row r="33" spans="1:6" x14ac:dyDescent="0.35">
      <c r="A33" s="46" t="s">
        <v>122</v>
      </c>
      <c r="B33" s="114">
        <f>B32-B15</f>
        <v>0.5647477875708935</v>
      </c>
      <c r="C33" s="114">
        <f>C32-C15</f>
        <v>0.5647477875708935</v>
      </c>
    </row>
    <row r="34" spans="1:6" x14ac:dyDescent="0.35">
      <c r="A34" s="18" t="s">
        <v>83</v>
      </c>
      <c r="B34" s="18" t="s">
        <v>37</v>
      </c>
      <c r="E34" s="18" t="s">
        <v>49</v>
      </c>
    </row>
    <row r="35" spans="1:6" x14ac:dyDescent="0.35">
      <c r="A35" s="54"/>
      <c r="B35" s="8">
        <v>3168.79</v>
      </c>
      <c r="E35" s="55">
        <f>B35</f>
        <v>3168.79</v>
      </c>
    </row>
    <row r="36" spans="1:6" x14ac:dyDescent="0.35">
      <c r="A36" s="56"/>
      <c r="B36" s="9"/>
      <c r="D36" s="57" t="s">
        <v>6</v>
      </c>
      <c r="E36" s="57" t="s">
        <v>39</v>
      </c>
      <c r="F36" s="57" t="s">
        <v>48</v>
      </c>
    </row>
    <row r="37" spans="1:6" x14ac:dyDescent="0.35">
      <c r="A37" s="56"/>
      <c r="B37" s="9"/>
      <c r="D37" s="58">
        <v>298.14999999999998</v>
      </c>
      <c r="E37" s="32" cm="1">
        <f t="array" ref="E37">(    (Tabella12427085[Theta vib 1]/Tabella11416984[[#This Row],[Temperatura]]) /(EXP(Tabella12427085[Theta vib 1]/Tabella11416984[[#This Row],[Temperatura]])-1) - LN(1-EXP(-Tabella12427085[Theta vib 1]/Tabella11416984[[#This Row],[Temperatura]]))    )</f>
        <v>2.8168542281944541E-4</v>
      </c>
      <c r="F37" s="32" cm="1">
        <f t="array" ref="F37">Tabella11416984[[#This Row],[S vib 1]]*Tabella3331776[Rydberg R]</f>
        <v>2.342062918067803E-3</v>
      </c>
    </row>
    <row r="38" spans="1:6" x14ac:dyDescent="0.35">
      <c r="A38" s="56"/>
      <c r="B38" s="9"/>
      <c r="D38" s="58">
        <v>400</v>
      </c>
      <c r="E38" s="59" cm="1">
        <f t="array" ref="E38">(    (Tabella12427085[Theta vib 1]/Tabella11416984[[#This Row],[Temperatura]]) /(EXP(Tabella12427085[Theta vib 1]/Tabella11416984[[#This Row],[Temperatura]])-1) - LN(1-EXP(-Tabella12427085[Theta vib 1]/Tabella11416984[[#This Row],[Temperatura]]))    )</f>
        <v>3.2369775408684709E-3</v>
      </c>
      <c r="F38" s="32" cm="1">
        <f t="array" ref="F38">Tabella11416984[[#This Row],[S vib 1]]*Tabella3331776[Rydberg R]</f>
        <v>2.6913728758856469E-2</v>
      </c>
    </row>
    <row r="39" spans="1:6" x14ac:dyDescent="0.35">
      <c r="A39" s="56"/>
      <c r="B39" s="9"/>
      <c r="D39" s="58">
        <v>500</v>
      </c>
      <c r="E39" s="59" cm="1">
        <f t="array" ref="E39">(    (Tabella12427085[Theta vib 1]/Tabella11416984[[#This Row],[Temperatura]]) /(EXP(Tabella12427085[Theta vib 1]/Tabella11416984[[#This Row],[Temperatura]])-1) - LN(1-EXP(-Tabella12427085[Theta vib 1]/Tabella11416984[[#This Row],[Temperatura]]))    )</f>
        <v>1.2998499352587534E-2</v>
      </c>
      <c r="F39" s="32" cm="1">
        <f t="array" ref="F39">Tabella11416984[[#This Row],[S vib 1]]*Tabella3331776[Rydberg R]</f>
        <v>0.10807553695718626</v>
      </c>
    </row>
    <row r="40" spans="1:6" x14ac:dyDescent="0.35">
      <c r="A40" s="56"/>
      <c r="B40" s="9"/>
      <c r="D40" s="58">
        <v>600</v>
      </c>
      <c r="E40" s="58" cm="1">
        <f t="array" ref="E40">(    (Tabella12427085[Theta vib 1]/Tabella11416984[[#This Row],[Temperatura]]) /(EXP(Tabella12427085[Theta vib 1]/Tabella11416984[[#This Row],[Temperatura]])-1) - LN(1-EXP(-Tabella12427085[Theta vib 1]/Tabella11416984[[#This Row],[Temperatura]]))    )</f>
        <v>3.209535569926239E-2</v>
      </c>
      <c r="F40" s="32" cm="1">
        <f t="array" ref="F40">Tabella11416984[[#This Row],[S vib 1]]*Tabella3331776[Rydberg R]</f>
        <v>0.26685563517293043</v>
      </c>
    </row>
    <row r="41" spans="1:6" x14ac:dyDescent="0.35">
      <c r="B41" s="9"/>
      <c r="D41" s="58">
        <v>700</v>
      </c>
      <c r="E41" s="58" cm="1">
        <f t="array" ref="E41">(    (Tabella12427085[Theta vib 1]/Tabella11416984[[#This Row],[Temperatura]]) /(EXP(Tabella12427085[Theta vib 1]/Tabella11416984[[#This Row],[Temperatura]])-1) - LN(1-EXP(-Tabella12427085[Theta vib 1]/Tabella11416984[[#This Row],[Temperatura]]))    )</f>
        <v>6.0365661131621236E-2</v>
      </c>
      <c r="F41" s="32" cm="1">
        <f t="array" ref="F41">Tabella11416984[[#This Row],[S vib 1]]*Tabella3331776[Rydberg R]</f>
        <v>0.50190803288972041</v>
      </c>
    </row>
    <row r="42" spans="1:6" x14ac:dyDescent="0.35">
      <c r="B42" s="9"/>
      <c r="D42" s="58">
        <v>800</v>
      </c>
      <c r="E42" s="58" cm="1">
        <f t="array" ref="E42">(    (Tabella12427085[Theta vib 1]/Tabella11416984[[#This Row],[Temperatura]]) /(EXP(Tabella12427085[Theta vib 1]/Tabella11416984[[#This Row],[Temperatura]])-1) - LN(1-EXP(-Tabella12427085[Theta vib 1]/Tabella11416984[[#This Row],[Temperatura]]))    )</f>
        <v>9.6126688532031337E-2</v>
      </c>
      <c r="F42" s="32" cm="1">
        <f t="array" ref="F42">Tabella11416984[[#This Row],[S vib 1]]*Tabella3331776[Rydberg R]</f>
        <v>0.79924175839170386</v>
      </c>
    </row>
    <row r="43" spans="1:6" x14ac:dyDescent="0.35">
      <c r="A43" s="60"/>
      <c r="B43" s="9"/>
      <c r="D43" s="58">
        <v>900</v>
      </c>
      <c r="E43" s="58" cm="1">
        <f t="array" ref="E43">(    (Tabella12427085[Theta vib 1]/Tabella11416984[[#This Row],[Temperatura]]) /(EXP(Tabella12427085[Theta vib 1]/Tabella11416984[[#This Row],[Temperatura]])-1) - LN(1-EXP(-Tabella12427085[Theta vib 1]/Tabella11416984[[#This Row],[Temperatura]]))    )</f>
        <v>0.13731729770566869</v>
      </c>
      <c r="F43" s="32" cm="1">
        <f t="array" ref="F43">Tabella11416984[[#This Row],[S vib 1]]*Tabella3331776[Rydberg R]</f>
        <v>1.1417195385785597</v>
      </c>
    </row>
    <row r="44" spans="1:6" x14ac:dyDescent="0.35">
      <c r="A44" s="60"/>
      <c r="B44" s="8"/>
      <c r="D44" s="58">
        <v>1000</v>
      </c>
      <c r="E44" s="58" cm="1">
        <f t="array" ref="E44">(    (Tabella12427085[Theta vib 1]/Tabella11416984[[#This Row],[Temperatura]]) /(EXP(Tabella12427085[Theta vib 1]/Tabella11416984[[#This Row],[Temperatura]])-1) - LN(1-EXP(-Tabella12427085[Theta vib 1]/Tabella11416984[[#This Row],[Temperatura]]))    )</f>
        <v>0.18207635259113444</v>
      </c>
      <c r="F44" s="32" cm="1">
        <f t="array" ref="F44">Tabella11416984[[#This Row],[S vib 1]]*Tabella3331776[Rydberg R]</f>
        <v>1.5138670272407748</v>
      </c>
    </row>
    <row r="45" spans="1:6" x14ac:dyDescent="0.35">
      <c r="A45" s="60"/>
      <c r="B45" s="9"/>
      <c r="D45" s="58">
        <v>1100</v>
      </c>
      <c r="E45" s="58" cm="1">
        <f t="array" ref="E45">(    (Tabella12427085[Theta vib 1]/Tabella11416984[[#This Row],[Temperatura]]) /(EXP(Tabella12427085[Theta vib 1]/Tabella11416984[[#This Row],[Temperatura]])-1) - LN(1-EXP(-Tabella12427085[Theta vib 1]/Tabella11416984[[#This Row],[Temperatura]]))    )</f>
        <v>0.22892463842720187</v>
      </c>
      <c r="F45" s="32" cm="1">
        <f t="array" ref="F45">Tabella11416984[[#This Row],[S vib 1]]*Tabella3331776[Rydberg R]</f>
        <v>1.9033853485421364</v>
      </c>
    </row>
    <row r="46" spans="1:6" x14ac:dyDescent="0.35">
      <c r="A46" s="60"/>
      <c r="B46" s="9"/>
      <c r="D46" s="58">
        <v>1200</v>
      </c>
      <c r="E46" s="58" cm="1">
        <f t="array" ref="E46">(    (Tabella12427085[Theta vib 1]/Tabella11416984[[#This Row],[Temperatura]]) /(EXP(Tabella12427085[Theta vib 1]/Tabella11416984[[#This Row],[Temperatura]])-1) - LN(1-EXP(-Tabella12427085[Theta vib 1]/Tabella11416984[[#This Row],[Temperatura]]))    )</f>
        <v>0.27676258750575733</v>
      </c>
      <c r="F46" s="32" cm="1">
        <f t="array" ref="F46">Tabella11416984[[#This Row],[S vib 1]]*Tabella3331776[Rydberg R]</f>
        <v>2.3011321878775735</v>
      </c>
    </row>
    <row r="47" spans="1:6" x14ac:dyDescent="0.35">
      <c r="A47" s="60"/>
      <c r="B47" s="9"/>
      <c r="D47" s="58">
        <v>1300</v>
      </c>
      <c r="E47" s="58" cm="1">
        <f t="array" ref="E47">(    (Tabella12427085[Theta vib 1]/Tabella11416984[[#This Row],[Temperatura]]) /(EXP(Tabella12427085[Theta vib 1]/Tabella11416984[[#This Row],[Temperatura]])-1) - LN(1-EXP(-Tabella12427085[Theta vib 1]/Tabella11416984[[#This Row],[Temperatura]]))    )</f>
        <v>0.3248055474954647</v>
      </c>
      <c r="F47" s="32" cm="1">
        <f t="array" ref="F47">Tabella11416984[[#This Row],[S vib 1]]*Tabella3331776[Rydberg R]</f>
        <v>2.700583582770065</v>
      </c>
    </row>
    <row r="48" spans="1:6" x14ac:dyDescent="0.35">
      <c r="A48" s="60"/>
      <c r="B48" s="9"/>
      <c r="D48" s="58">
        <v>1400</v>
      </c>
      <c r="E48" s="58" cm="1">
        <f t="array" ref="E48">(    (Tabella12427085[Theta vib 1]/Tabella11416984[[#This Row],[Temperatura]]) /(EXP(Tabella12427085[Theta vib 1]/Tabella11416984[[#This Row],[Temperatura]])-1) - LN(1-EXP(-Tabella12427085[Theta vib 1]/Tabella11416984[[#This Row],[Temperatura]]))    )</f>
        <v>0.3725100763406532</v>
      </c>
      <c r="F48" s="32" cm="1">
        <f t="array" ref="F48">Tabella11416984[[#This Row],[S vib 1]]*Tabella3331776[Rydberg R]</f>
        <v>3.0972211045626872</v>
      </c>
    </row>
    <row r="49" spans="1:14" x14ac:dyDescent="0.35">
      <c r="A49" s="60"/>
      <c r="B49" s="9"/>
      <c r="D49" s="58">
        <v>1500</v>
      </c>
      <c r="E49" s="58" cm="1">
        <f t="array" ref="E49">(    (Tabella12427085[Theta vib 1]/Tabella11416984[[#This Row],[Temperatura]]) /(EXP(Tabella12427085[Theta vib 1]/Tabella11416984[[#This Row],[Temperatura]])-1) - LN(1-EXP(-Tabella12427085[Theta vib 1]/Tabella11416984[[#This Row],[Temperatura]]))    )</f>
        <v>0.41951008686226765</v>
      </c>
      <c r="F49" s="32" cm="1">
        <f t="array" ref="F49">Tabella11416984[[#This Row],[S vib 1]]*Tabella3331776[Rydberg R]</f>
        <v>3.4880009350902572</v>
      </c>
    </row>
    <row r="50" spans="1:14" x14ac:dyDescent="0.35">
      <c r="A50" s="60"/>
      <c r="B50" s="9"/>
      <c r="D50" s="58">
        <v>1600</v>
      </c>
      <c r="E50" s="58" cm="1">
        <f t="array" ref="E50">(    (Tabella12427085[Theta vib 1]/Tabella11416984[[#This Row],[Temperatura]]) /(EXP(Tabella12427085[Theta vib 1]/Tabella11416984[[#This Row],[Temperatura]])-1) - LN(1-EXP(-Tabella12427085[Theta vib 1]/Tabella11416984[[#This Row],[Temperatura]]))    )</f>
        <v>0.46556695373697493</v>
      </c>
      <c r="F50" s="32" cm="1">
        <f t="array" ref="F50">Tabella11416984[[#This Row],[S vib 1]]*Tabella3331776[Rydberg R]</f>
        <v>3.8709390330222138</v>
      </c>
    </row>
    <row r="51" spans="1:14" x14ac:dyDescent="0.35">
      <c r="B51" s="9"/>
      <c r="D51" s="58">
        <v>1700</v>
      </c>
      <c r="E51" s="58" cm="1">
        <f t="array" ref="E51">(    (Tabella12427085[Theta vib 1]/Tabella11416984[[#This Row],[Temperatura]]) /(EXP(Tabella12427085[Theta vib 1]/Tabella11416984[[#This Row],[Temperatura]])-1) - LN(1-EXP(-Tabella12427085[Theta vib 1]/Tabella11416984[[#This Row],[Temperatura]]))    )</f>
        <v>0.51053239228903591</v>
      </c>
      <c r="F51" s="32" cm="1">
        <f t="array" ref="F51">Tabella11416984[[#This Row],[S vib 1]]*Tabella3331776[Rydberg R]</f>
        <v>4.2448024909653004</v>
      </c>
    </row>
    <row r="52" spans="1:14" x14ac:dyDescent="0.35">
      <c r="B52" s="9"/>
      <c r="D52" s="58">
        <v>1800</v>
      </c>
      <c r="E52" s="58" cm="1">
        <f t="array" ref="E52">(    (Tabella12427085[Theta vib 1]/Tabella11416984[[#This Row],[Temperatura]]) /(EXP(Tabella12427085[Theta vib 1]/Tabella11416984[[#This Row],[Temperatura]])-1) - LN(1-EXP(-Tabella12427085[Theta vib 1]/Tabella11416984[[#This Row],[Temperatura]]))    )</f>
        <v>0.55432152561716896</v>
      </c>
      <c r="F52" s="32" cm="1">
        <f t="array" ref="F52">Tabella11416984[[#This Row],[S vib 1]]*Tabella3331776[Rydberg R]</f>
        <v>4.6088856030966809</v>
      </c>
    </row>
    <row r="53" spans="1:14" x14ac:dyDescent="0.35">
      <c r="D53" s="58">
        <v>1900</v>
      </c>
      <c r="E53" s="58" cm="1">
        <f t="array" ref="E53">(    (Tabella12427085[Theta vib 1]/Tabella11416984[[#This Row],[Temperatura]]) /(EXP(Tabella12427085[Theta vib 1]/Tabella11416984[[#This Row],[Temperatura]])-1) - LN(1-EXP(-Tabella12427085[Theta vib 1]/Tabella11416984[[#This Row],[Temperatura]]))    )</f>
        <v>0.59689359955054733</v>
      </c>
      <c r="F53" s="32" cm="1">
        <f t="array" ref="F53">Tabella11416984[[#This Row],[S vib 1]]*Tabella3331776[Rydberg R]</f>
        <v>4.962849520386488</v>
      </c>
    </row>
    <row r="54" spans="1:14" x14ac:dyDescent="0.35">
      <c r="D54" s="58">
        <v>2000</v>
      </c>
      <c r="E54" s="58" cm="1">
        <f t="array" ref="E54">(    (Tabella12427085[Theta vib 1]/Tabella11416984[[#This Row],[Temperatura]]) /(EXP(Tabella12427085[Theta vib 1]/Tabella11416984[[#This Row],[Temperatura]])-1) - LN(1-EXP(-Tabella12427085[Theta vib 1]/Tabella11416984[[#This Row],[Temperatura]]))    )</f>
        <v>0.63823826739374478</v>
      </c>
      <c r="F54" s="32" cm="1">
        <f t="array" ref="F54">Tabella11416984[[#This Row],[S vib 1]]*Tabella3331776[Rydberg R]</f>
        <v>5.3066082156223793</v>
      </c>
    </row>
    <row r="55" spans="1:14" x14ac:dyDescent="0.35">
      <c r="D55" s="46" t="s">
        <v>122</v>
      </c>
      <c r="E55" s="115">
        <f>E54-E37</f>
        <v>0.63795658197092531</v>
      </c>
      <c r="F55" s="59"/>
    </row>
    <row r="57" spans="1:14" x14ac:dyDescent="0.3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35">
      <c r="A58" s="18">
        <v>298.14999999999998</v>
      </c>
      <c r="B58" s="32" cm="1">
        <f t="array" ref="B58">(Tabella3331776[Boltzmann k]*Tabella5356378[[#This Row],[Temperatura]])/101325</f>
        <v>4.0625758633111278E-26</v>
      </c>
      <c r="C58" s="32" cm="1">
        <f t="array" ref="C58">POWER((2*Tabella3331776[Pi Greco]*Tabella3331776[Massa '[kg']]*Tabella3331776[Boltzmann k]*Tabella5356378[[#This Row],[Temperatura]])/(POWER(Tabella3331776[Planck h],2)),1.5)*Tabella5356378[[#This Row],[Volume]]</f>
        <v>5819174.2446465604</v>
      </c>
      <c r="D58" s="32">
        <f t="shared" ref="D58:D75" si="0">C15</f>
        <v>4.9217857092415107E-3</v>
      </c>
      <c r="E58" s="32">
        <f>Tabella5356378[[#This Row],[Temperatura]]/$G$7</f>
        <v>109.00363040768052</v>
      </c>
      <c r="F58" s="18">
        <v>1</v>
      </c>
      <c r="H58" s="45">
        <v>298.14999999999998</v>
      </c>
      <c r="I58" s="18" cm="1">
        <f t="array" ref="I58">POWER((2*PI()*Tabella3331776[Massa '[kg']]*Tabella3331776[Boltzmann k]*Tabella1396782[[#This Row],[Temperatura]])/(POWER(Tabella3331776[Planck h],2)),1.5)</f>
        <v>1.4323853733290656E+32</v>
      </c>
      <c r="J58" s="32" cm="1">
        <f t="array" ref="J58">(Tabella1396782[[#This Row],[Temperatura]]*Tabella3331776[Boltzmann k])/101325</f>
        <v>4.0625758633111278E-26</v>
      </c>
      <c r="K58" s="32" cm="1">
        <f t="array" ref="K58">Tabella3331776[Rydberg R]*(2.5+LN(Tabella1396782[[#This Row],[Volume]]*Tabella1396782[[#This Row],[Translational Factor]]))</f>
        <v>150.29778805381704</v>
      </c>
      <c r="M58" s="45">
        <v>298.14999999999998</v>
      </c>
      <c r="N58" s="18" cm="1">
        <f t="array" ref="N58">Tabella33317[Rydberg R]*(1+LN(Tabella13437186[[#This Row],[Temperatura]]/(Tabella63664[Simmetria]*$G$7)))</f>
        <v>41.557629812264992</v>
      </c>
    </row>
    <row r="59" spans="1:14" x14ac:dyDescent="0.35">
      <c r="A59" s="18">
        <v>400</v>
      </c>
      <c r="B59" s="32" cm="1">
        <f t="array" ref="B59">(Tabella3331776[Boltzmann k]*Tabella5356378[[#This Row],[Temperatura]])/101325</f>
        <v>5.4503784850727862E-26</v>
      </c>
      <c r="C59" s="32" cm="1">
        <f t="array" ref="C59">POWER((2*Tabella3331776[Pi Greco]*Tabella3331776[Massa '[kg']]*Tabella3331776[Boltzmann k]*Tabella5356378[[#This Row],[Temperatura]])/(POWER(Tabella3331776[Planck h],2)),1.5)*Tabella5356378[[#This Row],[Volume]]</f>
        <v>12131773.841425661</v>
      </c>
      <c r="D59" s="32">
        <f t="shared" si="0"/>
        <v>1.9050906813978807E-2</v>
      </c>
      <c r="E59" s="32">
        <f>Tabella5356378[[#This Row],[Temperatura]]/$G$7</f>
        <v>146.23998713088113</v>
      </c>
      <c r="F59" s="18">
        <v>1</v>
      </c>
      <c r="H59" s="45">
        <v>400</v>
      </c>
      <c r="I59" s="18" cm="1">
        <f t="array" ref="I59">POWER((2*PI()*Tabella3331776[Massa '[kg']]*Tabella3331776[Boltzmann k]*Tabella1396782[[#This Row],[Temperatura]])/(POWER(Tabella3331776[Planck h],2)),1.5)</f>
        <v>2.2258589700974958E+32</v>
      </c>
      <c r="J59" s="32" cm="1">
        <f t="array" ref="J59">(Tabella1396782[[#This Row],[Temperatura]]*Tabella3331776[Boltzmann k])/101325</f>
        <v>5.4503784850727862E-26</v>
      </c>
      <c r="K59" s="32" cm="1">
        <f t="array" ref="K59">Tabella3331776[Rydberg R]*(2.5+LN(Tabella1396782[[#This Row],[Volume]]*Tabella1396782[[#This Row],[Translational Factor]]))</f>
        <v>156.4061708037236</v>
      </c>
      <c r="M59" s="45">
        <v>400</v>
      </c>
      <c r="N59" s="18" cm="1">
        <f t="array" ref="N59">Tabella33317[Rydberg R]*(1+LN(Tabella13437186[[#This Row],[Temperatura]]/(Tabella63664[Simmetria]*$G$7)))</f>
        <v>44.00098291222762</v>
      </c>
    </row>
    <row r="60" spans="1:14" x14ac:dyDescent="0.35">
      <c r="A60" s="18">
        <v>500</v>
      </c>
      <c r="B60" s="32" cm="1">
        <f t="array" ref="B60">(Tabella3331776[Boltzmann k]*Tabella5356378[[#This Row],[Temperatura]])/101325</f>
        <v>6.8129731063409828E-26</v>
      </c>
      <c r="C60" s="32" cm="1">
        <f t="array" ref="C60">POWER((2*Tabella3331776[Pi Greco]*Tabella3331776[Massa '[kg']]*Tabella3331776[Boltzmann k]*Tabella5356378[[#This Row],[Temperatura]])/(POWER(Tabella3331776[Planck h],2)),1.5)*Tabella5356378[[#This Row],[Volume]]</f>
        <v>21193336.716469765</v>
      </c>
      <c r="D60" s="32">
        <f t="shared" si="0"/>
        <v>4.2128426383191024E-2</v>
      </c>
      <c r="E60" s="32">
        <f>Tabella5356378[[#This Row],[Temperatura]]/$G$7</f>
        <v>182.79998391360141</v>
      </c>
      <c r="F60" s="18">
        <v>1</v>
      </c>
      <c r="H60" s="45">
        <v>500</v>
      </c>
      <c r="I60" s="18" cm="1">
        <f t="array" ref="I60">POWER((2*PI()*Tabella3331776[Massa '[kg']]*Tabella3331776[Boltzmann k]*Tabella1396782[[#This Row],[Temperatura]])/(POWER(Tabella3331776[Planck h],2)),1.5)</f>
        <v>3.1107324784160186E+32</v>
      </c>
      <c r="J60" s="32" cm="1">
        <f t="array" ref="J60">(Tabella1396782[[#This Row],[Temperatura]]*Tabella3331776[Boltzmann k])/101325</f>
        <v>6.8129731063409828E-26</v>
      </c>
      <c r="K60" s="32" cm="1">
        <f t="array" ref="K60">Tabella3331776[Rydberg R]*(2.5+LN(Tabella1396782[[#This Row],[Volume]]*Tabella1396782[[#This Row],[Translational Factor]]))</f>
        <v>161.04446759334792</v>
      </c>
      <c r="M60" s="45">
        <v>500</v>
      </c>
      <c r="N60" s="18" cm="1">
        <f t="array" ref="N60">Tabella33317[Rydberg R]*(1+LN(Tabella13437186[[#This Row],[Temperatura]]/(Tabella63664[Simmetria]*$G$7)))</f>
        <v>45.856301628077382</v>
      </c>
    </row>
    <row r="61" spans="1:14" x14ac:dyDescent="0.35">
      <c r="A61" s="18">
        <v>600</v>
      </c>
      <c r="B61" s="32" cm="1">
        <f t="array" ref="B61">(Tabella3331776[Boltzmann k]*Tabella5356378[[#This Row],[Temperatura]])/101325</f>
        <v>8.1755677276091782E-26</v>
      </c>
      <c r="C61" s="32" cm="1">
        <f t="array" ref="C61">POWER((2*Tabella3331776[Pi Greco]*Tabella3331776[Massa '[kg']]*Tabella3331776[Boltzmann k]*Tabella5356378[[#This Row],[Temperatura]])/(POWER(Tabella3331776[Planck h],2)),1.5)*Tabella5356378[[#This Row],[Volume]]</f>
        <v>33431237.534629393</v>
      </c>
      <c r="D61" s="32">
        <f t="shared" si="0"/>
        <v>7.1678081255336132E-2</v>
      </c>
      <c r="E61" s="32">
        <f>Tabella5356378[[#This Row],[Temperatura]]/$G$7</f>
        <v>219.35998069632168</v>
      </c>
      <c r="F61" s="18">
        <v>1</v>
      </c>
      <c r="H61" s="45">
        <v>600</v>
      </c>
      <c r="I61" s="18" cm="1">
        <f t="array" ref="I61">POWER((2*PI()*Tabella3331776[Massa '[kg']]*Tabella3331776[Boltzmann k]*Tabella1396782[[#This Row],[Temperatura]])/(POWER(Tabella3331776[Planck h],2)),1.5)</f>
        <v>4.0891640371017825E+32</v>
      </c>
      <c r="J61" s="32" cm="1">
        <f t="array" ref="J61">(Tabella1396782[[#This Row],[Temperatura]]*Tabella3331776[Boltzmann k])/101325</f>
        <v>8.1755677276091782E-26</v>
      </c>
      <c r="K61" s="32" cm="1">
        <f t="array" ref="K61">Tabella3331776[Rydberg R]*(2.5+LN(Tabella1396782[[#This Row],[Volume]]*Tabella1396782[[#This Row],[Translational Factor]]))</f>
        <v>164.83423201439518</v>
      </c>
      <c r="M61" s="45">
        <v>600</v>
      </c>
      <c r="N61" s="18" cm="1">
        <f t="array" ref="N61">Tabella33317[Rydberg R]*(1+LN(Tabella13437186[[#This Row],[Temperatura]]/(Tabella63664[Simmetria]*$G$7)))</f>
        <v>47.372207396496286</v>
      </c>
    </row>
    <row r="62" spans="1:14" x14ac:dyDescent="0.35">
      <c r="A62" s="18">
        <v>700</v>
      </c>
      <c r="B62" s="32" cm="1">
        <f t="array" ref="B62">(Tabella3331776[Boltzmann k]*Tabella5356378[[#This Row],[Temperatura]])/101325</f>
        <v>9.5381623488773759E-26</v>
      </c>
      <c r="C62" s="32" cm="1">
        <f t="array" ref="C62">POWER((2*Tabella3331776[Pi Greco]*Tabella3331776[Massa '[kg']]*Tabella3331776[Boltzmann k]*Tabella5356378[[#This Row],[Temperatura]])/(POWER(Tabella3331776[Planck h],2)),1.5)*Tabella5356378[[#This Row],[Volume]]</f>
        <v>49149536.586814106</v>
      </c>
      <c r="D62" s="32">
        <f t="shared" si="0"/>
        <v>0.10513006370041687</v>
      </c>
      <c r="E62" s="32">
        <f>Tabella5356378[[#This Row],[Temperatura]]/$G$7</f>
        <v>255.91997747904199</v>
      </c>
      <c r="F62" s="18">
        <v>1</v>
      </c>
      <c r="H62" s="45">
        <v>700</v>
      </c>
      <c r="I62" s="18" cm="1">
        <f t="array" ref="I62">POWER((2*PI()*Tabella3331776[Massa '[kg']]*Tabella3331776[Boltzmann k]*Tabella1396782[[#This Row],[Temperatura]])/(POWER(Tabella3331776[Planck h],2)),1.5)</f>
        <v>5.1529356273327553E+32</v>
      </c>
      <c r="J62" s="32" cm="1">
        <f t="array" ref="J62">(Tabella1396782[[#This Row],[Temperatura]]*Tabella3331776[Boltzmann k])/101325</f>
        <v>9.5381623488773759E-26</v>
      </c>
      <c r="K62" s="32" cm="1">
        <f t="array" ref="K62">Tabella3331776[Rydberg R]*(2.5+LN(Tabella1396782[[#This Row],[Volume]]*Tabella1396782[[#This Row],[Translational Factor]]))</f>
        <v>168.03843217680276</v>
      </c>
      <c r="M62" s="45">
        <v>700</v>
      </c>
      <c r="N62" s="18" cm="1">
        <f t="array" ref="N62">Tabella33317[Rydberg R]*(1+LN(Tabella13437186[[#This Row],[Temperatura]]/(Tabella63664[Simmetria]*$G$7)))</f>
        <v>48.653887461459306</v>
      </c>
    </row>
    <row r="63" spans="1:14" x14ac:dyDescent="0.35">
      <c r="A63" s="18">
        <v>800</v>
      </c>
      <c r="B63" s="32" cm="1">
        <f t="array" ref="B63">(Tabella3331776[Boltzmann k]*Tabella5356378[[#This Row],[Temperatura]])/101325</f>
        <v>1.0900756970145572E-25</v>
      </c>
      <c r="C63" s="32" cm="1">
        <f t="array" ref="C63">POWER((2*Tabella3331776[Pi Greco]*Tabella3331776[Massa '[kg']]*Tabella3331776[Boltzmann k]*Tabella5356378[[#This Row],[Temperatura]])/(POWER(Tabella3331776[Planck h],2)),1.5)*Tabella5356378[[#This Row],[Volume]]</f>
        <v>68627676.408749431</v>
      </c>
      <c r="D63" s="32">
        <f t="shared" si="0"/>
        <v>0.14067908323359954</v>
      </c>
      <c r="E63" s="32">
        <f>Tabella5356378[[#This Row],[Temperatura]]/$G$7</f>
        <v>292.47997426176227</v>
      </c>
      <c r="F63" s="18">
        <v>1</v>
      </c>
      <c r="H63" s="45">
        <v>800</v>
      </c>
      <c r="I63" s="18" cm="1">
        <f t="array" ref="I63">POWER((2*PI()*Tabella3331776[Massa '[kg']]*Tabella3331776[Boltzmann k]*Tabella1396782[[#This Row],[Temperatura]])/(POWER(Tabella3331776[Planck h],2)),1.5)</f>
        <v>6.295679886883393E+32</v>
      </c>
      <c r="J63" s="32" cm="1">
        <f t="array" ref="J63">(Tabella1396782[[#This Row],[Temperatura]]*Tabella3331776[Boltzmann k])/101325</f>
        <v>1.0900756970145572E-25</v>
      </c>
      <c r="K63" s="32" cm="1">
        <f t="array" ref="K63">Tabella3331776[Rydberg R]*(2.5+LN(Tabella1396782[[#This Row],[Volume]]*Tabella1396782[[#This Row],[Translational Factor]]))</f>
        <v>170.814036607568</v>
      </c>
      <c r="M63" s="45">
        <v>800</v>
      </c>
      <c r="N63" s="18" cm="1">
        <f t="array" ref="N63">Tabella33317[Rydberg R]*(1+LN(Tabella13437186[[#This Row],[Temperatura]]/(Tabella63664[Simmetria]*$G$7)))</f>
        <v>49.764129233765381</v>
      </c>
    </row>
    <row r="64" spans="1:14" x14ac:dyDescent="0.35">
      <c r="A64" s="18">
        <v>900</v>
      </c>
      <c r="B64" s="32" cm="1">
        <f t="array" ref="B64">(Tabella3331776[Boltzmann k]*Tabella5356378[[#This Row],[Temperatura]])/101325</f>
        <v>1.2263351591413768E-25</v>
      </c>
      <c r="C64" s="32" cm="1">
        <f t="array" ref="C64">POWER((2*Tabella3331776[Pi Greco]*Tabella3331776[Massa '[kg']]*Tabella3331776[Boltzmann k]*Tabella5356378[[#This Row],[Temperatura]])/(POWER(Tabella3331776[Planck h],2)),1.5)*Tabella5356378[[#This Row],[Volume]]</f>
        <v>92125657.608326241</v>
      </c>
      <c r="D64" s="32">
        <f t="shared" si="0"/>
        <v>0.17720876650390932</v>
      </c>
      <c r="E64" s="32">
        <f>Tabella5356378[[#This Row],[Temperatura]]/$G$7</f>
        <v>329.03997104448257</v>
      </c>
      <c r="F64" s="18">
        <v>1</v>
      </c>
      <c r="H64" s="45">
        <v>900</v>
      </c>
      <c r="I64" s="18" cm="1">
        <f t="array" ref="I64">POWER((2*PI()*Tabella3331776[Massa '[kg']]*Tabella3331776[Boltzmann k]*Tabella1396782[[#This Row],[Temperatura]])/(POWER(Tabella3331776[Planck h],2)),1.5)</f>
        <v>7.5122740240790596E+32</v>
      </c>
      <c r="J64" s="32" cm="1">
        <f t="array" ref="J64">(Tabella1396782[[#This Row],[Temperatura]]*Tabella3331776[Boltzmann k])/101325</f>
        <v>1.2263351591413768E-25</v>
      </c>
      <c r="K64" s="32" cm="1">
        <f t="array" ref="K64">Tabella3331776[Rydberg R]*(2.5+LN(Tabella1396782[[#This Row],[Volume]]*Tabella1396782[[#This Row],[Translational Factor]]))</f>
        <v>173.26229322506691</v>
      </c>
      <c r="M64" s="45">
        <v>900</v>
      </c>
      <c r="N64" s="18" cm="1">
        <f t="array" ref="N64">Tabella33317[Rydberg R]*(1+LN(Tabella13437186[[#This Row],[Temperatura]]/(Tabella63664[Simmetria]*$G$7)))</f>
        <v>50.743431880764952</v>
      </c>
    </row>
    <row r="65" spans="1:24" x14ac:dyDescent="0.35">
      <c r="A65" s="18">
        <v>1000</v>
      </c>
      <c r="B65" s="32" cm="1">
        <f t="array" ref="B65">(Tabella3331776[Boltzmann k]*Tabella5356378[[#This Row],[Temperatura]])/101325</f>
        <v>1.3625946212681966E-25</v>
      </c>
      <c r="C65" s="32" cm="1">
        <f t="array" ref="C65">POWER((2*Tabella3331776[Pi Greco]*Tabella3331776[Massa '[kg']]*Tabella3331776[Boltzmann k]*Tabella5356378[[#This Row],[Temperatura]])/(POWER(Tabella3331776[Planck h],2)),1.5)*Tabella5356378[[#This Row],[Volume]]</f>
        <v>119887616.86548522</v>
      </c>
      <c r="D65" s="32">
        <f t="shared" si="0"/>
        <v>0.21407314161831972</v>
      </c>
      <c r="E65" s="32">
        <f>Tabella5356378[[#This Row],[Temperatura]]/$G$7</f>
        <v>365.59996782720282</v>
      </c>
      <c r="F65" s="18">
        <v>1</v>
      </c>
      <c r="H65" s="45">
        <v>1000</v>
      </c>
      <c r="I65" s="18" cm="1">
        <f t="array" ref="I65">POWER((2*PI()*Tabella3331776[Massa '[kg']]*Tabella3331776[Boltzmann k]*Tabella1396782[[#This Row],[Temperatura]])/(POWER(Tabella3331776[Planck h],2)),1.5)</f>
        <v>8.7984801197808341E+32</v>
      </c>
      <c r="J65" s="32" cm="1">
        <f t="array" ref="J65">(Tabella1396782[[#This Row],[Temperatura]]*Tabella3331776[Boltzmann k])/101325</f>
        <v>1.3625946212681966E-25</v>
      </c>
      <c r="K65" s="32" cm="1">
        <f t="array" ref="K65">Tabella3331776[Rydberg R]*(2.5+LN(Tabella1396782[[#This Row],[Volume]]*Tabella1396782[[#This Row],[Translational Factor]]))</f>
        <v>175.45233339719238</v>
      </c>
      <c r="M65" s="45">
        <v>1000</v>
      </c>
      <c r="N65" s="18" cm="1">
        <f t="array" ref="N65">Tabella33317[Rydberg R]*(1+LN(Tabella13437186[[#This Row],[Temperatura]]/(Tabella63664[Simmetria]*$G$7)))</f>
        <v>51.619447949615143</v>
      </c>
    </row>
    <row r="66" spans="1:24" x14ac:dyDescent="0.35">
      <c r="A66" s="18">
        <v>1100</v>
      </c>
      <c r="B66" s="32" cm="1">
        <f t="array" ref="B66">(Tabella3331776[Boltzmann k]*Tabella5356378[[#This Row],[Temperatura]])/101325</f>
        <v>1.4988540833950161E-25</v>
      </c>
      <c r="C66" s="32" cm="1">
        <f t="array" ref="C66">POWER((2*Tabella3331776[Pi Greco]*Tabella3331776[Massa '[kg']]*Tabella3331776[Boltzmann k]*Tabella5356378[[#This Row],[Temperatura]])/(POWER(Tabella3331776[Planck h],2)),1.5)*Tabella5356378[[#This Row],[Volume]]</f>
        <v>152144423.95900914</v>
      </c>
      <c r="D66" s="32">
        <f t="shared" si="0"/>
        <v>0.25091617945324685</v>
      </c>
      <c r="E66" s="32">
        <f>Tabella5356378[[#This Row],[Temperatura]]/$G$7</f>
        <v>402.15996460992312</v>
      </c>
      <c r="F66" s="18">
        <v>1</v>
      </c>
      <c r="H66" s="45">
        <v>1100</v>
      </c>
      <c r="I66" s="18" cm="1">
        <f t="array" ref="I66">POWER((2*PI()*Tabella3331776[Massa '[kg']]*Tabella3331776[Boltzmann k]*Tabella1396782[[#This Row],[Temperatura]])/(POWER(Tabella3331776[Planck h],2)),1.5)</f>
        <v>1.0150716180082767E+33</v>
      </c>
      <c r="J66" s="32" cm="1">
        <f t="array" ref="J66">(Tabella1396782[[#This Row],[Temperatura]]*Tabella3331776[Boltzmann k])/101325</f>
        <v>1.4988540833950161E-25</v>
      </c>
      <c r="K66" s="32" cm="1">
        <f t="array" ref="K66">Tabella3331776[Rydberg R]*(2.5+LN(Tabella1396782[[#This Row],[Volume]]*Tabella1396782[[#This Row],[Translational Factor]]))</f>
        <v>177.43346571493709</v>
      </c>
      <c r="M66" s="45">
        <v>1100</v>
      </c>
      <c r="N66" s="18" cm="1">
        <f t="array" ref="N66">Tabella33317[Rydberg R]*(1+LN(Tabella13437186[[#This Row],[Temperatura]]/(Tabella63664[Simmetria]*$G$7)))</f>
        <v>52.411900876713062</v>
      </c>
    </row>
    <row r="67" spans="1:24" x14ac:dyDescent="0.35">
      <c r="A67" s="18">
        <v>1200</v>
      </c>
      <c r="B67" s="32" cm="1">
        <f t="array" ref="B67">(Tabella3331776[Boltzmann k]*Tabella5356378[[#This Row],[Temperatura]])/101325</f>
        <v>1.6351135455218356E-25</v>
      </c>
      <c r="C67" s="32" cm="1">
        <f t="array" ref="C67">POWER((2*Tabella3331776[Pi Greco]*Tabella3331776[Massa '[kg']]*Tabella3331776[Boltzmann k]*Tabella5356378[[#This Row],[Temperatura]])/(POWER(Tabella3331776[Planck h],2)),1.5)*Tabella5356378[[#This Row],[Volume]]</f>
        <v>189115638.11355796</v>
      </c>
      <c r="D67" s="32">
        <f t="shared" si="0"/>
        <v>0.28755235690112763</v>
      </c>
      <c r="E67" s="32">
        <f>Tabella5356378[[#This Row],[Temperatura]]/$G$7</f>
        <v>438.71996139264337</v>
      </c>
      <c r="F67" s="18">
        <v>1</v>
      </c>
      <c r="H67" s="45">
        <v>1200</v>
      </c>
      <c r="I67" s="18" cm="1">
        <f t="array" ref="I67">POWER((2*PI()*Tabella3331776[Massa '[kg']]*Tabella3331776[Boltzmann k]*Tabella1396782[[#This Row],[Temperatura]])/(POWER(Tabella3331776[Planck h],2)),1.5)</f>
        <v>1.156590248007535E+33</v>
      </c>
      <c r="J67" s="32" cm="1">
        <f t="array" ref="J67">(Tabella1396782[[#This Row],[Temperatura]]*Tabella3331776[Boltzmann k])/101325</f>
        <v>1.6351135455218356E-25</v>
      </c>
      <c r="K67" s="32" cm="1">
        <f t="array" ref="K67">Tabella3331776[Rydberg R]*(2.5+LN(Tabella1396782[[#This Row],[Volume]]*Tabella1396782[[#This Row],[Translational Factor]]))</f>
        <v>179.24209781823964</v>
      </c>
      <c r="M67" s="45">
        <v>1200</v>
      </c>
      <c r="N67" s="18" cm="1">
        <f t="array" ref="N67">Tabella33317[Rydberg R]*(1+LN(Tabella13437186[[#This Row],[Temperatura]]/(Tabella63664[Simmetria]*$G$7)))</f>
        <v>53.135353718034047</v>
      </c>
    </row>
    <row r="68" spans="1:24" x14ac:dyDescent="0.35">
      <c r="A68" s="18">
        <v>1300</v>
      </c>
      <c r="B68" s="32" cm="1">
        <f t="array" ref="B68">(Tabella3331776[Boltzmann k]*Tabella5356378[[#This Row],[Temperatura]])/101325</f>
        <v>1.7713730076486554E-25</v>
      </c>
      <c r="C68" s="32" cm="1">
        <f t="array" ref="C68">POWER((2*Tabella3331776[Pi Greco]*Tabella3331776[Massa '[kg']]*Tabella3331776[Boltzmann k]*Tabella5356378[[#This Row],[Temperatura]])/(POWER(Tabella3331776[Planck h],2)),1.5)*Tabella5356378[[#This Row],[Volume]]</f>
        <v>231011025.54509634</v>
      </c>
      <c r="D68" s="32">
        <f t="shared" si="0"/>
        <v>0.3238938304339492</v>
      </c>
      <c r="E68" s="32">
        <f>Tabella5356378[[#This Row],[Temperatura]]/$G$7</f>
        <v>475.27995817536367</v>
      </c>
      <c r="F68" s="18">
        <v>1</v>
      </c>
      <c r="H68" s="45">
        <v>1300</v>
      </c>
      <c r="I68" s="18" cm="1">
        <f t="array" ref="I68">POWER((2*PI()*Tabella3331776[Massa '[kg']]*Tabella3331776[Boltzmann k]*Tabella1396782[[#This Row],[Temperatura]])/(POWER(Tabella3331776[Planck h],2)),1.5)</f>
        <v>1.3041354054036507E+33</v>
      </c>
      <c r="J68" s="32" cm="1">
        <f t="array" ref="J68">(Tabella1396782[[#This Row],[Temperatura]]*Tabella3331776[Boltzmann k])/101325</f>
        <v>1.7713730076486554E-25</v>
      </c>
      <c r="K68" s="32" cm="1">
        <f t="array" ref="K68">Tabella3331776[Rydberg R]*(2.5+LN(Tabella1396782[[#This Row],[Volume]]*Tabella1396782[[#This Row],[Translational Factor]]))</f>
        <v>180.90587807022732</v>
      </c>
      <c r="M68" s="45">
        <v>1300</v>
      </c>
      <c r="N68" s="18" cm="1">
        <f t="array" ref="N68">Tabella33317[Rydberg R]*(1+LN(Tabella13437186[[#This Row],[Temperatura]]/(Tabella63664[Simmetria]*$G$7)))</f>
        <v>53.800865818829166</v>
      </c>
    </row>
    <row r="69" spans="1:24" x14ac:dyDescent="0.35">
      <c r="A69" s="18">
        <v>1400</v>
      </c>
      <c r="B69" s="32" cm="1">
        <f t="array" ref="B69">(Tabella3331776[Boltzmann k]*Tabella5356378[[#This Row],[Temperatura]])/101325</f>
        <v>1.9076324697754752E-25</v>
      </c>
      <c r="C69" s="32" cm="1">
        <f t="array" ref="C69">POWER((2*Tabella3331776[Pi Greco]*Tabella3331776[Massa '[kg']]*Tabella3331776[Boltzmann k]*Tabella5356378[[#This Row],[Temperatura]])/(POWER(Tabella3331776[Planck h],2)),1.5)*Tabella5356378[[#This Row],[Volume]]</f>
        <v>278031764.90170139</v>
      </c>
      <c r="D69" s="32">
        <f t="shared" si="0"/>
        <v>0.35990756739502355</v>
      </c>
      <c r="E69" s="32">
        <f>Tabella5356378[[#This Row],[Temperatura]]/$G$7</f>
        <v>511.83995495808398</v>
      </c>
      <c r="F69" s="18">
        <v>1</v>
      </c>
      <c r="H69" s="45">
        <v>1400</v>
      </c>
      <c r="I69" s="18" cm="1">
        <f t="array" ref="I69">POWER((2*PI()*Tabella3331776[Massa '[kg']]*Tabella3331776[Boltzmann k]*Tabella1396782[[#This Row],[Temperatura]])/(POWER(Tabella3331776[Planck h],2)),1.5)</f>
        <v>1.4574702900419032E+33</v>
      </c>
      <c r="J69" s="32" cm="1">
        <f t="array" ref="J69">(Tabella1396782[[#This Row],[Temperatura]]*Tabella3331776[Boltzmann k])/101325</f>
        <v>1.9076324697754752E-25</v>
      </c>
      <c r="K69" s="32" cm="1">
        <f t="array" ref="K69">Tabella3331776[Rydberg R]*(2.5+LN(Tabella1396782[[#This Row],[Volume]]*Tabella1396782[[#This Row],[Translational Factor]]))</f>
        <v>182.44629798064719</v>
      </c>
      <c r="M69" s="45">
        <v>1400</v>
      </c>
      <c r="N69" s="18" cm="1">
        <f t="array" ref="N69">Tabella33317[Rydberg R]*(1+LN(Tabella13437186[[#This Row],[Temperatura]]/(Tabella63664[Simmetria]*$G$7)))</f>
        <v>54.417033782997073</v>
      </c>
    </row>
    <row r="70" spans="1:24" x14ac:dyDescent="0.35">
      <c r="A70" s="18">
        <v>1500</v>
      </c>
      <c r="B70" s="32" cm="1">
        <f t="array" ref="B70">(Tabella3331776[Boltzmann k]*Tabella5356378[[#This Row],[Temperatura]])/101325</f>
        <v>2.0438919319022949E-25</v>
      </c>
      <c r="C70" s="32" cm="1">
        <f t="array" ref="C70">POWER((2*Tabella3331776[Pi Greco]*Tabella3331776[Massa '[kg']]*Tabella3331776[Boltzmann k]*Tabella5356378[[#This Row],[Temperatura]])/(POWER(Tabella3331776[Planck h],2)),1.5)*Tabella5356378[[#This Row],[Volume]]</f>
        <v>330371423.77356422</v>
      </c>
      <c r="D70" s="32">
        <f t="shared" si="0"/>
        <v>0.39559051364415032</v>
      </c>
      <c r="E70" s="32">
        <f>Tabella5356378[[#This Row],[Temperatura]]/$G$7</f>
        <v>548.39995174080423</v>
      </c>
      <c r="F70" s="18">
        <v>1</v>
      </c>
      <c r="H70" s="45">
        <v>1500</v>
      </c>
      <c r="I70" s="18" cm="1">
        <f t="array" ref="I70">POWER((2*PI()*Tabella3331776[Massa '[kg']]*Tabella3331776[Boltzmann k]*Tabella1396782[[#This Row],[Temperatura]])/(POWER(Tabella3331776[Planck h],2)),1.5)</f>
        <v>1.6163840104113543E+33</v>
      </c>
      <c r="J70" s="32" cm="1">
        <f t="array" ref="J70">(Tabella1396782[[#This Row],[Temperatura]]*Tabella3331776[Boltzmann k])/101325</f>
        <v>2.0438919319022949E-25</v>
      </c>
      <c r="K70" s="32" cm="1">
        <f t="array" ref="K70">Tabella3331776[Rydberg R]*(2.5+LN(Tabella1396782[[#This Row],[Volume]]*Tabella1396782[[#This Row],[Translational Factor]]))</f>
        <v>183.88039460786396</v>
      </c>
      <c r="M70" s="45">
        <v>1500</v>
      </c>
      <c r="N70" s="18" cm="1">
        <f t="array" ref="N70">Tabella33317[Rydberg R]*(1+LN(Tabella13437186[[#This Row],[Temperatura]]/(Tabella63664[Simmetria]*$G$7)))</f>
        <v>54.990672433883809</v>
      </c>
    </row>
    <row r="71" spans="1:24" x14ac:dyDescent="0.35">
      <c r="A71" s="18">
        <v>1600</v>
      </c>
      <c r="B71" s="32" cm="1">
        <f t="array" ref="B71">(Tabella3331776[Boltzmann k]*Tabella5356378[[#This Row],[Temperatura]])/101325</f>
        <v>2.1801513940291145E-25</v>
      </c>
      <c r="C71" s="32" cm="1">
        <f t="array" ref="C71">POWER((2*Tabella3331776[Pi Greco]*Tabella3331776[Massa '[kg']]*Tabella3331776[Boltzmann k]*Tabella5356378[[#This Row],[Temperatura]])/(POWER(Tabella3331776[Planck h],2)),1.5)*Tabella5356378[[#This Row],[Volume]]</f>
        <v>388216762.92561775</v>
      </c>
      <c r="D71" s="32">
        <f t="shared" si="0"/>
        <v>0.43095533252497775</v>
      </c>
      <c r="E71" s="32">
        <f>Tabella5356378[[#This Row],[Temperatura]]/$G$7</f>
        <v>584.95994852352453</v>
      </c>
      <c r="F71" s="18">
        <v>1</v>
      </c>
      <c r="H71" s="45">
        <v>1600</v>
      </c>
      <c r="I71" s="18" cm="1">
        <f t="array" ref="I71">POWER((2*PI()*Tabella3331776[Massa '[kg']]*Tabella3331776[Boltzmann k]*Tabella1396782[[#This Row],[Temperatura]])/(POWER(Tabella3331776[Planck h],2)),1.5)</f>
        <v>1.780687176077981E+33</v>
      </c>
      <c r="J71" s="32" cm="1">
        <f t="array" ref="J71">(Tabella1396782[[#This Row],[Temperatura]]*Tabella3331776[Boltzmann k])/101325</f>
        <v>2.1801513940291145E-25</v>
      </c>
      <c r="K71" s="32" cm="1">
        <f t="array" ref="K71">Tabella3331776[Rydberg R]*(2.5+LN(Tabella1396782[[#This Row],[Volume]]*Tabella1396782[[#This Row],[Translational Factor]]))</f>
        <v>185.22190241141234</v>
      </c>
      <c r="M71" s="45">
        <v>1600</v>
      </c>
      <c r="N71" s="18" cm="1">
        <f t="array" ref="N71">Tabella33317[Rydberg R]*(1+LN(Tabella13437186[[#This Row],[Temperatura]]/(Tabella63664[Simmetria]*$G$7)))</f>
        <v>55.527275555303149</v>
      </c>
    </row>
    <row r="72" spans="1:24" x14ac:dyDescent="0.35">
      <c r="A72" s="18">
        <v>1700</v>
      </c>
      <c r="B72" s="32" cm="1">
        <f t="array" ref="B72">(Tabella3331776[Boltzmann k]*Tabella5356378[[#This Row],[Temperatura]])/101325</f>
        <v>2.316410856155934E-25</v>
      </c>
      <c r="C72" s="32" cm="1">
        <f t="array" ref="C72">POWER((2*Tabella3331776[Pi Greco]*Tabella3331776[Massa '[kg']]*Tabella3331776[Boltzmann k]*Tabella5356378[[#This Row],[Temperatura]])/(POWER(Tabella3331776[Planck h],2)),1.5)*Tabella5356378[[#This Row],[Volume]]</f>
        <v>451748408.0491761</v>
      </c>
      <c r="D72" s="32">
        <f t="shared" si="0"/>
        <v>0.46602227713883054</v>
      </c>
      <c r="E72" s="32">
        <f>Tabella5356378[[#This Row],[Temperatura]]/$G$7</f>
        <v>621.51994530624484</v>
      </c>
      <c r="F72" s="18">
        <v>1</v>
      </c>
      <c r="H72" s="45">
        <v>1700</v>
      </c>
      <c r="I72" s="18" cm="1">
        <f t="array" ref="I72">POWER((2*PI()*Tabella3331776[Massa '[kg']]*Tabella3331776[Boltzmann k]*Tabella1396782[[#This Row],[Temperatura]])/(POWER(Tabella3331776[Planck h],2)),1.5)</f>
        <v>1.9502084738061068E+33</v>
      </c>
      <c r="J72" s="32" cm="1">
        <f t="array" ref="J72">(Tabella1396782[[#This Row],[Temperatura]]*Tabella3331776[Boltzmann k])/101325</f>
        <v>2.316410856155934E-25</v>
      </c>
      <c r="K72" s="32" cm="1">
        <f t="array" ref="K72">Tabella3331776[Rydberg R]*(2.5+LN(Tabella1396782[[#This Row],[Volume]]*Tabella1396782[[#This Row],[Translational Factor]]))</f>
        <v>186.48205529097021</v>
      </c>
      <c r="M72" s="45">
        <v>1700</v>
      </c>
      <c r="N72" s="18" cm="1">
        <f t="array" ref="N72">Tabella33317[Rydberg R]*(1+LN(Tabella13437186[[#This Row],[Temperatura]]/(Tabella63664[Simmetria]*$G$7)))</f>
        <v>56.031336707126279</v>
      </c>
    </row>
    <row r="73" spans="1:24" x14ac:dyDescent="0.35">
      <c r="A73" s="18">
        <v>1800</v>
      </c>
      <c r="B73" s="32" cm="1">
        <f t="array" ref="B73">(Tabella3331776[Boltzmann k]*Tabella5356378[[#This Row],[Temperatura]])/101325</f>
        <v>2.4526703182827536E-25</v>
      </c>
      <c r="C73" s="32" cm="1">
        <f t="array" ref="C73">POWER((2*Tabella3331776[Pi Greco]*Tabella3331776[Massa '[kg']]*Tabella3331776[Boltzmann k]*Tabella5356378[[#This Row],[Temperatura]])/(POWER(Tabella3331776[Planck h],2)),1.5)*Tabella5356378[[#This Row],[Volume]]</f>
        <v>521141417.7289418</v>
      </c>
      <c r="D73" s="32">
        <f t="shared" si="0"/>
        <v>0.50081461095308266</v>
      </c>
      <c r="E73" s="32">
        <f>Tabella5356378[[#This Row],[Temperatura]]/$G$7</f>
        <v>658.07994208896514</v>
      </c>
      <c r="F73" s="18">
        <v>1</v>
      </c>
      <c r="H73" s="45">
        <v>1800</v>
      </c>
      <c r="I73" s="18" cm="1">
        <f t="array" ref="I73">POWER((2*PI()*Tabella3331776[Massa '[kg']]*Tabella3331776[Boltzmann k]*Tabella1396782[[#This Row],[Temperatura]])/(POWER(Tabella3331776[Planck h],2)),1.5)</f>
        <v>2.1247919618231486E+33</v>
      </c>
      <c r="J73" s="32" cm="1">
        <f t="array" ref="J73">(Tabella1396782[[#This Row],[Temperatura]]*Tabella3331776[Boltzmann k])/101325</f>
        <v>2.4526703182827536E-25</v>
      </c>
      <c r="K73" s="32" cm="1">
        <f t="array" ref="K73">Tabella3331776[Rydberg R]*(2.5+LN(Tabella1396782[[#This Row],[Volume]]*Tabella1396782[[#This Row],[Translational Factor]]))</f>
        <v>187.67015902891134</v>
      </c>
      <c r="M73" s="45">
        <v>1800</v>
      </c>
      <c r="N73" s="18" cm="1">
        <f t="array" ref="N73">Tabella33317[Rydberg R]*(1+LN(Tabella13437186[[#This Row],[Temperatura]]/(Tabella63664[Simmetria]*$G$7)))</f>
        <v>56.506578202302713</v>
      </c>
    </row>
    <row r="74" spans="1:24" x14ac:dyDescent="0.35">
      <c r="A74" s="18">
        <v>1900</v>
      </c>
      <c r="B74" s="32" cm="1">
        <f t="array" ref="B74">(Tabella3331776[Boltzmann k]*Tabella5356378[[#This Row],[Temperatura]])/101325</f>
        <v>2.5889297804095731E-25</v>
      </c>
      <c r="C74" s="32" cm="1">
        <f t="array" ref="C74">POWER((2*Tabella3331776[Pi Greco]*Tabella3331776[Massa '[kg']]*Tabella3331776[Boltzmann k]*Tabella5356378[[#This Row],[Temperatura]])/(POWER(Tabella3331776[Planck h],2)),1.5)*Tabella5356378[[#This Row],[Volume]]</f>
        <v>596565768.78811944</v>
      </c>
      <c r="D74" s="32">
        <f t="shared" si="0"/>
        <v>0.53535608044660232</v>
      </c>
      <c r="E74" s="32">
        <f>Tabella5356378[[#This Row],[Temperatura]]/$G$7</f>
        <v>694.63993887168533</v>
      </c>
      <c r="F74" s="18">
        <v>1</v>
      </c>
      <c r="H74" s="45">
        <v>1900</v>
      </c>
      <c r="I74" s="18" cm="1">
        <f t="array" ref="I74">POWER((2*PI()*Tabella3331776[Massa '[kg']]*Tabella3331776[Boltzmann k]*Tabella1396782[[#This Row],[Temperatura]])/(POWER(Tabella3331776[Planck h],2)),1.5)</f>
        <v>2.3042948993917543E+33</v>
      </c>
      <c r="J74" s="32" cm="1">
        <f t="array" ref="J74">(Tabella1396782[[#This Row],[Temperatura]]*Tabella3331776[Boltzmann k])/101325</f>
        <v>2.5889297804095731E-25</v>
      </c>
      <c r="K74" s="32" cm="1">
        <f t="array" ref="K74">Tabella3331776[Rydberg R]*(2.5+LN(Tabella1396782[[#This Row],[Volume]]*Tabella1396782[[#This Row],[Translational Factor]]))</f>
        <v>188.79400875418838</v>
      </c>
      <c r="M74" s="45">
        <v>1900</v>
      </c>
      <c r="N74" s="18" cm="1">
        <f t="array" ref="N74">Tabella33317[Rydberg R]*(1+LN(Tabella13437186[[#This Row],[Temperatura]]/(Tabella63664[Simmetria]*$G$7)))</f>
        <v>56.956118092413554</v>
      </c>
    </row>
    <row r="75" spans="1:24" x14ac:dyDescent="0.35">
      <c r="A75" s="18">
        <v>2000</v>
      </c>
      <c r="B75" s="32" cm="1">
        <f t="array" ref="B75">(Tabella3331776[Boltzmann k]*Tabella5356378[[#This Row],[Temperatura]])/101325</f>
        <v>2.7251892425363931E-25</v>
      </c>
      <c r="C75" s="32" cm="1">
        <f t="array" ref="C75">POWER((2*Tabella3331776[Pi Greco]*Tabella3331776[Massa '[kg']]*Tabella3331776[Boltzmann k]*Tabella5356378[[#This Row],[Temperatura]])/(POWER(Tabella3331776[Planck h],2)),1.5)*Tabella5356378[[#This Row],[Volume]]</f>
        <v>678186774.92703629</v>
      </c>
      <c r="D75" s="32">
        <f t="shared" si="0"/>
        <v>0.56966957328013501</v>
      </c>
      <c r="E75" s="32">
        <f>Tabella5356378[[#This Row],[Temperatura]]/$G$7</f>
        <v>731.19993565440564</v>
      </c>
      <c r="F75" s="18">
        <v>1</v>
      </c>
      <c r="H75" s="45">
        <v>2000</v>
      </c>
      <c r="I75" s="45" cm="1">
        <f t="array" ref="I75">POWER((2*PI()*Tabella3331776[Massa '[kg']]*Tabella3331776[Boltzmann k]*Tabella1396782[[#This Row],[Temperatura]])/(POWER(Tabella3331776[Planck h],2)),1.5)</f>
        <v>2.4885859827328287E+33</v>
      </c>
      <c r="J75" s="32" cm="1">
        <f t="array" ref="J75">(Tabella1396782[[#This Row],[Temperatura]]*Tabella3331776[Boltzmann k])/101325</f>
        <v>2.7251892425363931E-25</v>
      </c>
      <c r="K75" s="32" cm="1">
        <f t="array" ref="K75">Tabella3331776[Rydberg R]*(2.5+LN(Tabella1396782[[#This Row],[Volume]]*Tabella1396782[[#This Row],[Translational Factor]]))</f>
        <v>189.86019920103678</v>
      </c>
      <c r="M75" s="45">
        <v>2000</v>
      </c>
      <c r="N75" s="18" cm="1">
        <f t="array" ref="N75">Tabella33317[Rydberg R]*(1+LN(Tabella13437186[[#This Row],[Temperatura]]/(Tabella63664[Simmetria]*$G$7)))</f>
        <v>57.382594271152911</v>
      </c>
    </row>
    <row r="76" spans="1:24" x14ac:dyDescent="0.35">
      <c r="A76" s="116" t="s">
        <v>122</v>
      </c>
      <c r="B76" s="114"/>
      <c r="C76" s="114">
        <f>C75-C58</f>
        <v>672367600.68238974</v>
      </c>
      <c r="D76" s="114">
        <f>D75-D58</f>
        <v>0.5647477875708935</v>
      </c>
      <c r="E76" s="114">
        <f>E75-E58</f>
        <v>622.19630524672516</v>
      </c>
      <c r="H76" s="116" t="s">
        <v>122</v>
      </c>
      <c r="I76" s="116">
        <f>I75-I58</f>
        <v>2.345347445399922E+33</v>
      </c>
      <c r="J76" s="114">
        <f>J75-J58</f>
        <v>2.3189316562052802E-25</v>
      </c>
      <c r="K76" s="114">
        <f>K75-K58</f>
        <v>39.562411147219734</v>
      </c>
      <c r="M76" s="116" t="s">
        <v>122</v>
      </c>
      <c r="N76" s="116">
        <f>N75-N58</f>
        <v>15.824964458887919</v>
      </c>
    </row>
    <row r="79" spans="1:24" x14ac:dyDescent="0.3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H79" s="47"/>
      <c r="I79" s="47"/>
      <c r="J79" s="47"/>
    </row>
    <row r="80" spans="1:24" x14ac:dyDescent="0.35">
      <c r="A80" s="45">
        <v>298.14999999999998</v>
      </c>
      <c r="B80" s="32" cm="1">
        <f t="array" ref="B80">Tabella3331776[Rydberg R]</f>
        <v>8.3144626180000003</v>
      </c>
      <c r="C80" s="32" cm="1">
        <f t="array" ref="C80">(3/2)*Tabella3331776[Rydberg R]</f>
        <v>12.471693927</v>
      </c>
      <c r="D80" s="32" cm="1">
        <f t="array" ref="D8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2.2751776303876581E-2</v>
      </c>
      <c r="E80" s="18">
        <f>SUM(Tabella15457388[[#This Row],[CvRot]:[Cv Vib]])</f>
        <v>20.808908321303878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8" x14ac:dyDescent="0.35">
      <c r="A81" s="45">
        <v>400</v>
      </c>
      <c r="B81" s="32" cm="1">
        <f t="array" ref="B81">Tabella3331776[Rydberg R]</f>
        <v>8.3144626180000003</v>
      </c>
      <c r="C81" s="32" cm="1">
        <f t="array" ref="C81">(3/2)*Tabella3331776[Rydberg R]</f>
        <v>12.471693927</v>
      </c>
      <c r="D81" s="32" cm="1">
        <f t="array" ref="D8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0.18938525953749225</v>
      </c>
      <c r="E81" s="18">
        <f>SUM(Tabella15457388[[#This Row],[CvRot]:[Cv Vib]])</f>
        <v>20.975541804537492</v>
      </c>
    </row>
    <row r="82" spans="1:8" x14ac:dyDescent="0.35">
      <c r="A82" s="45">
        <v>500</v>
      </c>
      <c r="B82" s="32" cm="1">
        <f t="array" ref="B82">Tabella3331776[Rydberg R]</f>
        <v>8.3144626180000003</v>
      </c>
      <c r="C82" s="32" cm="1">
        <f t="array" ref="C82">(3/2)*Tabella3331776[Rydberg R]</f>
        <v>12.471693927</v>
      </c>
      <c r="D82" s="32" cm="1">
        <f t="array" ref="D8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0.59271046868077804</v>
      </c>
      <c r="E82" s="18">
        <f>SUM(Tabella15457388[[#This Row],[CvRot]:[Cv Vib]])</f>
        <v>21.378867013680779</v>
      </c>
      <c r="H82" s="47"/>
    </row>
    <row r="83" spans="1:8" x14ac:dyDescent="0.35">
      <c r="A83" s="45">
        <v>600</v>
      </c>
      <c r="B83" s="32" cm="1">
        <f t="array" ref="B83">Tabella3331776[Rydberg R]</f>
        <v>8.3144626180000003</v>
      </c>
      <c r="C83" s="32" cm="1">
        <f t="array" ref="C83">(3/2)*Tabella3331776[Rydberg R]</f>
        <v>12.471693927</v>
      </c>
      <c r="D83" s="32" cm="1">
        <f t="array" ref="D8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1.1915179703029612</v>
      </c>
      <c r="E83" s="18">
        <f>SUM(Tabella15457388[[#This Row],[CvRot]:[Cv Vib]])</f>
        <v>21.977674515302962</v>
      </c>
    </row>
    <row r="84" spans="1:8" x14ac:dyDescent="0.35">
      <c r="A84" s="45">
        <v>700</v>
      </c>
      <c r="B84" s="32" cm="1">
        <f t="array" ref="B84">Tabella3331776[Rydberg R]</f>
        <v>8.3144626180000003</v>
      </c>
      <c r="C84" s="32" cm="1">
        <f t="array" ref="C84">(3/2)*Tabella3331776[Rydberg R]</f>
        <v>12.471693927</v>
      </c>
      <c r="D84" s="32" cm="1">
        <f t="array" ref="D8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1.8831586080087745</v>
      </c>
      <c r="E84" s="18">
        <f>SUM(Tabella15457388[[#This Row],[CvRot]:[Cv Vib]])</f>
        <v>22.669315153008775</v>
      </c>
      <c r="H84" s="47"/>
    </row>
    <row r="85" spans="1:8" x14ac:dyDescent="0.35">
      <c r="A85" s="45">
        <v>800</v>
      </c>
      <c r="B85" s="32" cm="1">
        <f t="array" ref="B85">Tabella3331776[Rydberg R]</f>
        <v>8.3144626180000003</v>
      </c>
      <c r="C85" s="32" cm="1">
        <f t="array" ref="C85">(3/2)*Tabella3331776[Rydberg R]</f>
        <v>12.471693927</v>
      </c>
      <c r="D85" s="32" cm="1">
        <f t="array" ref="D8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2.5817092061992239</v>
      </c>
      <c r="E85" s="18">
        <f>SUM(Tabella15457388[[#This Row],[CvRot]:[Cv Vib]])</f>
        <v>23.367865751199226</v>
      </c>
    </row>
    <row r="86" spans="1:8" x14ac:dyDescent="0.35">
      <c r="A86" s="45">
        <v>900</v>
      </c>
      <c r="B86" s="32" cm="1">
        <f t="array" ref="B86">Tabella3331776[Rydberg R]</f>
        <v>8.3144626180000003</v>
      </c>
      <c r="C86" s="32" cm="1">
        <f t="array" ref="C86">(3/2)*Tabella3331776[Rydberg R]</f>
        <v>12.471693927</v>
      </c>
      <c r="D86" s="32" cm="1">
        <f t="array" ref="D8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3.2367783979340365</v>
      </c>
      <c r="E86" s="18">
        <f>SUM(Tabella15457388[[#This Row],[CvRot]:[Cv Vib]])</f>
        <v>24.022934942934036</v>
      </c>
      <c r="H86" s="47"/>
    </row>
    <row r="87" spans="1:8" x14ac:dyDescent="0.35">
      <c r="A87" s="45">
        <v>1000</v>
      </c>
      <c r="B87" s="32" cm="1">
        <f t="array" ref="B87">Tabella3331776[Rydberg R]</f>
        <v>8.3144626180000003</v>
      </c>
      <c r="C87" s="32" cm="1">
        <f t="array" ref="C87">(3/2)*Tabella3331776[Rydberg R]</f>
        <v>12.471693927</v>
      </c>
      <c r="D87" s="32" cm="1">
        <f t="array" ref="D8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3.8260570862440257</v>
      </c>
      <c r="E87" s="18">
        <f>SUM(Tabella15457388[[#This Row],[CvRot]:[Cv Vib]])</f>
        <v>24.612213631244025</v>
      </c>
    </row>
    <row r="88" spans="1:8" x14ac:dyDescent="0.35">
      <c r="A88" s="45">
        <v>1100</v>
      </c>
      <c r="B88" s="32" cm="1">
        <f t="array" ref="B88">Tabella3331776[Rydberg R]</f>
        <v>8.3144626180000003</v>
      </c>
      <c r="C88" s="32" cm="1">
        <f t="array" ref="C88">(3/2)*Tabella3331776[Rydberg R]</f>
        <v>12.471693927</v>
      </c>
      <c r="D88" s="32" cm="1">
        <f t="array" ref="D88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4.3440883984598209</v>
      </c>
      <c r="E88" s="18">
        <f>SUM(Tabella15457388[[#This Row],[CvRot]:[Cv Vib]])</f>
        <v>25.130244943459822</v>
      </c>
      <c r="H88" s="47"/>
    </row>
    <row r="89" spans="1:8" x14ac:dyDescent="0.35">
      <c r="A89" s="45">
        <v>1200</v>
      </c>
      <c r="B89" s="32" cm="1">
        <f t="array" ref="B89">Tabella3331776[Rydberg R]</f>
        <v>8.3144626180000003</v>
      </c>
      <c r="C89" s="32" cm="1">
        <f t="array" ref="C89">(3/2)*Tabella3331776[Rydberg R]</f>
        <v>12.471693927</v>
      </c>
      <c r="D89" s="32" cm="1">
        <f t="array" ref="D89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4.7939969843574124</v>
      </c>
      <c r="E89" s="18">
        <f>SUM(Tabella15457388[[#This Row],[CvRot]:[Cv Vib]])</f>
        <v>25.580153529357414</v>
      </c>
    </row>
    <row r="90" spans="1:8" x14ac:dyDescent="0.35">
      <c r="A90" s="45">
        <v>1300</v>
      </c>
      <c r="B90" s="32" cm="1">
        <f t="array" ref="B90">Tabella3331776[Rydberg R]</f>
        <v>8.3144626180000003</v>
      </c>
      <c r="C90" s="32" cm="1">
        <f t="array" ref="C90">(3/2)*Tabella3331776[Rydberg R]</f>
        <v>12.471693927</v>
      </c>
      <c r="D90" s="32" cm="1">
        <f t="array" ref="D9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5.1825653351313807</v>
      </c>
      <c r="E90" s="18">
        <f>SUM(Tabella15457388[[#This Row],[CvRot]:[Cv Vib]])</f>
        <v>25.968721880131383</v>
      </c>
    </row>
    <row r="91" spans="1:8" x14ac:dyDescent="0.35">
      <c r="A91" s="45">
        <v>1400</v>
      </c>
      <c r="B91" s="32" cm="1">
        <f t="array" ref="B91">Tabella3331776[Rydberg R]</f>
        <v>8.3144626180000003</v>
      </c>
      <c r="C91" s="32" cm="1">
        <f t="array" ref="C91">(3/2)*Tabella3331776[Rydberg R]</f>
        <v>12.471693927</v>
      </c>
      <c r="D91" s="32" cm="1">
        <f t="array" ref="D9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5.5176204685149957</v>
      </c>
      <c r="E91" s="18">
        <f>SUM(Tabella15457388[[#This Row],[CvRot]:[Cv Vib]])</f>
        <v>26.303777013514996</v>
      </c>
    </row>
    <row r="92" spans="1:8" x14ac:dyDescent="0.35">
      <c r="A92" s="45">
        <v>1500</v>
      </c>
      <c r="B92" s="32" cm="1">
        <f t="array" ref="B92">Tabella3331776[Rydberg R]</f>
        <v>8.3144626180000003</v>
      </c>
      <c r="C92" s="32" cm="1">
        <f t="array" ref="C92">(3/2)*Tabella3331776[Rydberg R]</f>
        <v>12.471693927</v>
      </c>
      <c r="D92" s="32" cm="1">
        <f t="array" ref="D9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5.8067749305155099</v>
      </c>
      <c r="E92" s="18">
        <f>SUM(Tabella15457388[[#This Row],[CvRot]:[Cv Vib]])</f>
        <v>26.59293147551551</v>
      </c>
    </row>
    <row r="93" spans="1:8" x14ac:dyDescent="0.35">
      <c r="A93" s="45">
        <v>1600</v>
      </c>
      <c r="B93" s="32" cm="1">
        <f t="array" ref="B93">Tabella3331776[Rydberg R]</f>
        <v>8.3144626180000003</v>
      </c>
      <c r="C93" s="32" cm="1">
        <f t="array" ref="C93">(3/2)*Tabella3331776[Rydberg R]</f>
        <v>12.471693927</v>
      </c>
      <c r="D93" s="32" cm="1">
        <f t="array" ref="D9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6.0568970153786363</v>
      </c>
      <c r="E93" s="18">
        <f>SUM(Tabella15457388[[#This Row],[CvRot]:[Cv Vib]])</f>
        <v>26.843053560378635</v>
      </c>
    </row>
    <row r="94" spans="1:8" x14ac:dyDescent="0.35">
      <c r="A94" s="45">
        <v>1700</v>
      </c>
      <c r="B94" s="32" cm="1">
        <f t="array" ref="B94">Tabella3331776[Rydberg R]</f>
        <v>8.3144626180000003</v>
      </c>
      <c r="C94" s="32" cm="1">
        <f t="array" ref="C94">(3/2)*Tabella3331776[Rydberg R]</f>
        <v>12.471693927</v>
      </c>
      <c r="D94" s="32" cm="1">
        <f t="array" ref="D9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6.2739497230812047</v>
      </c>
      <c r="E94" s="18">
        <f>SUM(Tabella15457388[[#This Row],[CvRot]:[Cv Vib]])</f>
        <v>27.060106268081206</v>
      </c>
    </row>
    <row r="95" spans="1:8" x14ac:dyDescent="0.35">
      <c r="A95" s="45">
        <v>1800</v>
      </c>
      <c r="B95" s="32" cm="1">
        <f t="array" ref="B95">Tabella3331776[Rydberg R]</f>
        <v>8.3144626180000003</v>
      </c>
      <c r="C95" s="32" cm="1">
        <f t="array" ref="C95">(3/2)*Tabella3331776[Rydberg R]</f>
        <v>12.471693927</v>
      </c>
      <c r="D95" s="32" cm="1">
        <f t="array" ref="D9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6.4630035552637306</v>
      </c>
      <c r="E95" s="18">
        <f>SUM(Tabella15457388[[#This Row],[CvRot]:[Cv Vib]])</f>
        <v>27.24916010026373</v>
      </c>
    </row>
    <row r="96" spans="1:8" x14ac:dyDescent="0.35">
      <c r="A96" s="45">
        <v>1900</v>
      </c>
      <c r="B96" s="32" cm="1">
        <f t="array" ref="B96">Tabella3331776[Rydberg R]</f>
        <v>8.3144626180000003</v>
      </c>
      <c r="C96" s="32" cm="1">
        <f t="array" ref="C96">(3/2)*Tabella3331776[Rydberg R]</f>
        <v>12.471693927</v>
      </c>
      <c r="D96" s="32" cm="1">
        <f t="array" ref="D9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6.6283222963426063</v>
      </c>
      <c r="E96" s="18">
        <f>SUM(Tabella15457388[[#This Row],[CvRot]:[Cv Vib]])</f>
        <v>27.414478841342607</v>
      </c>
    </row>
    <row r="97" spans="1:8" x14ac:dyDescent="0.35">
      <c r="A97" s="45">
        <v>2000</v>
      </c>
      <c r="B97" s="32" cm="1">
        <f t="array" ref="B97">Tabella3331776[Rydberg R]</f>
        <v>8.3144626180000003</v>
      </c>
      <c r="C97" s="32" cm="1">
        <f t="array" ref="C97">(3/2)*Tabella3331776[Rydberg R]</f>
        <v>12.471693927</v>
      </c>
      <c r="D97" s="32" cm="1">
        <f t="array" ref="D9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6.7734717594754139</v>
      </c>
      <c r="E97" s="18">
        <f>SUM(Tabella15457388[[#This Row],[CvRot]:[Cv Vib]])</f>
        <v>27.559628304475414</v>
      </c>
    </row>
    <row r="98" spans="1:8" x14ac:dyDescent="0.35">
      <c r="A98" s="45" t="s">
        <v>122</v>
      </c>
      <c r="B98" s="61"/>
      <c r="C98" s="32"/>
      <c r="D98" s="32">
        <f>D97-D80</f>
        <v>6.7507199831715372</v>
      </c>
      <c r="E98" s="32">
        <f>E97-E80</f>
        <v>6.7507199831715354</v>
      </c>
    </row>
    <row r="99" spans="1:8" x14ac:dyDescent="0.35">
      <c r="G99" s="62"/>
    </row>
    <row r="103" spans="1:8" ht="34.5" customHeight="1" thickBot="1" x14ac:dyDescent="0.4">
      <c r="A103" s="164" t="s">
        <v>108</v>
      </c>
    </row>
    <row r="104" spans="1:8" ht="15" thickBot="1" x14ac:dyDescent="0.4">
      <c r="A104" s="64" t="s">
        <v>109</v>
      </c>
      <c r="B104" s="65">
        <v>298.14999999999998</v>
      </c>
      <c r="C104" s="66"/>
      <c r="D104" s="66"/>
      <c r="E104" s="117" t="s">
        <v>109</v>
      </c>
      <c r="F104" s="118">
        <v>1000</v>
      </c>
      <c r="G104" s="119"/>
      <c r="H104" s="120"/>
    </row>
    <row r="105" spans="1:8" x14ac:dyDescent="0.35">
      <c r="A105" s="121"/>
      <c r="B105" s="122" t="s">
        <v>110</v>
      </c>
      <c r="C105" s="122" t="s">
        <v>111</v>
      </c>
      <c r="D105" s="123" t="s">
        <v>117</v>
      </c>
      <c r="E105" s="108"/>
      <c r="F105" s="89" t="s">
        <v>110</v>
      </c>
      <c r="G105" s="89" t="s">
        <v>111</v>
      </c>
      <c r="H105" s="90" t="s">
        <v>117</v>
      </c>
    </row>
    <row r="106" spans="1:8" x14ac:dyDescent="0.35">
      <c r="A106" s="70" t="s">
        <v>8</v>
      </c>
      <c r="B106" s="75">
        <f>B15</f>
        <v>4.9217857092415107E-3</v>
      </c>
      <c r="C106" s="75">
        <v>4.9218600000000001E-3</v>
      </c>
      <c r="D106" s="76">
        <f>ABS(B106-C106)/C106</f>
        <v>1.5094041376515137E-5</v>
      </c>
      <c r="E106" s="70" t="s">
        <v>8</v>
      </c>
      <c r="F106" s="75">
        <f>B22</f>
        <v>0.21407314161831972</v>
      </c>
      <c r="G106" s="75">
        <v>0.21407399999999999</v>
      </c>
      <c r="H106" s="78">
        <f>ABS(F106-G106)/G106</f>
        <v>4.0097428004484355E-6</v>
      </c>
    </row>
    <row r="107" spans="1:8" x14ac:dyDescent="0.35">
      <c r="A107" s="70" t="s">
        <v>9</v>
      </c>
      <c r="B107" s="75">
        <f>E58</f>
        <v>109.00363040768052</v>
      </c>
      <c r="C107" s="75">
        <v>109.003</v>
      </c>
      <c r="D107" s="76">
        <f t="shared" ref="D107:D110" si="1">ABS(B107-C107)/C107</f>
        <v>5.7833975259205645E-6</v>
      </c>
      <c r="E107" s="70" t="s">
        <v>9</v>
      </c>
      <c r="F107" s="75">
        <f>E65</f>
        <v>365.59996782720282</v>
      </c>
      <c r="G107" s="75">
        <v>365.59899999999999</v>
      </c>
      <c r="H107" s="78">
        <f t="shared" ref="H107:H110" si="2">ABS(F107-G107)/G107</f>
        <v>2.6472370078369345E-6</v>
      </c>
    </row>
    <row r="108" spans="1:8" x14ac:dyDescent="0.35">
      <c r="A108" s="70" t="s">
        <v>7</v>
      </c>
      <c r="B108" s="75">
        <f>C58</f>
        <v>5819174.2446465604</v>
      </c>
      <c r="C108" s="75">
        <v>5822020</v>
      </c>
      <c r="D108" s="76">
        <f t="shared" si="1"/>
        <v>4.8879175156382141E-4</v>
      </c>
      <c r="E108" s="70" t="s">
        <v>7</v>
      </c>
      <c r="F108" s="75">
        <f>C65</f>
        <v>119887616.86548522</v>
      </c>
      <c r="G108" s="75">
        <v>119946000</v>
      </c>
      <c r="H108" s="78">
        <f t="shared" si="2"/>
        <v>4.8674515627681502E-4</v>
      </c>
    </row>
    <row r="109" spans="1:8" x14ac:dyDescent="0.35">
      <c r="A109" s="70" t="s">
        <v>10</v>
      </c>
      <c r="B109" s="75">
        <f>F58</f>
        <v>1</v>
      </c>
      <c r="C109" s="124">
        <v>1</v>
      </c>
      <c r="D109" s="76">
        <f t="shared" si="1"/>
        <v>0</v>
      </c>
      <c r="E109" s="70" t="s">
        <v>10</v>
      </c>
      <c r="F109" s="75">
        <f>F58</f>
        <v>1</v>
      </c>
      <c r="G109" s="124">
        <v>1</v>
      </c>
      <c r="H109" s="78">
        <f t="shared" si="2"/>
        <v>0</v>
      </c>
    </row>
    <row r="110" spans="1:8" x14ac:dyDescent="0.35">
      <c r="A110" s="73" t="s">
        <v>147</v>
      </c>
      <c r="B110" s="75">
        <f>PRODUCT(B106:B109)</f>
        <v>3121943.3989419788</v>
      </c>
      <c r="C110" s="75">
        <f>PRODUCT(C106:C109)</f>
        <v>3123499.2074368712</v>
      </c>
      <c r="D110" s="76">
        <f t="shared" si="1"/>
        <v>4.9809793170049375E-4</v>
      </c>
      <c r="E110" s="73" t="s">
        <v>147</v>
      </c>
      <c r="F110" s="75">
        <f>PRODUCT(F106:F109)</f>
        <v>9383020361.5519981</v>
      </c>
      <c r="G110" s="75">
        <f>PRODUCT(G106:G109)</f>
        <v>9387602516.142395</v>
      </c>
      <c r="H110" s="78">
        <f t="shared" si="2"/>
        <v>4.8810700948593265E-4</v>
      </c>
    </row>
    <row r="111" spans="1:8" x14ac:dyDescent="0.35">
      <c r="A111" s="70"/>
      <c r="B111" s="71"/>
      <c r="C111" s="71"/>
      <c r="D111" s="72"/>
      <c r="E111" s="70"/>
      <c r="F111" s="71"/>
      <c r="G111" s="71"/>
      <c r="H111" s="74"/>
    </row>
    <row r="112" spans="1:8" x14ac:dyDescent="0.35">
      <c r="A112" s="70" t="s">
        <v>112</v>
      </c>
      <c r="B112" s="75">
        <f>F37/4.184</f>
        <v>5.5976647181352841E-4</v>
      </c>
      <c r="C112" s="75">
        <v>1E-3</v>
      </c>
      <c r="D112" s="125">
        <f>ABS(B112-C112)/C112</f>
        <v>0.4402335281864716</v>
      </c>
      <c r="E112" s="70" t="s">
        <v>112</v>
      </c>
      <c r="F112" s="75">
        <f>F44/4.184</f>
        <v>0.36182290326022343</v>
      </c>
      <c r="G112" s="17">
        <v>0.36199999999999999</v>
      </c>
      <c r="H112" s="78">
        <f>ABS(F112-G112)/G112</f>
        <v>4.8921751319492006E-4</v>
      </c>
    </row>
    <row r="113" spans="1:8" x14ac:dyDescent="0.35">
      <c r="A113" s="70" t="s">
        <v>113</v>
      </c>
      <c r="B113" s="17">
        <f>N58/4.184</f>
        <v>9.9325119054170621</v>
      </c>
      <c r="C113" s="17">
        <v>11.31</v>
      </c>
      <c r="D113" s="76">
        <f t="shared" ref="D113:D116" si="3">ABS(B113-C113)/C113</f>
        <v>0.1217938191496851</v>
      </c>
      <c r="E113" s="70" t="s">
        <v>113</v>
      </c>
      <c r="F113" s="17">
        <f>N65/4.184</f>
        <v>12.337344156217767</v>
      </c>
      <c r="G113" s="17">
        <v>13.715</v>
      </c>
      <c r="H113" s="78">
        <f t="shared" ref="H113:H114" si="4">ABS(F113-G113)/G113</f>
        <v>0.10044884023202569</v>
      </c>
    </row>
    <row r="114" spans="1:8" x14ac:dyDescent="0.35">
      <c r="A114" s="70" t="s">
        <v>114</v>
      </c>
      <c r="B114" s="75">
        <f>K58/4.184</f>
        <v>35.922033473665643</v>
      </c>
      <c r="C114" s="17">
        <v>35.923000000000002</v>
      </c>
      <c r="D114" s="76">
        <f t="shared" si="3"/>
        <v>2.6905501610645826E-5</v>
      </c>
      <c r="E114" s="70" t="s">
        <v>114</v>
      </c>
      <c r="F114" s="75">
        <f>K65/4.184</f>
        <v>41.934114100667394</v>
      </c>
      <c r="G114" s="17">
        <v>41.935000000000002</v>
      </c>
      <c r="H114" s="78">
        <f t="shared" si="4"/>
        <v>2.1125535533769659E-5</v>
      </c>
    </row>
    <row r="115" spans="1:8" x14ac:dyDescent="0.35">
      <c r="A115" s="70" t="s">
        <v>115</v>
      </c>
      <c r="B115" s="17">
        <v>0</v>
      </c>
      <c r="C115" s="124">
        <v>0</v>
      </c>
      <c r="D115" s="76">
        <v>0</v>
      </c>
      <c r="E115" s="70" t="s">
        <v>115</v>
      </c>
      <c r="F115" s="17">
        <v>0</v>
      </c>
      <c r="G115" s="124">
        <v>0</v>
      </c>
      <c r="H115" s="78">
        <v>0</v>
      </c>
    </row>
    <row r="116" spans="1:8" x14ac:dyDescent="0.35">
      <c r="A116" s="73" t="s">
        <v>145</v>
      </c>
      <c r="B116" s="75">
        <f>SUM(B112:B114)</f>
        <v>45.855105145554518</v>
      </c>
      <c r="C116" s="75">
        <f>SUM(C112:C114)</f>
        <v>47.234000000000002</v>
      </c>
      <c r="D116" s="76">
        <f t="shared" si="3"/>
        <v>2.919284529037312E-2</v>
      </c>
      <c r="E116" s="73" t="s">
        <v>145</v>
      </c>
      <c r="F116" s="75">
        <f>SUM(F112:F115)</f>
        <v>54.633281160145387</v>
      </c>
      <c r="G116" s="75">
        <f>SUM(G112:G115)</f>
        <v>56.012</v>
      </c>
      <c r="H116" s="78">
        <f t="shared" ref="H116" si="5">ABS(F116-G116)/G116</f>
        <v>2.461470470353877E-2</v>
      </c>
    </row>
    <row r="117" spans="1:8" x14ac:dyDescent="0.35">
      <c r="A117" s="70"/>
      <c r="B117" s="71"/>
      <c r="C117" s="71"/>
      <c r="D117" s="72"/>
      <c r="E117" s="70"/>
      <c r="F117" s="71"/>
      <c r="G117" s="71"/>
      <c r="H117" s="74"/>
    </row>
    <row r="118" spans="1:8" x14ac:dyDescent="0.35">
      <c r="A118" s="70" t="s">
        <v>105</v>
      </c>
      <c r="B118" s="75">
        <f>D80/4.184</f>
        <v>5.4378050439475578E-3</v>
      </c>
      <c r="C118" s="17">
        <v>5.0000000000000001E-3</v>
      </c>
      <c r="D118" s="76">
        <f>ABS(B118-C118)/C118</f>
        <v>8.7561008789511535E-2</v>
      </c>
      <c r="E118" s="70" t="s">
        <v>105</v>
      </c>
      <c r="F118" s="75">
        <f>D80/4.184</f>
        <v>5.4378050439475578E-3</v>
      </c>
      <c r="G118" s="17">
        <v>5.0000000000000001E-3</v>
      </c>
      <c r="H118" s="78">
        <f>ABS(F118-G118)/G118</f>
        <v>8.7561008789511535E-2</v>
      </c>
    </row>
    <row r="119" spans="1:8" x14ac:dyDescent="0.35">
      <c r="A119" s="70" t="s">
        <v>118</v>
      </c>
      <c r="B119" s="75">
        <f>B80/4.184</f>
        <v>1.9872042586042065</v>
      </c>
      <c r="C119" s="17">
        <v>1.9870000000000001</v>
      </c>
      <c r="D119" s="76">
        <f t="shared" ref="D119:D120" si="6">ABS(B119-C119)/C119</f>
        <v>1.0279748576062623E-4</v>
      </c>
      <c r="E119" s="70" t="s">
        <v>118</v>
      </c>
      <c r="F119" s="75">
        <f>B80/4.184</f>
        <v>1.9872042586042065</v>
      </c>
      <c r="G119" s="17">
        <v>1.9870000000000001</v>
      </c>
      <c r="H119" s="78">
        <f t="shared" ref="H119:H120" si="7">ABS(F119-G119)/G119</f>
        <v>1.0279748576062623E-4</v>
      </c>
    </row>
    <row r="120" spans="1:8" x14ac:dyDescent="0.35">
      <c r="A120" s="70" t="s">
        <v>119</v>
      </c>
      <c r="B120" s="75">
        <f>C80/4.184</f>
        <v>2.9808063879063096</v>
      </c>
      <c r="C120" s="17">
        <v>2.9809999999999999</v>
      </c>
      <c r="D120" s="76">
        <f t="shared" si="6"/>
        <v>6.4948706370441945E-5</v>
      </c>
      <c r="E120" s="70" t="s">
        <v>119</v>
      </c>
      <c r="F120" s="75">
        <f>C80/4.184</f>
        <v>2.9808063879063096</v>
      </c>
      <c r="G120" s="17">
        <v>2.9809999999999999</v>
      </c>
      <c r="H120" s="78">
        <f t="shared" si="7"/>
        <v>6.4948706370441945E-5</v>
      </c>
    </row>
    <row r="121" spans="1:8" x14ac:dyDescent="0.35">
      <c r="A121" s="70" t="s">
        <v>120</v>
      </c>
      <c r="B121" s="17">
        <v>0</v>
      </c>
      <c r="C121" s="17">
        <v>0</v>
      </c>
      <c r="D121" s="76">
        <v>0</v>
      </c>
      <c r="E121" s="70" t="s">
        <v>120</v>
      </c>
      <c r="F121" s="17">
        <v>0</v>
      </c>
      <c r="G121" s="17">
        <v>0</v>
      </c>
      <c r="H121" s="78">
        <v>0</v>
      </c>
    </row>
    <row r="122" spans="1:8" ht="15" thickBot="1" x14ac:dyDescent="0.4">
      <c r="A122" s="126" t="s">
        <v>146</v>
      </c>
      <c r="B122" s="127">
        <f>SUM(B118:B120)</f>
        <v>4.9734484515544635</v>
      </c>
      <c r="C122" s="127">
        <f>SUM(C118:C120)</f>
        <v>4.9729999999999999</v>
      </c>
      <c r="D122" s="128">
        <f t="shared" ref="D122" si="8">ABS(B122-C122)/C122</f>
        <v>9.0177268140680179E-5</v>
      </c>
      <c r="E122" s="126" t="s">
        <v>145</v>
      </c>
      <c r="F122" s="127">
        <f>SUM(F118:F121)</f>
        <v>4.9734484515544635</v>
      </c>
      <c r="G122" s="127">
        <f>SUM(G118:G121)</f>
        <v>4.9729999999999999</v>
      </c>
      <c r="H122" s="129">
        <f t="shared" ref="H122" si="9">ABS(F122-G122)/G122</f>
        <v>9.0177268140680179E-5</v>
      </c>
    </row>
    <row r="125" spans="1:8" ht="37" x14ac:dyDescent="0.35">
      <c r="A125" s="63"/>
    </row>
    <row r="126" spans="1:8" x14ac:dyDescent="0.35">
      <c r="A126" s="47"/>
      <c r="B126" s="47"/>
    </row>
    <row r="127" spans="1:8" x14ac:dyDescent="0.35">
      <c r="B127" s="47"/>
      <c r="C127" s="47"/>
      <c r="E127" s="47"/>
      <c r="G127" s="47"/>
      <c r="H127" s="47"/>
    </row>
    <row r="128" spans="1:8" x14ac:dyDescent="0.35">
      <c r="B128" s="32"/>
      <c r="C128" s="32"/>
      <c r="D128" s="32"/>
      <c r="E128" s="109"/>
      <c r="F128" s="95"/>
      <c r="G128" s="32"/>
    </row>
    <row r="129" spans="2:8" x14ac:dyDescent="0.35">
      <c r="B129" s="32"/>
      <c r="C129" s="32"/>
      <c r="D129" s="32"/>
      <c r="E129" s="109"/>
      <c r="F129" s="95"/>
    </row>
    <row r="130" spans="2:8" x14ac:dyDescent="0.35">
      <c r="B130" s="32"/>
      <c r="C130" s="32"/>
      <c r="E130" s="109"/>
      <c r="G130" s="47"/>
    </row>
    <row r="131" spans="2:8" x14ac:dyDescent="0.35">
      <c r="B131" s="32"/>
      <c r="C131" s="130"/>
      <c r="E131" s="110"/>
      <c r="G131" s="111"/>
    </row>
    <row r="133" spans="2:8" x14ac:dyDescent="0.35">
      <c r="B133" s="47"/>
      <c r="C133" s="47"/>
      <c r="G133" s="47"/>
      <c r="H133" s="47"/>
    </row>
    <row r="134" spans="2:8" x14ac:dyDescent="0.35">
      <c r="B134" s="32"/>
      <c r="E134" s="109"/>
      <c r="F134" s="95"/>
      <c r="G134" s="32"/>
    </row>
    <row r="135" spans="2:8" x14ac:dyDescent="0.35">
      <c r="E135" s="109"/>
    </row>
    <row r="136" spans="2:8" x14ac:dyDescent="0.35">
      <c r="B136" s="32"/>
      <c r="E136" s="109"/>
      <c r="G136" s="47"/>
    </row>
    <row r="137" spans="2:8" x14ac:dyDescent="0.35">
      <c r="C137" s="130"/>
      <c r="E137" s="110"/>
      <c r="G137" s="111"/>
    </row>
    <row r="140" spans="2:8" x14ac:dyDescent="0.35">
      <c r="B140" s="47"/>
      <c r="C140" s="47"/>
      <c r="G140" s="47"/>
      <c r="H140" s="47"/>
    </row>
    <row r="141" spans="2:8" x14ac:dyDescent="0.35">
      <c r="B141" s="32"/>
      <c r="E141" s="109"/>
      <c r="G141" s="32"/>
    </row>
    <row r="142" spans="2:8" x14ac:dyDescent="0.35">
      <c r="B142" s="32"/>
      <c r="E142" s="109"/>
    </row>
    <row r="143" spans="2:8" x14ac:dyDescent="0.35">
      <c r="B143" s="32"/>
      <c r="E143" s="109"/>
      <c r="G143" s="47"/>
    </row>
    <row r="144" spans="2:8" x14ac:dyDescent="0.35">
      <c r="E144" s="110"/>
      <c r="G144" s="111"/>
    </row>
    <row r="147" spans="1:8" ht="37" x14ac:dyDescent="0.35">
      <c r="A147" s="63" t="s">
        <v>128</v>
      </c>
    </row>
    <row r="148" spans="1:8" x14ac:dyDescent="0.35">
      <c r="A148" s="48" t="s">
        <v>129</v>
      </c>
      <c r="B148" s="131" t="s">
        <v>130</v>
      </c>
      <c r="C148" s="131" t="s">
        <v>131</v>
      </c>
      <c r="D148" s="131"/>
    </row>
    <row r="149" spans="1:8" x14ac:dyDescent="0.35">
      <c r="A149" s="132">
        <v>0</v>
      </c>
      <c r="B149" s="60">
        <v>157.43216000000001</v>
      </c>
      <c r="C149" s="60">
        <v>157.43216000000001</v>
      </c>
      <c r="D149" s="60"/>
      <c r="E149" s="47"/>
      <c r="G149" s="133"/>
      <c r="H149" s="47"/>
    </row>
    <row r="150" spans="1:8" x14ac:dyDescent="0.35">
      <c r="B150" s="32"/>
      <c r="C150" s="32"/>
      <c r="E150" s="109"/>
      <c r="F150" s="95"/>
      <c r="G150" s="32"/>
    </row>
    <row r="151" spans="1:8" x14ac:dyDescent="0.35">
      <c r="A151" s="48" t="s">
        <v>3</v>
      </c>
      <c r="B151" s="131" t="s">
        <v>4</v>
      </c>
      <c r="C151" s="131" t="s">
        <v>5</v>
      </c>
      <c r="D151" s="131" t="s">
        <v>58</v>
      </c>
      <c r="E151" s="109"/>
      <c r="F151" s="95"/>
    </row>
    <row r="152" spans="1:8" x14ac:dyDescent="0.35">
      <c r="A152" s="32" t="e" cm="1">
        <f t="array" ref="A152">Tabella333[Planck h]*0.000000001/(8*PI()^2*29979245800*A149/29979245800)</f>
        <v>#DIV/0!</v>
      </c>
      <c r="B152" s="32" cm="1">
        <f t="array" ref="B152">Tabella333[Planck h]*0.000000001/(8*PI()^2*29979245800*B149/29979245800)</f>
        <v>5.3305589663090224E-47</v>
      </c>
      <c r="C152" s="32" cm="1">
        <f t="array" ref="C152">Tabella333[Planck h]*0.000000001/(8*PI()^2*29979245800*C149/29979245800)</f>
        <v>5.3305589663090224E-47</v>
      </c>
      <c r="D152" s="18" t="e">
        <f>SQRT(A152*B152*C152)</f>
        <v>#DIV/0!</v>
      </c>
      <c r="E152" s="109"/>
      <c r="F152" s="18">
        <f>A149/29979245800</f>
        <v>0</v>
      </c>
      <c r="G152" s="47"/>
    </row>
    <row r="153" spans="1:8" x14ac:dyDescent="0.35">
      <c r="E153" s="110"/>
      <c r="G153" s="134"/>
    </row>
    <row r="155" spans="1:8" x14ac:dyDescent="0.35">
      <c r="G155" s="133"/>
      <c r="H155" s="47"/>
    </row>
    <row r="156" spans="1:8" x14ac:dyDescent="0.35">
      <c r="B156" s="32"/>
      <c r="E156" s="109"/>
      <c r="F156" s="95"/>
      <c r="G156" s="32"/>
    </row>
    <row r="157" spans="1:8" x14ac:dyDescent="0.35">
      <c r="E157" s="109"/>
    </row>
    <row r="158" spans="1:8" x14ac:dyDescent="0.35">
      <c r="B158" s="32"/>
      <c r="E158" s="109"/>
      <c r="G158" s="47"/>
    </row>
    <row r="159" spans="1:8" x14ac:dyDescent="0.35">
      <c r="E159" s="110"/>
      <c r="G159" s="134"/>
    </row>
    <row r="160" spans="1:8" x14ac:dyDescent="0.35">
      <c r="A160" s="135" t="s">
        <v>6</v>
      </c>
      <c r="B160" s="136" t="s">
        <v>9</v>
      </c>
    </row>
    <row r="161" spans="1:8" x14ac:dyDescent="0.35">
      <c r="A161" s="112">
        <v>298.14999999999998</v>
      </c>
      <c r="B161" s="32" t="e" cm="1">
        <f t="array" ref="B161">8*PI()^2*(2*PI()*Tabella333[Boltzmann k]*A161)^1.5*$D$152/(Tabella636[Simmetria]*POWER(Tabella333[Planck h],3))</f>
        <v>#DIV/0!</v>
      </c>
    </row>
    <row r="162" spans="1:8" x14ac:dyDescent="0.35">
      <c r="A162" s="112">
        <v>400</v>
      </c>
      <c r="B162" s="32" t="e" cm="1">
        <f t="array" ref="B162">8*PI()^2*(2*PI()*Tabella333[Boltzmann k]*A162)^1.5*$D$152/(Tabella636[Simmetria]*POWER(Tabella333[Planck h],3))</f>
        <v>#DIV/0!</v>
      </c>
      <c r="D162" s="47"/>
      <c r="E162" s="47"/>
      <c r="G162" s="133"/>
      <c r="H162" s="47"/>
    </row>
    <row r="163" spans="1:8" x14ac:dyDescent="0.35">
      <c r="A163" s="112">
        <v>500</v>
      </c>
      <c r="B163" s="32" t="e" cm="1">
        <f t="array" ref="B163">8*PI()^2*(2*PI()*Tabella333[Boltzmann k]*A163)^1.5*$D$152/(Tabella636[Simmetria]*POWER(Tabella333[Planck h],3))</f>
        <v>#DIV/0!</v>
      </c>
      <c r="D163" s="32"/>
      <c r="G163" s="32"/>
    </row>
    <row r="164" spans="1:8" x14ac:dyDescent="0.35">
      <c r="A164" s="112">
        <v>600</v>
      </c>
      <c r="B164" s="32" t="e" cm="1">
        <f t="array" ref="B164">8*PI()^2*(2*PI()*Tabella333[Boltzmann k]*A164)^1.5*$D$152/(Tabella636[Simmetria]*POWER(Tabella333[Planck h],3))</f>
        <v>#DIV/0!</v>
      </c>
    </row>
    <row r="165" spans="1:8" x14ac:dyDescent="0.35">
      <c r="A165" s="112">
        <v>700</v>
      </c>
      <c r="B165" s="32" t="e" cm="1">
        <f t="array" ref="B165">8*PI()^2*(2*PI()*Tabella333[Boltzmann k]*A165)^1.5*$D$152/(Tabella636[Simmetria]*POWER(Tabella333[Planck h],3))</f>
        <v>#DIV/0!</v>
      </c>
      <c r="D165" s="47"/>
      <c r="G165" s="47"/>
    </row>
    <row r="166" spans="1:8" x14ac:dyDescent="0.35">
      <c r="A166" s="112">
        <v>800</v>
      </c>
      <c r="B166" s="32" t="e" cm="1">
        <f t="array" ref="B166">8*PI()^2*(2*PI()*Tabella333[Boltzmann k]*A166)^1.5*$D$152/(Tabella636[Simmetria]*POWER(Tabella333[Planck h],3))</f>
        <v>#DIV/0!</v>
      </c>
      <c r="D166" s="111"/>
      <c r="G166" s="134"/>
    </row>
    <row r="167" spans="1:8" x14ac:dyDescent="0.35">
      <c r="A167" s="112">
        <v>900</v>
      </c>
      <c r="B167" s="32" t="e" cm="1">
        <f t="array" ref="B167">8*PI()^2*(2*PI()*Tabella333[Boltzmann k]*A167)^1.5*$D$152/(Tabella636[Simmetria]*POWER(Tabella333[Planck h],3))</f>
        <v>#DIV/0!</v>
      </c>
    </row>
    <row r="168" spans="1:8" x14ac:dyDescent="0.35">
      <c r="A168" s="112">
        <v>1000</v>
      </c>
      <c r="B168" s="32" t="e" cm="1">
        <f t="array" ref="B168">8*PI()^2*(2*PI()*Tabella333[Boltzmann k]*A168)^1.5*$D$152/(Tabella636[Simmetria]*POWER(Tabella333[Planck h],3))</f>
        <v>#DIV/0!</v>
      </c>
    </row>
    <row r="169" spans="1:8" x14ac:dyDescent="0.35">
      <c r="A169" s="112">
        <v>1100</v>
      </c>
      <c r="B169" s="32" t="e" cm="1">
        <f t="array" ref="B169">8*PI()^2*(2*PI()*Tabella333[Boltzmann k]*A169)^1.5*$D$152/(Tabella636[Simmetria]*POWER(Tabella333[Planck h],3))</f>
        <v>#DIV/0!</v>
      </c>
    </row>
    <row r="170" spans="1:8" x14ac:dyDescent="0.35">
      <c r="A170" s="112">
        <v>1200</v>
      </c>
      <c r="B170" s="32" t="e" cm="1">
        <f t="array" ref="B170">8*PI()^2*(2*PI()*Tabella333[Boltzmann k]*A170)^1.5*$D$152/(Tabella636[Simmetria]*POWER(Tabella333[Planck h],3))</f>
        <v>#DIV/0!</v>
      </c>
    </row>
    <row r="171" spans="1:8" x14ac:dyDescent="0.35">
      <c r="A171" s="112">
        <v>1300</v>
      </c>
      <c r="B171" s="32" t="e" cm="1">
        <f t="array" ref="B171">8*PI()^2*(2*PI()*Tabella333[Boltzmann k]*A171)^1.5*$D$152/(Tabella636[Simmetria]*POWER(Tabella333[Planck h],3))</f>
        <v>#DIV/0!</v>
      </c>
    </row>
    <row r="172" spans="1:8" x14ac:dyDescent="0.35">
      <c r="A172" s="112">
        <v>1400</v>
      </c>
      <c r="B172" s="32" t="e" cm="1">
        <f t="array" ref="B172">8*PI()^2*(2*PI()*Tabella333[Boltzmann k]*A172)^1.5*$D$152/(Tabella636[Simmetria]*POWER(Tabella333[Planck h],3))</f>
        <v>#DIV/0!</v>
      </c>
    </row>
    <row r="173" spans="1:8" x14ac:dyDescent="0.35">
      <c r="A173" s="112">
        <v>1500</v>
      </c>
      <c r="B173" s="32" t="e" cm="1">
        <f t="array" ref="B173">8*PI()^2*(2*PI()*Tabella333[Boltzmann k]*A173)^1.5*$D$152/(Tabella636[Simmetria]*POWER(Tabella333[Planck h],3))</f>
        <v>#DIV/0!</v>
      </c>
    </row>
    <row r="174" spans="1:8" x14ac:dyDescent="0.35">
      <c r="A174" s="112">
        <v>1600</v>
      </c>
      <c r="B174" s="32" t="e" cm="1">
        <f t="array" ref="B174">8*PI()^2*(2*PI()*Tabella333[Boltzmann k]*A174)^1.5*$D$152/(Tabella636[Simmetria]*POWER(Tabella333[Planck h],3))</f>
        <v>#DIV/0!</v>
      </c>
    </row>
    <row r="175" spans="1:8" x14ac:dyDescent="0.35">
      <c r="A175" s="112">
        <v>1700</v>
      </c>
      <c r="B175" s="32" t="e" cm="1">
        <f t="array" ref="B175">8*PI()^2*(2*PI()*Tabella333[Boltzmann k]*A175)^1.5*$D$152/(Tabella636[Simmetria]*POWER(Tabella333[Planck h],3))</f>
        <v>#DIV/0!</v>
      </c>
    </row>
    <row r="176" spans="1:8" x14ac:dyDescent="0.35">
      <c r="A176" s="112">
        <v>1800</v>
      </c>
      <c r="B176" s="32" t="e" cm="1">
        <f t="array" ref="B176">8*PI()^2*(2*PI()*Tabella333[Boltzmann k]*A176)^1.5*$D$152/(Tabella636[Simmetria]*POWER(Tabella333[Planck h],3))</f>
        <v>#DIV/0!</v>
      </c>
    </row>
    <row r="177" spans="1:2" x14ac:dyDescent="0.35">
      <c r="A177" s="112">
        <v>1900</v>
      </c>
      <c r="B177" s="32" t="e" cm="1">
        <f t="array" ref="B177">8*PI()^2*(2*PI()*Tabella333[Boltzmann k]*A177)^1.5*$D$152/(Tabella636[Simmetria]*POWER(Tabella333[Planck h],3))</f>
        <v>#DIV/0!</v>
      </c>
    </row>
    <row r="178" spans="1:2" x14ac:dyDescent="0.35">
      <c r="A178" s="112">
        <v>2000</v>
      </c>
      <c r="B178" s="32" t="e" cm="1">
        <f t="array" ref="B178">8*PI()^2*(2*PI()*Tabella333[Boltzmann k]*A178)^1.5*$D$152/(Tabella636[Simmetria]*POWER(Tabella333[Planck h],3))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50C-44C3-4AB5-B832-632D3425361A}">
  <dimension ref="A1:X178"/>
  <sheetViews>
    <sheetView topLeftCell="A13" zoomScale="85" zoomScaleNormal="85" workbookViewId="0">
      <selection activeCell="C58" sqref="C58:C75"/>
    </sheetView>
  </sheetViews>
  <sheetFormatPr defaultColWidth="9.1796875" defaultRowHeight="14.5" x14ac:dyDescent="0.35"/>
  <cols>
    <col min="1" max="1" width="15.81640625" style="18" customWidth="1"/>
    <col min="2" max="2" width="21.54296875" style="18" bestFit="1" customWidth="1"/>
    <col min="3" max="3" width="15.7265625" style="18" customWidth="1"/>
    <col min="4" max="4" width="19.81640625" style="18" customWidth="1"/>
    <col min="5" max="5" width="20.1796875" style="18" bestFit="1" customWidth="1"/>
    <col min="6" max="6" width="14.7265625" style="18" customWidth="1"/>
    <col min="7" max="7" width="24.81640625" style="18" bestFit="1" customWidth="1"/>
    <col min="8" max="8" width="22.26953125" style="18" customWidth="1"/>
    <col min="9" max="9" width="24.7265625" style="18" bestFit="1" customWidth="1"/>
    <col min="10" max="10" width="13.7265625" style="18" customWidth="1"/>
    <col min="11" max="11" width="14.26953125" style="18" customWidth="1"/>
    <col min="12" max="13" width="13.7265625" style="18" customWidth="1"/>
    <col min="14" max="14" width="14.54296875" style="18" bestFit="1" customWidth="1"/>
    <col min="15" max="15" width="13.7265625" style="18" customWidth="1"/>
    <col min="16" max="16" width="13.453125" style="18" customWidth="1"/>
    <col min="17" max="19" width="14.54296875" style="18" bestFit="1" customWidth="1"/>
    <col min="20" max="24" width="13.453125" style="18" bestFit="1" customWidth="1"/>
    <col min="25" max="16384" width="9.1796875" style="18"/>
  </cols>
  <sheetData>
    <row r="1" spans="1:9" x14ac:dyDescent="0.3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9" x14ac:dyDescent="0.35">
      <c r="A2" s="18">
        <f>PI()</f>
        <v>3.1415926535897931</v>
      </c>
      <c r="B2" s="32">
        <f>1.66E-27*Tabella33317[[#This Row],[Massa '[g/mol']]]</f>
        <v>7.6348213999999992E-26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45.992899999999999</v>
      </c>
      <c r="H2" s="18">
        <v>3</v>
      </c>
    </row>
    <row r="6" spans="1:9" ht="15" thickBot="1" x14ac:dyDescent="0.4">
      <c r="G6" s="48" t="s">
        <v>103</v>
      </c>
      <c r="H6" s="48" t="s">
        <v>121</v>
      </c>
      <c r="I6" s="48" t="s">
        <v>104</v>
      </c>
    </row>
    <row r="7" spans="1:9" ht="15" thickBot="1" x14ac:dyDescent="0.4">
      <c r="G7" s="49">
        <v>11.286110000000001</v>
      </c>
      <c r="H7" s="33">
        <v>0.61951000000000001</v>
      </c>
      <c r="I7" s="5">
        <v>0.58726999999999996</v>
      </c>
    </row>
    <row r="8" spans="1:9" x14ac:dyDescent="0.35">
      <c r="A8" s="18" t="s">
        <v>11</v>
      </c>
      <c r="B8" s="18" t="s">
        <v>12</v>
      </c>
      <c r="C8" s="18" t="s">
        <v>13</v>
      </c>
      <c r="G8" s="32"/>
      <c r="H8" s="32"/>
      <c r="I8" s="32"/>
    </row>
    <row r="9" spans="1:9" x14ac:dyDescent="0.35">
      <c r="A9" s="18">
        <v>2</v>
      </c>
      <c r="B9" s="18">
        <v>2</v>
      </c>
    </row>
    <row r="10" spans="1:9" x14ac:dyDescent="0.35">
      <c r="B10" s="18" t="s">
        <v>22</v>
      </c>
      <c r="C10" s="18" t="s">
        <v>23</v>
      </c>
      <c r="D10" s="18" t="s">
        <v>24</v>
      </c>
    </row>
    <row r="11" spans="1:9" x14ac:dyDescent="0.35">
      <c r="B11" s="8">
        <v>749.05520000000001</v>
      </c>
      <c r="C11" s="6">
        <v>1395.6502</v>
      </c>
      <c r="D11" s="6">
        <v>1708.0454</v>
      </c>
    </row>
    <row r="12" spans="1:9" x14ac:dyDescent="0.35">
      <c r="B12" s="18" t="s">
        <v>22</v>
      </c>
      <c r="C12" s="18" t="s">
        <v>23</v>
      </c>
      <c r="D12" s="18" t="s">
        <v>24</v>
      </c>
    </row>
    <row r="13" spans="1:9" x14ac:dyDescent="0.35">
      <c r="B13" s="18" cm="1">
        <f t="array" ref="B13">Tabella9314775[Frequenza1]*29979300000</f>
        <v>22456150557360</v>
      </c>
      <c r="C13" s="18" cm="1">
        <f t="array" ref="C13">Tabella9314775[Frequenza2]*29979300000</f>
        <v>41840616040860</v>
      </c>
      <c r="D13" s="18" cm="1">
        <f t="array" ref="D13">Tabella9314775[Frequenza3]*29979300000</f>
        <v>51206005460220</v>
      </c>
      <c r="H13" s="32"/>
    </row>
    <row r="14" spans="1:9" x14ac:dyDescent="0.35">
      <c r="A14" s="18" t="s">
        <v>6</v>
      </c>
      <c r="B14" s="18" t="s">
        <v>31</v>
      </c>
      <c r="C14" s="18" t="s">
        <v>14</v>
      </c>
      <c r="D14" s="18" t="s">
        <v>15</v>
      </c>
      <c r="E14" s="50" t="s">
        <v>32</v>
      </c>
      <c r="H14" s="32"/>
    </row>
    <row r="15" spans="1:9" x14ac:dyDescent="0.35">
      <c r="A15" s="18">
        <v>298.14999999999998</v>
      </c>
      <c r="B15" s="32" cm="1">
        <f t="array" ref="B15">EXP(-(Tabella3[Planck h]*Tabella93866[Frequenza1])/(Tabella3[Boltzmann k]*2*Tabella83765[[#This Row],[Temperatura]]))/(1-EXP(-(Tabella3[Planck h]*Tabella93866[Frequenza1])/(Tabella3[Boltzmann k]*Tabella83765[[#This Row],[Temperatura]])))</f>
        <v>0.16862806178691372</v>
      </c>
      <c r="C15" s="32" cm="1">
        <f t="array" ref="C15">EXP(-(Tabella3[Planck h]*Tabella93866[Frequenza2])/(Tabella3[Boltzmann k]*2*Tabella83765[[#This Row],[Temperatura]]))/(1-EXP(-(Tabella3[Planck h]*Tabella93866[Frequenza2])/(Tabella3[Boltzmann k]*Tabella83765[[#This Row],[Temperatura]])))</f>
        <v>3.4517197555058964E-2</v>
      </c>
      <c r="D15" s="32" cm="1">
        <f t="array" ref="D15">EXP(-(Tabella3[Planck h]*Tabella93866[Frequenza3])/(Tabella3[Boltzmann k]*2*Tabella83765[[#This Row],[Temperatura]]))/(1-EXP(-(Tabella3[Planck h]*Tabella93866[Frequenza3])/(Tabella3[Boltzmann k]*Tabella83765[[#This Row],[Temperatura]])))</f>
        <v>1.622852646487619E-2</v>
      </c>
      <c r="E15" s="51">
        <f>PRODUCT(Tabella83765[[#This Row],[Qvib1]:[Qvib3]])</f>
        <v>9.4459243808906994E-5</v>
      </c>
      <c r="H15" s="32"/>
    </row>
    <row r="16" spans="1:9" x14ac:dyDescent="0.35">
      <c r="A16" s="18">
        <v>400</v>
      </c>
      <c r="B16" s="32" cm="1">
        <f t="array" ref="B16">EXP(-(Tabella3[Planck h]*Tabella93866[Frequenza1])/(Tabella3[Boltzmann k]*2*Tabella83765[[#This Row],[Temperatura]]))/(1-EXP(-(Tabella3[Planck h]*Tabella93866[Frequenza1])/(Tabella3[Boltzmann k]*Tabella83765[[#This Row],[Temperatura]])))</f>
        <v>0.27882389725995504</v>
      </c>
      <c r="C16" s="32" cm="1">
        <f t="array" ref="C16">EXP(-(Tabella3[Planck h]*Tabella93866[Frequenza2])/(Tabella3[Boltzmann k]*2*Tabella83765[[#This Row],[Temperatura]]))/(1-EXP(-(Tabella3[Planck h]*Tabella93866[Frequenza2])/(Tabella3[Boltzmann k]*Tabella83765[[#This Row],[Temperatura]])))</f>
        <v>8.1805183974896403E-2</v>
      </c>
      <c r="D16" s="32" cm="1">
        <f t="array" ref="D16">EXP(-(Tabella3[Planck h]*Tabella93866[Frequenza3])/(Tabella3[Boltzmann k]*2*Tabella83765[[#This Row],[Temperatura]]))/(1-EXP(-(Tabella3[Planck h]*Tabella93866[Frequenza3])/(Tabella3[Boltzmann k]*Tabella83765[[#This Row],[Temperatura]])))</f>
        <v>4.6433874669605191E-2</v>
      </c>
      <c r="E16" s="51">
        <f>PRODUCT(Tabella83765[[#This Row],[Qvib1]:[Qvib3]])</f>
        <v>1.0591214013105233E-3</v>
      </c>
    </row>
    <row r="17" spans="1:9" x14ac:dyDescent="0.35">
      <c r="A17" s="18">
        <v>500</v>
      </c>
      <c r="B17" s="32" cm="1">
        <f t="array" ref="B17">EXP(-(Tabella3[Planck h]*Tabella93866[Frequenza1])/(Tabella3[Boltzmann k]*2*Tabella83765[[#This Row],[Temperatura]]))/(1-EXP(-(Tabella3[Planck h]*Tabella93866[Frequenza1])/(Tabella3[Boltzmann k]*Tabella83765[[#This Row],[Temperatura]])))</f>
        <v>0.38496790955995464</v>
      </c>
      <c r="C17" s="32" cm="1">
        <f t="array" ref="C17">EXP(-(Tabella3[Planck h]*Tabella93866[Frequenza2])/(Tabella3[Boltzmann k]*2*Tabella83765[[#This Row],[Temperatura]]))/(1-EXP(-(Tabella3[Planck h]*Tabella93866[Frequenza2])/(Tabella3[Boltzmann k]*Tabella83765[[#This Row],[Temperatura]])))</f>
        <v>0.13671671212524533</v>
      </c>
      <c r="D17" s="32" cm="1">
        <f t="array" ref="D17">EXP(-(Tabella3[Planck h]*Tabella93866[Frequenza3])/(Tabella3[Boltzmann k]*2*Tabella83765[[#This Row],[Temperatura]]))/(1-EXP(-(Tabella3[Planck h]*Tabella93866[Frequenza3])/(Tabella3[Boltzmann k]*Tabella83765[[#This Row],[Temperatura]])))</f>
        <v>8.6281730543119217E-2</v>
      </c>
      <c r="E17" s="51">
        <f>PRODUCT(Tabella83765[[#This Row],[Qvib1]:[Qvib3]])</f>
        <v>4.5411409449984006E-3</v>
      </c>
    </row>
    <row r="18" spans="1:9" x14ac:dyDescent="0.35">
      <c r="A18" s="18">
        <v>600</v>
      </c>
      <c r="B18" s="32" cm="1">
        <f t="array" ref="B18">EXP(-(Tabella3[Planck h]*Tabella93866[Frequenza1])/(Tabella3[Boltzmann k]*2*Tabella83765[[#This Row],[Temperatura]]))/(1-EXP(-(Tabella3[Planck h]*Tabella93866[Frequenza1])/(Tabella3[Boltzmann k]*Tabella83765[[#This Row],[Temperatura]])))</f>
        <v>0.48837582292266551</v>
      </c>
      <c r="C18" s="32" cm="1">
        <f t="array" ref="C18">EXP(-(Tabella3[Planck h]*Tabella93866[Frequenza2])/(Tabella3[Boltzmann k]*2*Tabella83765[[#This Row],[Temperatura]]))/(1-EXP(-(Tabella3[Planck h]*Tabella93866[Frequenza2])/(Tabella3[Boltzmann k]*Tabella83765[[#This Row],[Temperatura]])))</f>
        <v>0.19446047695344579</v>
      </c>
      <c r="D18" s="32" cm="1">
        <f t="array" ref="D18">EXP(-(Tabella3[Planck h]*Tabella93866[Frequenza3])/(Tabella3[Boltzmann k]*2*Tabella83765[[#This Row],[Temperatura]]))/(1-EXP(-(Tabella3[Planck h]*Tabella93866[Frequenza3])/(Tabella3[Boltzmann k]*Tabella83765[[#This Row],[Temperatura]])))</f>
        <v>0.13118655354869285</v>
      </c>
      <c r="E18" s="51">
        <f>PRODUCT(Tabella83765[[#This Row],[Qvib1]:[Qvib3]])</f>
        <v>1.2458760157368916E-2</v>
      </c>
    </row>
    <row r="19" spans="1:9" x14ac:dyDescent="0.35">
      <c r="A19" s="18">
        <v>700</v>
      </c>
      <c r="B19" s="32" cm="1">
        <f t="array" ref="B19">EXP(-(Tabella3[Planck h]*Tabella93866[Frequenza1])/(Tabella3[Boltzmann k]*2*Tabella83765[[#This Row],[Temperatura]]))/(1-EXP(-(Tabella3[Planck h]*Tabella93866[Frequenza1])/(Tabella3[Boltzmann k]*Tabella83765[[#This Row],[Temperatura]])))</f>
        <v>0.58953988536010238</v>
      </c>
      <c r="C19" s="32" cm="1">
        <f t="array" ref="C19">EXP(-(Tabella3[Planck h]*Tabella93866[Frequenza2])/(Tabella3[Boltzmann k]*2*Tabella83765[[#This Row],[Temperatura]]))/(1-EXP(-(Tabella3[Planck h]*Tabella93866[Frequenza2])/(Tabella3[Boltzmann k]*Tabella83765[[#This Row],[Temperatura]])))</f>
        <v>0.25262326461729784</v>
      </c>
      <c r="D19" s="32" cm="1">
        <f t="array" ref="D19">EXP(-(Tabella3[Planck h]*Tabella93866[Frequenza3])/(Tabella3[Boltzmann k]*2*Tabella83765[[#This Row],[Temperatura]]))/(1-EXP(-(Tabella3[Planck h]*Tabella93866[Frequenza3])/(Tabella3[Boltzmann k]*Tabella83765[[#This Row],[Temperatura]])))</f>
        <v>0.17816836129651209</v>
      </c>
      <c r="E19" s="51">
        <f>PRODUCT(Tabella83765[[#This Row],[Qvib1]:[Qvib3]])</f>
        <v>2.6534879601021851E-2</v>
      </c>
    </row>
    <row r="20" spans="1:9" x14ac:dyDescent="0.35">
      <c r="A20" s="18">
        <v>800</v>
      </c>
      <c r="B20" s="32" cm="1">
        <f t="array" ref="B20">EXP(-(Tabella3[Planck h]*Tabella93866[Frequenza1])/(Tabella3[Boltzmann k]*2*Tabella83765[[#This Row],[Temperatura]]))/(1-EXP(-(Tabella3[Planck h]*Tabella93866[Frequenza1])/(Tabella3[Boltzmann k]*Tabella83765[[#This Row],[Temperatura]])))</f>
        <v>0.6890082194089433</v>
      </c>
      <c r="C20" s="32" cm="1">
        <f t="array" ref="C20">EXP(-(Tabella3[Planck h]*Tabella93866[Frequenza2])/(Tabella3[Boltzmann k]*2*Tabella83765[[#This Row],[Temperatura]]))/(1-EXP(-(Tabella3[Planck h]*Tabella93866[Frequenza2])/(Tabella3[Boltzmann k]*Tabella83765[[#This Row],[Temperatura]])))</f>
        <v>0.31028539209734834</v>
      </c>
      <c r="D20" s="32" cm="1">
        <f t="array" ref="D20">EXP(-(Tabella3[Planck h]*Tabella93866[Frequenza3])/(Tabella3[Boltzmann k]*2*Tabella83765[[#This Row],[Temperatura]]))/(1-EXP(-(Tabella3[Planck h]*Tabella93866[Frequenza3])/(Tabella3[Boltzmann k]*Tabella83765[[#This Row],[Temperatura]])))</f>
        <v>0.22571195543198017</v>
      </c>
      <c r="E20" s="51">
        <f>PRODUCT(Tabella83765[[#This Row],[Qvib1]:[Qvib3]])</f>
        <v>4.825477511338782E-2</v>
      </c>
    </row>
    <row r="21" spans="1:9" x14ac:dyDescent="0.35">
      <c r="A21" s="18">
        <v>900</v>
      </c>
      <c r="B21" s="32" cm="1">
        <f t="array" ref="B21">EXP(-(Tabella3[Planck h]*Tabella93866[Frequenza1])/(Tabella3[Boltzmann k]*2*Tabella83765[[#This Row],[Temperatura]]))/(1-EXP(-(Tabella3[Planck h]*Tabella93866[Frequenza1])/(Tabella3[Boltzmann k]*Tabella83765[[#This Row],[Temperatura]])))</f>
        <v>0.78720841767917527</v>
      </c>
      <c r="C21" s="32" cm="1">
        <f t="array" ref="C21">EXP(-(Tabella3[Planck h]*Tabella93866[Frequenza2])/(Tabella3[Boltzmann k]*2*Tabella83765[[#This Row],[Temperatura]]))/(1-EXP(-(Tabella3[Planck h]*Tabella93866[Frequenza2])/(Tabella3[Boltzmann k]*Tabella83765[[#This Row],[Temperatura]])))</f>
        <v>0.36716237631187504</v>
      </c>
      <c r="D21" s="32" cm="1">
        <f t="array" ref="D21">EXP(-(Tabella3[Planck h]*Tabella93866[Frequenza3])/(Tabella3[Boltzmann k]*2*Tabella83765[[#This Row],[Temperatura]]))/(1-EXP(-(Tabella3[Planck h]*Tabella93866[Frequenza3])/(Tabella3[Boltzmann k]*Tabella83765[[#This Row],[Temperatura]])))</f>
        <v>0.27311199946885006</v>
      </c>
      <c r="E21" s="51">
        <f>PRODUCT(Tabella83765[[#This Row],[Qvib1]:[Qvib3]])</f>
        <v>7.8938466105136815E-2</v>
      </c>
    </row>
    <row r="22" spans="1:9" x14ac:dyDescent="0.35">
      <c r="A22" s="18">
        <v>1000</v>
      </c>
      <c r="B22" s="32" cm="1">
        <f t="array" ref="B22">EXP(-(Tabella3[Planck h]*Tabella93866[Frequenza1])/(Tabella3[Boltzmann k]*2*Tabella83765[[#This Row],[Temperatura]]))/(1-EXP(-(Tabella3[Planck h]*Tabella93866[Frequenza1])/(Tabella3[Boltzmann k]*Tabella83765[[#This Row],[Temperatura]])))</f>
        <v>0.88445127362091203</v>
      </c>
      <c r="C22" s="32" cm="1">
        <f t="array" ref="C22">EXP(-(Tabella3[Planck h]*Tabella93866[Frequenza2])/(Tabella3[Boltzmann k]*2*Tabella83765[[#This Row],[Temperatura]]))/(1-EXP(-(Tabella3[Planck h]*Tabella93866[Frequenza2])/(Tabella3[Boltzmann k]*Tabella83765[[#This Row],[Temperatura]])))</f>
        <v>0.42322379844637242</v>
      </c>
      <c r="D22" s="32" cm="1">
        <f t="array" ref="D22">EXP(-(Tabella3[Planck h]*Tabella93866[Frequenza3])/(Tabella3[Boltzmann k]*2*Tabella83765[[#This Row],[Temperatura]]))/(1-EXP(-(Tabella3[Planck h]*Tabella93866[Frequenza3])/(Tabella3[Boltzmann k]*Tabella83765[[#This Row],[Temperatura]])))</f>
        <v>0.32007192286289549</v>
      </c>
      <c r="E22" s="51">
        <f>PRODUCT(Tabella83765[[#This Row],[Qvib1]:[Qvib3]])</f>
        <v>0.11980958704558346</v>
      </c>
    </row>
    <row r="23" spans="1:9" x14ac:dyDescent="0.35">
      <c r="A23" s="18">
        <v>1100</v>
      </c>
      <c r="B23" s="32" cm="1">
        <f t="array" ref="B23">EXP(-(Tabella3[Planck h]*Tabella93866[Frequenza1])/(Tabella3[Boltzmann k]*2*Tabella83765[[#This Row],[Temperatura]]))/(1-EXP(-(Tabella3[Planck h]*Tabella93866[Frequenza1])/(Tabella3[Boltzmann k]*Tabella83765[[#This Row],[Temperatura]])))</f>
        <v>0.98096030552212177</v>
      </c>
      <c r="C23" s="32" cm="1">
        <f t="array" ref="C23">EXP(-(Tabella3[Planck h]*Tabella93866[Frequenza2])/(Tabella3[Boltzmann k]*2*Tabella83765[[#This Row],[Temperatura]]))/(1-EXP(-(Tabella3[Planck h]*Tabella93866[Frequenza2])/(Tabella3[Boltzmann k]*Tabella83765[[#This Row],[Temperatura]])))</f>
        <v>0.47853256505724856</v>
      </c>
      <c r="D23" s="32" cm="1">
        <f t="array" ref="D23">EXP(-(Tabella3[Planck h]*Tabella93866[Frequenza3])/(Tabella3[Boltzmann k]*2*Tabella83765[[#This Row],[Temperatura]]))/(1-EXP(-(Tabella3[Planck h]*Tabella93866[Frequenza3])/(Tabella3[Boltzmann k]*Tabella83765[[#This Row],[Temperatura]])))</f>
        <v>0.36649269772435772</v>
      </c>
      <c r="E23" s="51">
        <f>PRODUCT(Tabella83765[[#This Row],[Qvib1]:[Qvib3]])</f>
        <v>0.1720395340276098</v>
      </c>
    </row>
    <row r="24" spans="1:9" x14ac:dyDescent="0.35">
      <c r="A24" s="18">
        <v>1200</v>
      </c>
      <c r="B24" s="32" cm="1">
        <f t="array" ref="B24">EXP(-(Tabella3[Planck h]*Tabella93866[Frequenza1])/(Tabella3[Boltzmann k]*2*Tabella83765[[#This Row],[Temperatura]]))/(1-EXP(-(Tabella3[Planck h]*Tabella93866[Frequenza1])/(Tabella3[Boltzmann k]*Tabella83765[[#This Row],[Temperatura]])))</f>
        <v>1.076897565478808</v>
      </c>
      <c r="C24" s="32" cm="1">
        <f t="array" ref="C24">EXP(-(Tabella3[Planck h]*Tabella93866[Frequenza2])/(Tabella3[Boltzmann k]*2*Tabella83765[[#This Row],[Temperatura]]))/(1-EXP(-(Tabella3[Planck h]*Tabella93866[Frequenza2])/(Tabella3[Boltzmann k]*Tabella83765[[#This Row],[Temperatura]])))</f>
        <v>0.53317872131703581</v>
      </c>
      <c r="D24" s="32" cm="1">
        <f t="array" ref="D24">EXP(-(Tabella3[Planck h]*Tabella93866[Frequenza3])/(Tabella3[Boltzmann k]*2*Tabella83765[[#This Row],[Temperatura]]))/(1-EXP(-(Tabella3[Planck h]*Tabella93866[Frequenza3])/(Tabella3[Boltzmann k]*Tabella83765[[#This Row],[Temperatura]])))</f>
        <v>0.41236713043350526</v>
      </c>
      <c r="E24" s="51">
        <f>PRODUCT(Tabella83765[[#This Row],[Qvib1]:[Qvib3]])</f>
        <v>0.23677249172031836</v>
      </c>
    </row>
    <row r="25" spans="1:9" x14ac:dyDescent="0.35">
      <c r="A25" s="18">
        <v>1300</v>
      </c>
      <c r="B25" s="32" cm="1">
        <f t="array" ref="B25">EXP(-(Tabella3[Planck h]*Tabella93866[Frequenza1])/(Tabella3[Boltzmann k]*2*Tabella83765[[#This Row],[Temperatura]]))/(1-EXP(-(Tabella3[Planck h]*Tabella93866[Frequenza1])/(Tabella3[Boltzmann k]*Tabella83765[[#This Row],[Temperatura]])))</f>
        <v>1.1723822321621702</v>
      </c>
      <c r="C25" s="32" cm="1">
        <f t="array" ref="C25">EXP(-(Tabella3[Planck h]*Tabella93866[Frequenza2])/(Tabella3[Boltzmann k]*2*Tabella83765[[#This Row],[Temperatura]]))/(1-EXP(-(Tabella3[Planck h]*Tabella93866[Frequenza2])/(Tabella3[Boltzmann k]*Tabella83765[[#This Row],[Temperatura]])))</f>
        <v>0.58725318025801831</v>
      </c>
      <c r="D25" s="32" cm="1">
        <f t="array" ref="D25">EXP(-(Tabella3[Planck h]*Tabella93866[Frequenza3])/(Tabella3[Boltzmann k]*2*Tabella83765[[#This Row],[Temperatura]]))/(1-EXP(-(Tabella3[Planck h]*Tabella93866[Frequenza3])/(Tabella3[Boltzmann k]*Tabella83765[[#This Row],[Temperatura]])))</f>
        <v>0.45772800780816281</v>
      </c>
      <c r="E25" s="51">
        <f>PRODUCT(Tabella83765[[#This Row],[Qvib1]:[Qvib3]])</f>
        <v>0.31513895639932554</v>
      </c>
    </row>
    <row r="26" spans="1:9" x14ac:dyDescent="0.35">
      <c r="A26" s="18">
        <v>1400</v>
      </c>
      <c r="B26" s="32" cm="1">
        <f t="array" ref="B26">EXP(-(Tabella3[Planck h]*Tabella93866[Frequenza1])/(Tabella3[Boltzmann k]*2*Tabella83765[[#This Row],[Temperatura]]))/(1-EXP(-(Tabella3[Planck h]*Tabella93866[Frequenza1])/(Tabella3[Boltzmann k]*Tabella83765[[#This Row],[Temperatura]])))</f>
        <v>1.2675033652067167</v>
      </c>
      <c r="C26" s="32" cm="1">
        <f t="array" ref="C26">EXP(-(Tabella3[Planck h]*Tabella93866[Frequenza2])/(Tabella3[Boltzmann k]*2*Tabella83765[[#This Row],[Temperatura]]))/(1-EXP(-(Tabella3[Planck h]*Tabella93866[Frequenza2])/(Tabella3[Boltzmann k]*Tabella83765[[#This Row],[Temperatura]])))</f>
        <v>0.6408382333157423</v>
      </c>
      <c r="D26" s="32" cm="1">
        <f t="array" ref="D26">EXP(-(Tabella3[Planck h]*Tabella93866[Frequenza3])/(Tabella3[Boltzmann k]*2*Tabella83765[[#This Row],[Temperatura]]))/(1-EXP(-(Tabella3[Planck h]*Tabella93866[Frequenza3])/(Tabella3[Boltzmann k]*Tabella83765[[#This Row],[Temperatura]])))</f>
        <v>0.50262301286172217</v>
      </c>
      <c r="E26" s="51">
        <f>PRODUCT(Tabella83765[[#This Row],[Qvib1]:[Qvib3]])</f>
        <v>0.40826288917866466</v>
      </c>
    </row>
    <row r="27" spans="1:9" x14ac:dyDescent="0.35">
      <c r="A27" s="18">
        <v>1500</v>
      </c>
      <c r="B27" s="32" cm="1">
        <f t="array" ref="B27">EXP(-(Tabella3[Planck h]*Tabella93866[Frequenza1])/(Tabella3[Boltzmann k]*2*Tabella83765[[#This Row],[Temperatura]]))/(1-EXP(-(Tabella3[Planck h]*Tabella93866[Frequenza1])/(Tabella3[Boltzmann k]*Tabella83765[[#This Row],[Temperatura]])))</f>
        <v>1.3623285821732383</v>
      </c>
      <c r="C27" s="32" cm="1">
        <f t="array" ref="C27">EXP(-(Tabella3[Planck h]*Tabella93866[Frequenza2])/(Tabella3[Boltzmann k]*2*Tabella83765[[#This Row],[Temperatura]]))/(1-EXP(-(Tabella3[Planck h]*Tabella93866[Frequenza2])/(Tabella3[Boltzmann k]*Tabella83765[[#This Row],[Temperatura]])))</f>
        <v>0.69400502406119724</v>
      </c>
      <c r="D27" s="32" cm="1">
        <f t="array" ref="D27">EXP(-(Tabella3[Planck h]*Tabella93866[Frequenza3])/(Tabella3[Boltzmann k]*2*Tabella83765[[#This Row],[Temperatura]]))/(1-EXP(-(Tabella3[Planck h]*Tabella93866[Frequenza3])/(Tabella3[Boltzmann k]*Tabella83765[[#This Row],[Temperatura]])))</f>
        <v>0.54710286243478512</v>
      </c>
      <c r="E27" s="51">
        <f>PRODUCT(Tabella83765[[#This Row],[Qvib1]:[Qvib3]])</f>
        <v>0.51726544822024811</v>
      </c>
    </row>
    <row r="28" spans="1:9" x14ac:dyDescent="0.35">
      <c r="A28" s="18">
        <v>1600</v>
      </c>
      <c r="B28" s="32" cm="1">
        <f t="array" ref="B28">EXP(-(Tabella3[Planck h]*Tabella93866[Frequenza1])/(Tabella3[Boltzmann k]*2*Tabella83765[[#This Row],[Temperatura]]))/(1-EXP(-(Tabella3[Planck h]*Tabella93866[Frequenza1])/(Tabella3[Boltzmann k]*Tabella83765[[#This Row],[Temperatura]])))</f>
        <v>1.4569100004329272</v>
      </c>
      <c r="C28" s="32" cm="1">
        <f t="array" ref="C28">EXP(-(Tabella3[Planck h]*Tabella93866[Frequenza2])/(Tabella3[Boltzmann k]*2*Tabella83765[[#This Row],[Temperatura]]))/(1-EXP(-(Tabella3[Planck h]*Tabella93866[Frequenza2])/(Tabella3[Boltzmann k]*Tabella83765[[#This Row],[Temperatura]])))</f>
        <v>0.74681378999882009</v>
      </c>
      <c r="D28" s="32" cm="1">
        <f t="array" ref="D28">EXP(-(Tabella3[Planck h]*Tabella93866[Frequenza3])/(Tabella3[Boltzmann k]*2*Tabella83765[[#This Row],[Temperatura]]))/(1-EXP(-(Tabella3[Planck h]*Tabella93866[Frequenza3])/(Tabella3[Boltzmann k]*Tabella83765[[#This Row],[Temperatura]])))</f>
        <v>0.59121596564403478</v>
      </c>
      <c r="E28" s="51">
        <f>PRODUCT(Tabella83765[[#This Row],[Qvib1]:[Qvib3]])</f>
        <v>0.64326690251711072</v>
      </c>
    </row>
    <row r="29" spans="1:9" x14ac:dyDescent="0.35">
      <c r="A29" s="18">
        <v>1700</v>
      </c>
      <c r="B29" s="32" cm="1">
        <f t="array" ref="B29">EXP(-(Tabella3[Planck h]*Tabella93866[Frequenza1])/(Tabella3[Boltzmann k]*2*Tabella83765[[#This Row],[Temperatura]]))/(1-EXP(-(Tabella3[Planck h]*Tabella93866[Frequenza1])/(Tabella3[Boltzmann k]*Tabella83765[[#This Row],[Temperatura]])))</f>
        <v>1.5512883569288496</v>
      </c>
      <c r="C29" s="32" cm="1">
        <f t="array" ref="C29">EXP(-(Tabella3[Planck h]*Tabella93866[Frequenza2])/(Tabella3[Boltzmann k]*2*Tabella83765[[#This Row],[Temperatura]]))/(1-EXP(-(Tabella3[Planck h]*Tabella93866[Frequenza2])/(Tabella3[Boltzmann k]*Tabella83765[[#This Row],[Temperatura]])))</f>
        <v>0.79931508047056343</v>
      </c>
      <c r="D29" s="32" cm="1">
        <f t="array" ref="D29">EXP(-(Tabella3[Planck h]*Tabella93866[Frequenza3])/(Tabella3[Boltzmann k]*2*Tabella83765[[#This Row],[Temperatura]]))/(1-EXP(-(Tabella3[Planck h]*Tabella93866[Frequenza3])/(Tabella3[Boltzmann k]*Tabella83765[[#This Row],[Temperatura]])))</f>
        <v>0.63500628198770703</v>
      </c>
      <c r="E29" s="51">
        <f>PRODUCT(Tabella83765[[#This Row],[Qvib1]:[Qvib3]])</f>
        <v>0.78738758240063644</v>
      </c>
    </row>
    <row r="30" spans="1:9" x14ac:dyDescent="0.35">
      <c r="A30" s="18">
        <v>1800</v>
      </c>
      <c r="B30" s="32" cm="1">
        <f t="array" ref="B30">EXP(-(Tabella3[Planck h]*Tabella93866[Frequenza1])/(Tabella3[Boltzmann k]*2*Tabella83765[[#This Row],[Temperatura]]))/(1-EXP(-(Tabella3[Planck h]*Tabella93866[Frequenza1])/(Tabella3[Boltzmann k]*Tabella83765[[#This Row],[Temperatura]])))</f>
        <v>1.645495906471143</v>
      </c>
      <c r="C30" s="32" cm="1">
        <f t="array" ref="C30">EXP(-(Tabella3[Planck h]*Tabella93866[Frequenza2])/(Tabella3[Boltzmann k]*2*Tabella83765[[#This Row],[Temperatura]]))/(1-EXP(-(Tabella3[Planck h]*Tabella93866[Frequenza2])/(Tabella3[Boltzmann k]*Tabella83765[[#This Row],[Temperatura]])))</f>
        <v>0.85155119920987221</v>
      </c>
      <c r="D30" s="32" cm="1">
        <f t="array" ref="D30">EXP(-(Tabella3[Planck h]*Tabella93866[Frequenza3])/(Tabella3[Boltzmann k]*2*Tabella83765[[#This Row],[Temperatura]]))/(1-EXP(-(Tabella3[Planck h]*Tabella93866[Frequenza3])/(Tabella3[Boltzmann k]*Tabella83765[[#This Row],[Temperatura]])))</f>
        <v>0.67851272397592322</v>
      </c>
      <c r="E30" s="51">
        <f>PRODUCT(Tabella83765[[#This Row],[Qvib1]:[Qvib3]])</f>
        <v>0.95074832158821931</v>
      </c>
    </row>
    <row r="31" spans="1:9" x14ac:dyDescent="0.35">
      <c r="A31" s="18">
        <v>1900</v>
      </c>
      <c r="B31" s="32" cm="1">
        <f t="array" ref="B31">EXP(-(Tabella3[Planck h]*Tabella93866[Frequenza1])/(Tabella3[Boltzmann k]*2*Tabella83765[[#This Row],[Temperatura]]))/(1-EXP(-(Tabella3[Planck h]*Tabella93866[Frequenza1])/(Tabella3[Boltzmann k]*Tabella83765[[#This Row],[Temperatura]])))</f>
        <v>1.7395584916082354</v>
      </c>
      <c r="C31" s="32" cm="1">
        <f t="array" ref="C31">EXP(-(Tabella3[Planck h]*Tabella93866[Frequenza2])/(Tabella3[Boltzmann k]*2*Tabella83765[[#This Row],[Temperatura]]))/(1-EXP(-(Tabella3[Planck h]*Tabella93866[Frequenza2])/(Tabella3[Boltzmann k]*Tabella83765[[#This Row],[Temperatura]])))</f>
        <v>0.90355757379548118</v>
      </c>
      <c r="D31" s="32" cm="1">
        <f t="array" ref="D31">EXP(-(Tabella3[Planck h]*Tabella93866[Frequenza3])/(Tabella3[Boltzmann k]*2*Tabella83765[[#This Row],[Temperatura]]))/(1-EXP(-(Tabella3[Planck h]*Tabella93866[Frequenza3])/(Tabella3[Boltzmann k]*Tabella83765[[#This Row],[Temperatura]])))</f>
        <v>0.72176927638825339</v>
      </c>
      <c r="E31" s="51">
        <f>PRODUCT(Tabella83765[[#This Row],[Qvib1]:[Qvib3]])</f>
        <v>1.1344706332562209</v>
      </c>
      <c r="I31" s="32"/>
    </row>
    <row r="32" spans="1:9" x14ac:dyDescent="0.35">
      <c r="A32" s="18">
        <v>2000</v>
      </c>
      <c r="B32" s="32" cm="1">
        <f t="array" ref="B32">EXP(-(Tabella3[Planck h]*Tabella93866[Frequenza1])/(Tabella3[Boltzmann k]*2*Tabella83765[[#This Row],[Temperatura]]))/(1-EXP(-(Tabella3[Planck h]*Tabella93866[Frequenza1])/(Tabella3[Boltzmann k]*Tabella83765[[#This Row],[Temperatura]])))</f>
        <v>1.8334970428134758</v>
      </c>
      <c r="C32" s="32" cm="1">
        <f t="array" ref="C32">EXP(-(Tabella3[Planck h]*Tabella93866[Frequenza2])/(Tabella3[Boltzmann k]*2*Tabella83765[[#This Row],[Temperatura]]))/(1-EXP(-(Tabella3[Planck h]*Tabella93866[Frequenza2])/(Tabella3[Boltzmann k]*Tabella83765[[#This Row],[Temperatura]])))</f>
        <v>0.95536395105970806</v>
      </c>
      <c r="D32" s="32" cm="1">
        <f t="array" ref="D32">EXP(-(Tabella3[Planck h]*Tabella93866[Frequenza3])/(Tabella3[Boltzmann k]*2*Tabella83765[[#This Row],[Temperatura]]))/(1-EXP(-(Tabella3[Planck h]*Tabella93866[Frequenza3])/(Tabella3[Boltzmann k]*Tabella83765[[#This Row],[Temperatura]])))</f>
        <v>0.76480541900561005</v>
      </c>
      <c r="E32" s="51">
        <f>PRODUCT(Tabella83765[[#This Row],[Qvib1]:[Qvib3]])</f>
        <v>1.3396767498382891</v>
      </c>
    </row>
    <row r="33" spans="1:8" x14ac:dyDescent="0.35">
      <c r="A33" s="46" t="s">
        <v>122</v>
      </c>
      <c r="B33" s="32">
        <f>B32-B15</f>
        <v>1.664868981026562</v>
      </c>
      <c r="C33" s="32">
        <f>C32-C15</f>
        <v>0.92084675350464906</v>
      </c>
      <c r="D33" s="32">
        <f>D32-D15</f>
        <v>0.7485768925407339</v>
      </c>
      <c r="E33" s="32">
        <f>E32-E15</f>
        <v>1.3395822905944803</v>
      </c>
    </row>
    <row r="34" spans="1:8" x14ac:dyDescent="0.3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</row>
    <row r="35" spans="1:8" x14ac:dyDescent="0.35">
      <c r="A35" s="54"/>
      <c r="B35" s="8">
        <v>1077.72</v>
      </c>
      <c r="E35" s="55">
        <f>B35</f>
        <v>1077.72</v>
      </c>
      <c r="F35" s="55">
        <f>B36</f>
        <v>2008.03</v>
      </c>
      <c r="G35" s="32">
        <f>B37</f>
        <v>2547.4899999999998</v>
      </c>
    </row>
    <row r="36" spans="1:8" x14ac:dyDescent="0.35">
      <c r="A36" s="56"/>
      <c r="B36" s="9">
        <v>2008.03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48</v>
      </c>
    </row>
    <row r="37" spans="1:8" x14ac:dyDescent="0.35">
      <c r="A37" s="56"/>
      <c r="B37" s="9">
        <v>2547.4899999999998</v>
      </c>
      <c r="D37" s="58">
        <v>298.14999999999998</v>
      </c>
      <c r="E37" s="32" cm="1">
        <f t="array" ref="E37">(    (Tabella124270[Theta vib 1]/Tabella114169[[#This Row],[Temperatura]]) /(EXP(Tabella124270[Theta vib 1]/Tabella114169[[#This Row],[Temperatura]])-1) - LN(1-EXP(-Tabella124270[Theta vib 1]/Tabella114169[[#This Row],[Temperatura]]))    )</f>
        <v>0.12731389668333984</v>
      </c>
      <c r="F37" s="32" cm="1">
        <f t="array" ref="F37">(    (Tabella124270[Theta vib2]/Tabella114169[[#This Row],[Temperatura]]) /(EXP(Tabella124270[Theta vib2]/Tabella114169[[#This Row],[Temperatura]])-1) - LN(1-EXP(-Tabella124270[Theta vib3]/Tabella114169[[#This Row],[Temperatura]]))    )</f>
        <v>8.2094807178252401E-3</v>
      </c>
      <c r="G37" s="32" cm="1">
        <f t="array" ref="G37">(    (Tabella124270[Theta vib3]/Tabella114169[[#This Row],[Temperatura]]) /(EXP(Tabella124270[Theta vib3]/Tabella114169[[#This Row],[Temperatura]])-1) - LN(1-EXP(-Tabella124270[Theta vib3]/Tabella114169[[#This Row],[Temperatura]]))    )</f>
        <v>1.8581158337670209E-3</v>
      </c>
      <c r="H37" s="32" cm="1">
        <f t="array" ref="H37">SUM(Tabella114169[[#This Row],[S vib 1]:[S vib 3]])*Tabella33317[Rydberg R]</f>
        <v>1.1422532899068629</v>
      </c>
    </row>
    <row r="38" spans="1:8" x14ac:dyDescent="0.35">
      <c r="A38" s="56"/>
      <c r="B38" s="9"/>
      <c r="D38" s="58">
        <v>400</v>
      </c>
      <c r="E38" s="59" cm="1">
        <f t="array" ref="E38">(    (Tabella124270[Theta vib 1]/Tabella114169[[#This Row],[Temperatura]]) /(EXP(Tabella124270[Theta vib 1]/Tabella114169[[#This Row],[Temperatura]])-1) - LN(1-EXP(-Tabella124270[Theta vib 1]/Tabella114169[[#This Row],[Temperatura]]))    )</f>
        <v>0.26528995215146656</v>
      </c>
      <c r="F38" s="32" cm="1">
        <f t="array" ref="F38">(    (Tabella124270[Theta vib2]/Tabella114169[[#This Row],[Temperatura]]) /(EXP(Tabella124270[Theta vib2]/Tabella114169[[#This Row],[Temperatura]])-1) - LN(1-EXP(-Tabella124270[Theta vib3]/Tabella114169[[#This Row],[Temperatura]]))    )</f>
        <v>3.5088944860060665E-2</v>
      </c>
      <c r="G38" s="32" cm="1">
        <f t="array" ref="G38">(    (Tabella124270[Theta vib3]/Tabella114169[[#This Row],[Temperatura]]) /(EXP(Tabella124270[Theta vib3]/Tabella114169[[#This Row],[Temperatura]])-1) - LN(1-EXP(-Tabella124270[Theta vib3]/Tabella114169[[#This Row],[Temperatura]]))    )</f>
        <v>1.2652747526959374E-2</v>
      </c>
      <c r="H38" s="32" cm="1">
        <f t="array" ref="H38">SUM(Tabella114169[[#This Row],[S vib 1]:[S vib 3]])*Tabella33317[Rydberg R]</f>
        <v>2.6026899067663107</v>
      </c>
    </row>
    <row r="39" spans="1:8" x14ac:dyDescent="0.35">
      <c r="A39" s="56"/>
      <c r="B39" s="9"/>
      <c r="D39" s="58">
        <v>500</v>
      </c>
      <c r="E39" s="59" cm="1">
        <f t="array" ref="E39">(    (Tabella124270[Theta vib 1]/Tabella114169[[#This Row],[Temperatura]]) /(EXP(Tabella124270[Theta vib 1]/Tabella114169[[#This Row],[Temperatura]])-1) - LN(1-EXP(-Tabella124270[Theta vib 1]/Tabella114169[[#This Row],[Temperatura]]))    )</f>
        <v>0.40556399683024552</v>
      </c>
      <c r="F39" s="32" cm="1">
        <f t="array" ref="F39">(    (Tabella124270[Theta vib2]/Tabella114169[[#This Row],[Temperatura]]) /(EXP(Tabella124270[Theta vib2]/Tabella114169[[#This Row],[Temperatura]])-1) - LN(1-EXP(-Tabella124270[Theta vib3]/Tabella114169[[#This Row],[Temperatura]]))    )</f>
        <v>7.9859697174432101E-2</v>
      </c>
      <c r="G39" s="32" cm="1">
        <f t="array" ref="G39">(    (Tabella124270[Theta vib3]/Tabella114169[[#This Row],[Temperatura]]) /(EXP(Tabella124270[Theta vib3]/Tabella114169[[#This Row],[Temperatura]])-1) - LN(1-EXP(-Tabella124270[Theta vib3]/Tabella114169[[#This Row],[Temperatura]]))    )</f>
        <v>3.7557880414566626E-2</v>
      </c>
      <c r="H39" s="32" cm="1">
        <f t="array" ref="H39">SUM(Tabella114169[[#This Row],[S vib 1]:[S vib 3]])*Tabella33317[Rydberg R]</f>
        <v>4.3483107504115912</v>
      </c>
    </row>
    <row r="40" spans="1:8" x14ac:dyDescent="0.35">
      <c r="A40" s="56"/>
      <c r="B40" s="9"/>
      <c r="D40" s="58">
        <v>600</v>
      </c>
      <c r="E40" s="58" cm="1">
        <f t="array" ref="E40">(    (Tabella124270[Theta vib 1]/Tabella114169[[#This Row],[Temperatura]]) /(EXP(Tabella124270[Theta vib 1]/Tabella114169[[#This Row],[Temperatura]])-1) - LN(1-EXP(-Tabella124270[Theta vib 1]/Tabella114169[[#This Row],[Temperatura]]))    )</f>
        <v>0.53876748733155166</v>
      </c>
      <c r="F40" s="32" cm="1">
        <f t="array" ref="F40">(    (Tabella124270[Theta vib2]/Tabella114169[[#This Row],[Temperatura]]) /(EXP(Tabella124270[Theta vib2]/Tabella114169[[#This Row],[Temperatura]])-1) - LN(1-EXP(-Tabella124270[Theta vib3]/Tabella114169[[#This Row],[Temperatura]]))    )</f>
        <v>0.13652909704588528</v>
      </c>
      <c r="G40" s="32" cm="1">
        <f t="array" ref="G40">(    (Tabella124270[Theta vib3]/Tabella114169[[#This Row],[Temperatura]]) /(EXP(Tabella124270[Theta vib3]/Tabella114169[[#This Row],[Temperatura]])-1) - LN(1-EXP(-Tabella124270[Theta vib3]/Tabella114169[[#This Row],[Temperatura]]))    )</f>
        <v>7.6128626758165313E-2</v>
      </c>
      <c r="H40" s="32" cm="1">
        <f t="array" ref="H40">SUM(Tabella114169[[#This Row],[S vib 1]:[S vib 3]])*Tabella33317[Rydberg R]</f>
        <v>6.2476968282097234</v>
      </c>
    </row>
    <row r="41" spans="1:8" x14ac:dyDescent="0.35">
      <c r="A41" s="56"/>
      <c r="B41" s="9"/>
      <c r="D41" s="58">
        <v>700</v>
      </c>
      <c r="E41" s="58" cm="1">
        <f t="array" ref="E41">(    (Tabella124270[Theta vib 1]/Tabella114169[[#This Row],[Temperatura]]) /(EXP(Tabella124270[Theta vib 1]/Tabella114169[[#This Row],[Temperatura]])-1) - LN(1-EXP(-Tabella124270[Theta vib 1]/Tabella114169[[#This Row],[Temperatura]]))    )</f>
        <v>0.66173544612891511</v>
      </c>
      <c r="F41" s="32" cm="1">
        <f t="array" ref="F41">(    (Tabella124270[Theta vib2]/Tabella114169[[#This Row],[Temperatura]]) /(EXP(Tabella124270[Theta vib2]/Tabella114169[[#This Row],[Temperatura]])-1) - LN(1-EXP(-Tabella124270[Theta vib3]/Tabella114169[[#This Row],[Temperatura]]))    )</f>
        <v>0.19929980936741459</v>
      </c>
      <c r="G41" s="32" cm="1">
        <f t="array" ref="G41">(    (Tabella124270[Theta vib3]/Tabella114169[[#This Row],[Temperatura]]) /(EXP(Tabella124270[Theta vib3]/Tabella114169[[#This Row],[Temperatura]])-1) - LN(1-EXP(-Tabella124270[Theta vib3]/Tabella114169[[#This Row],[Temperatura]]))    )</f>
        <v>0.12481133618554789</v>
      </c>
      <c r="H41" s="32" cm="1">
        <f t="array" ref="H41">SUM(Tabella114169[[#This Row],[S vib 1]:[S vib 3]])*Tabella33317[Rydberg R]</f>
        <v>8.1967846336216805</v>
      </c>
    </row>
    <row r="42" spans="1:8" x14ac:dyDescent="0.35">
      <c r="A42" s="56"/>
      <c r="B42" s="9"/>
      <c r="D42" s="58">
        <v>800</v>
      </c>
      <c r="E42" s="58" cm="1">
        <f t="array" ref="E42">(    (Tabella124270[Theta vib 1]/Tabella114169[[#This Row],[Temperatura]]) /(EXP(Tabella124270[Theta vib 1]/Tabella114169[[#This Row],[Temperatura]])-1) - LN(1-EXP(-Tabella124270[Theta vib 1]/Tabella114169[[#This Row],[Temperatura]]))    )</f>
        <v>0.77435240720684007</v>
      </c>
      <c r="F42" s="32" cm="1">
        <f t="array" ref="F42">(    (Tabella124270[Theta vib2]/Tabella114169[[#This Row],[Temperatura]]) /(EXP(Tabella124270[Theta vib2]/Tabella114169[[#This Row],[Temperatura]])-1) - LN(1-EXP(-Tabella124270[Theta vib3]/Tabella114169[[#This Row],[Temperatura]]))    )</f>
        <v>0.26430750584613277</v>
      </c>
      <c r="G42" s="32" cm="1">
        <f t="array" ref="G42">(    (Tabella124270[Theta vib3]/Tabella114169[[#This Row],[Temperatura]]) /(EXP(Tabella124270[Theta vib3]/Tabella114169[[#This Row],[Temperatura]])-1) - LN(1-EXP(-Tabella124270[Theta vib3]/Tabella114169[[#This Row],[Temperatura]]))    )</f>
        <v>0.17982847155538462</v>
      </c>
      <c r="H42" s="32" cm="1">
        <f t="array" ref="H42">SUM(Tabella114169[[#This Row],[S vib 1]:[S vib 3]])*Tabella33317[Rydberg R]</f>
        <v>10.131076124293395</v>
      </c>
    </row>
    <row r="43" spans="1:8" x14ac:dyDescent="0.35">
      <c r="A43" s="60"/>
      <c r="B43" s="9"/>
      <c r="D43" s="58">
        <v>900</v>
      </c>
      <c r="E43" s="58" cm="1">
        <f t="array" ref="E43">(    (Tabella124270[Theta vib 1]/Tabella114169[[#This Row],[Temperatura]]) /(EXP(Tabella124270[Theta vib 1]/Tabella114169[[#This Row],[Temperatura]])-1) - LN(1-EXP(-Tabella124270[Theta vib 1]/Tabella114169[[#This Row],[Temperatura]]))    )</f>
        <v>0.87747520275051083</v>
      </c>
      <c r="F43" s="32" cm="1">
        <f t="array" ref="F43">(    (Tabella124270[Theta vib2]/Tabella114169[[#This Row],[Temperatura]]) /(EXP(Tabella124270[Theta vib2]/Tabella114169[[#This Row],[Temperatura]])-1) - LN(1-EXP(-Tabella124270[Theta vib3]/Tabella114169[[#This Row],[Temperatura]]))    )</f>
        <v>0.32926411804581401</v>
      </c>
      <c r="G43" s="32" cm="1">
        <f t="array" ref="G43">(    (Tabella124270[Theta vib3]/Tabella114169[[#This Row],[Temperatura]]) /(EXP(Tabella124270[Theta vib3]/Tabella114169[[#This Row],[Temperatura]])-1) - LN(1-EXP(-Tabella124270[Theta vib3]/Tabella114169[[#This Row],[Temperatura]]))    )</f>
        <v>0.23820310848302356</v>
      </c>
      <c r="H43" s="32" cm="1">
        <f t="array" ref="H43">SUM(Tabella114169[[#This Row],[S vib 1]:[S vib 3]])*Tabella33317[Rydberg R]</f>
        <v>12.013919813405252</v>
      </c>
    </row>
    <row r="44" spans="1:8" x14ac:dyDescent="0.35">
      <c r="A44" s="60"/>
      <c r="B44" s="8"/>
      <c r="D44" s="58">
        <v>1000</v>
      </c>
      <c r="E44" s="58" cm="1">
        <f t="array" ref="E44">(    (Tabella124270[Theta vib 1]/Tabella114169[[#This Row],[Temperatura]]) /(EXP(Tabella124270[Theta vib 1]/Tabella114169[[#This Row],[Temperatura]])-1) - LN(1-EXP(-Tabella124270[Theta vib 1]/Tabella114169[[#This Row],[Temperatura]]))    )</f>
        <v>0.97218397261890455</v>
      </c>
      <c r="F44" s="32" cm="1">
        <f t="array" ref="F44">(    (Tabella124270[Theta vib2]/Tabella114169[[#This Row],[Temperatura]]) /(EXP(Tabella124270[Theta vib2]/Tabella114169[[#This Row],[Temperatura]])-1) - LN(1-EXP(-Tabella124270[Theta vib3]/Tabella114169[[#This Row],[Temperatura]]))    )</f>
        <v>0.39290017246465592</v>
      </c>
      <c r="G44" s="32" cm="1">
        <f t="array" ref="G44">(    (Tabella124270[Theta vib3]/Tabella114169[[#This Row],[Temperatura]]) /(EXP(Tabella124270[Theta vib3]/Tabella114169[[#This Row],[Temperatura]])-1) - LN(1-EXP(-Tabella124270[Theta vib3]/Tabella114169[[#This Row],[Temperatura]]))    )</f>
        <v>0.29785888576009284</v>
      </c>
      <c r="H44" s="32" cm="1">
        <f t="array" ref="H44">SUM(Tabella114169[[#This Row],[S vib 1]:[S vib 3]])*Tabella33317[Rydberg R]</f>
        <v>13.826477665813176</v>
      </c>
    </row>
    <row r="45" spans="1:8" x14ac:dyDescent="0.35">
      <c r="A45" s="60"/>
      <c r="B45" s="9"/>
      <c r="D45" s="58">
        <v>1100</v>
      </c>
      <c r="E45" s="58" cm="1">
        <f t="array" ref="E45">(    (Tabella124270[Theta vib 1]/Tabella114169[[#This Row],[Temperatura]]) /(EXP(Tabella124270[Theta vib 1]/Tabella114169[[#This Row],[Temperatura]])-1) - LN(1-EXP(-Tabella124270[Theta vib 1]/Tabella114169[[#This Row],[Temperatura]]))    )</f>
        <v>1.0595223346991938</v>
      </c>
      <c r="F45" s="32" cm="1">
        <f t="array" ref="F45">(    (Tabella124270[Theta vib2]/Tabella114169[[#This Row],[Temperatura]]) /(EXP(Tabella124270[Theta vib2]/Tabella114169[[#This Row],[Temperatura]])-1) - LN(1-EXP(-Tabella124270[Theta vib3]/Tabella114169[[#This Row],[Temperatura]]))    )</f>
        <v>0.45455609130426533</v>
      </c>
      <c r="G45" s="32" cm="1">
        <f t="array" ref="G45">(    (Tabella124270[Theta vib3]/Tabella114169[[#This Row],[Temperatura]]) /(EXP(Tabella124270[Theta vib3]/Tabella114169[[#This Row],[Temperatura]])-1) - LN(1-EXP(-Tabella124270[Theta vib3]/Tabella114169[[#This Row],[Temperatura]]))    )</f>
        <v>0.35743805731893674</v>
      </c>
      <c r="H45" s="32" cm="1">
        <f t="array" ref="H45">SUM(Tabella114169[[#This Row],[S vib 1]:[S vib 3]])*Tabella33317[Rydberg R]</f>
        <v>15.560653839554883</v>
      </c>
    </row>
    <row r="46" spans="1:8" x14ac:dyDescent="0.35">
      <c r="A46" s="60"/>
      <c r="B46" s="9"/>
      <c r="D46" s="58">
        <v>1200</v>
      </c>
      <c r="E46" s="58" cm="1">
        <f t="array" ref="E46">(    (Tabella124270[Theta vib 1]/Tabella114169[[#This Row],[Temperatura]]) /(EXP(Tabella124270[Theta vib 1]/Tabella114169[[#This Row],[Temperatura]])-1) - LN(1-EXP(-Tabella124270[Theta vib 1]/Tabella114169[[#This Row],[Temperatura]]))    )</f>
        <v>1.1404179848959228</v>
      </c>
      <c r="F46" s="32" cm="1">
        <f t="array" ref="F46">(    (Tabella124270[Theta vib2]/Tabella114169[[#This Row],[Temperatura]]) /(EXP(Tabella124270[Theta vib2]/Tabella114169[[#This Row],[Temperatura]])-1) - LN(1-EXP(-Tabella124270[Theta vib3]/Tabella114169[[#This Row],[Temperatura]]))    )</f>
        <v>0.51392677342334059</v>
      </c>
      <c r="G46" s="32" cm="1">
        <f t="array" ref="G46">(    (Tabella124270[Theta vib3]/Tabella114169[[#This Row],[Temperatura]]) /(EXP(Tabella124270[Theta vib3]/Tabella114169[[#This Row],[Temperatura]])-1) - LN(1-EXP(-Tabella124270[Theta vib3]/Tabella114169[[#This Row],[Temperatura]]))    )</f>
        <v>0.41609218050166052</v>
      </c>
      <c r="H46" s="32" cm="1">
        <f t="array" ref="H46">SUM(Tabella114169[[#This Row],[S vib 1]:[S vib 3]])*Tabella33317[Rydberg R]</f>
        <v>17.214570530752926</v>
      </c>
    </row>
    <row r="47" spans="1:8" x14ac:dyDescent="0.35">
      <c r="A47" s="60"/>
      <c r="B47" s="9"/>
      <c r="D47" s="58">
        <v>1300</v>
      </c>
      <c r="E47" s="58" cm="1">
        <f t="array" ref="E47">(    (Tabella124270[Theta vib 1]/Tabella114169[[#This Row],[Temperatura]]) /(EXP(Tabella124270[Theta vib 1]/Tabella114169[[#This Row],[Temperatura]])-1) - LN(1-EXP(-Tabella124270[Theta vib 1]/Tabella114169[[#This Row],[Temperatura]]))    )</f>
        <v>1.2156694416941649</v>
      </c>
      <c r="F47" s="32" cm="1">
        <f t="array" ref="F47">(    (Tabella124270[Theta vib2]/Tabella114169[[#This Row],[Temperatura]]) /(EXP(Tabella124270[Theta vib2]/Tabella114169[[#This Row],[Temperatura]])-1) - LN(1-EXP(-Tabella124270[Theta vib3]/Tabella114169[[#This Row],[Temperatura]]))    )</f>
        <v>0.57090986121825582</v>
      </c>
      <c r="G47" s="32" cm="1">
        <f t="array" ref="G47">(    (Tabella124270[Theta vib3]/Tabella114169[[#This Row],[Temperatura]]) /(EXP(Tabella124270[Theta vib3]/Tabella114169[[#This Row],[Temperatura]])-1) - LN(1-EXP(-Tabella124270[Theta vib3]/Tabella114169[[#This Row],[Temperatura]]))    )</f>
        <v>0.47331523698214989</v>
      </c>
      <c r="H47" s="32" cm="1">
        <f t="array" ref="H47">SUM(Tabella114169[[#This Row],[S vib 1]:[S vib 3]])*Tabella33317[Rydberg R]</f>
        <v>18.789808672575717</v>
      </c>
    </row>
    <row r="48" spans="1:8" x14ac:dyDescent="0.35">
      <c r="A48" s="60"/>
      <c r="B48" s="9"/>
      <c r="D48" s="58">
        <v>1400</v>
      </c>
      <c r="E48" s="58" cm="1">
        <f t="array" ref="E48">(    (Tabella124270[Theta vib 1]/Tabella114169[[#This Row],[Temperatura]]) /(EXP(Tabella124270[Theta vib 1]/Tabella114169[[#This Row],[Temperatura]])-1) - LN(1-EXP(-Tabella124270[Theta vib 1]/Tabella114169[[#This Row],[Temperatura]]))    )</f>
        <v>1.2859557226822225</v>
      </c>
      <c r="F48" s="32" cm="1">
        <f t="array" ref="F48">(    (Tabella124270[Theta vib2]/Tabella114169[[#This Row],[Temperatura]]) /(EXP(Tabella124270[Theta vib2]/Tabella114169[[#This Row],[Temperatura]])-1) - LN(1-EXP(-Tabella124270[Theta vib3]/Tabella114169[[#This Row],[Temperatura]]))    )</f>
        <v>0.62551695695847997</v>
      </c>
      <c r="G48" s="32" cm="1">
        <f t="array" ref="G48">(    (Tabella124270[Theta vib3]/Tabella114169[[#This Row],[Temperatura]]) /(EXP(Tabella124270[Theta vib3]/Tabella114169[[#This Row],[Temperatura]])-1) - LN(1-EXP(-Tabella124270[Theta vib3]/Tabella114169[[#This Row],[Temperatura]]))    )</f>
        <v>0.52882536126038104</v>
      </c>
      <c r="H48" s="32" cm="1">
        <f t="array" ref="H48">SUM(Tabella114169[[#This Row],[S vib 1]:[S vib 3]])*Tabella33317[Rydberg R]</f>
        <v>20.289766837850696</v>
      </c>
    </row>
    <row r="49" spans="1:14" x14ac:dyDescent="0.35">
      <c r="A49" s="60"/>
      <c r="B49" s="9"/>
      <c r="D49" s="58">
        <v>1500</v>
      </c>
      <c r="E49" s="58" cm="1">
        <f t="array" ref="E49">(    (Tabella124270[Theta vib 1]/Tabella114169[[#This Row],[Temperatura]]) /(EXP(Tabella124270[Theta vib 1]/Tabella114169[[#This Row],[Temperatura]])-1) - LN(1-EXP(-Tabella124270[Theta vib 1]/Tabella114169[[#This Row],[Temperatura]]))    )</f>
        <v>1.3518524663770217</v>
      </c>
      <c r="F49" s="32" cm="1">
        <f t="array" ref="F49">(    (Tabella124270[Theta vib2]/Tabella114169[[#This Row],[Temperatura]]) /(EXP(Tabella124270[Theta vib2]/Tabella114169[[#This Row],[Temperatura]])-1) - LN(1-EXP(-Tabella124270[Theta vib3]/Tabella114169[[#This Row],[Temperatura]]))    )</f>
        <v>0.67782179716646329</v>
      </c>
      <c r="G49" s="32" cm="1">
        <f t="array" ref="G49">(    (Tabella124270[Theta vib3]/Tabella114169[[#This Row],[Temperatura]]) /(EXP(Tabella124270[Theta vib3]/Tabella114169[[#This Row],[Temperatura]])-1) - LN(1-EXP(-Tabella124270[Theta vib3]/Tabella114169[[#This Row],[Temperatura]]))    )</f>
        <v>0.58248504882068197</v>
      </c>
      <c r="H49" s="32" cm="1">
        <f t="array" ref="H49">SUM(Tabella114169[[#This Row],[S vib 1]:[S vib 3]])*Tabella33317[Rydberg R]</f>
        <v>21.71870095491245</v>
      </c>
    </row>
    <row r="50" spans="1:14" x14ac:dyDescent="0.35">
      <c r="A50" s="60"/>
      <c r="B50" s="9"/>
      <c r="D50" s="58">
        <v>1600</v>
      </c>
      <c r="E50" s="58" cm="1">
        <f t="array" ref="E50">(    (Tabella124270[Theta vib 1]/Tabella114169[[#This Row],[Temperatura]]) /(EXP(Tabella124270[Theta vib 1]/Tabella114169[[#This Row],[Temperatura]])-1) - LN(1-EXP(-Tabella124270[Theta vib 1]/Tabella114169[[#This Row],[Temperatura]]))    )</f>
        <v>1.4138483538796718</v>
      </c>
      <c r="F50" s="32" cm="1">
        <f t="array" ref="F50">(    (Tabella124270[Theta vib2]/Tabella114169[[#This Row],[Temperatura]]) /(EXP(Tabella124270[Theta vib2]/Tabella114169[[#This Row],[Temperatura]])-1) - LN(1-EXP(-Tabella124270[Theta vib3]/Tabella114169[[#This Row],[Temperatura]]))    )</f>
        <v>0.72792997768911716</v>
      </c>
      <c r="G50" s="32" cm="1">
        <f t="array" ref="G50">(    (Tabella124270[Theta vib3]/Tabella114169[[#This Row],[Temperatura]]) /(EXP(Tabella124270[Theta vib3]/Tabella114169[[#This Row],[Temperatura]])-1) - LN(1-EXP(-Tabella124270[Theta vib3]/Tabella114169[[#This Row],[Temperatura]]))    )</f>
        <v>0.63424849615811274</v>
      </c>
      <c r="H50" s="32" cm="1">
        <f t="array" ref="H50">SUM(Tabella114169[[#This Row],[S vib 1]:[S vib 3]])*Tabella33317[Rydberg R]</f>
        <v>23.081171285700449</v>
      </c>
    </row>
    <row r="51" spans="1:14" x14ac:dyDescent="0.35">
      <c r="A51" s="60"/>
      <c r="B51" s="9"/>
      <c r="D51" s="58">
        <v>1700</v>
      </c>
      <c r="E51" s="58" cm="1">
        <f t="array" ref="E51">(    (Tabella124270[Theta vib 1]/Tabella114169[[#This Row],[Temperatura]]) /(EXP(Tabella124270[Theta vib 1]/Tabella114169[[#This Row],[Temperatura]])-1) - LN(1-EXP(-Tabella124270[Theta vib 1]/Tabella114169[[#This Row],[Temperatura]]))    )</f>
        <v>1.4723597525630212</v>
      </c>
      <c r="F51" s="32" cm="1">
        <f t="array" ref="F51">(    (Tabella124270[Theta vib2]/Tabella114169[[#This Row],[Temperatura]]) /(EXP(Tabella124270[Theta vib2]/Tabella114169[[#This Row],[Temperatura]])-1) - LN(1-EXP(-Tabella124270[Theta vib3]/Tabella114169[[#This Row],[Temperatura]]))    )</f>
        <v>0.77596129094120136</v>
      </c>
      <c r="G51" s="32" cm="1">
        <f t="array" ref="G51">(    (Tabella124270[Theta vib3]/Tabella114169[[#This Row],[Temperatura]]) /(EXP(Tabella124270[Theta vib3]/Tabella114169[[#This Row],[Temperatura]])-1) - LN(1-EXP(-Tabella124270[Theta vib3]/Tabella114169[[#This Row],[Temperatura]]))    )</f>
        <v>0.6841271831189224</v>
      </c>
      <c r="H51" s="32" cm="1">
        <f t="array" ref="H51">SUM(Tabella114169[[#This Row],[S vib 1]:[S vib 3]])*Tabella33317[Rydberg R]</f>
        <v>24.381731159478534</v>
      </c>
    </row>
    <row r="52" spans="1:14" x14ac:dyDescent="0.35">
      <c r="A52" s="60"/>
      <c r="B52" s="9"/>
      <c r="D52" s="58">
        <v>1800</v>
      </c>
      <c r="E52" s="58" cm="1">
        <f t="array" ref="E52">(    (Tabella124270[Theta vib 1]/Tabella114169[[#This Row],[Temperatura]]) /(EXP(Tabella124270[Theta vib 1]/Tabella114169[[#This Row],[Temperatura]])-1) - LN(1-EXP(-Tabella124270[Theta vib 1]/Tabella114169[[#This Row],[Temperatura]]))    )</f>
        <v>1.5277430940051824</v>
      </c>
      <c r="F52" s="32" cm="1">
        <f t="array" ref="F52">(    (Tabella124270[Theta vib2]/Tabella114169[[#This Row],[Temperatura]]) /(EXP(Tabella124270[Theta vib2]/Tabella114169[[#This Row],[Temperatura]])-1) - LN(1-EXP(-Tabella124270[Theta vib3]/Tabella114169[[#This Row],[Temperatura]]))    )</f>
        <v>0.82203949728787462</v>
      </c>
      <c r="G52" s="32" cm="1">
        <f t="array" ref="G52">(    (Tabella124270[Theta vib3]/Tabella114169[[#This Row],[Temperatura]]) /(EXP(Tabella124270[Theta vib3]/Tabella114169[[#This Row],[Temperatura]])-1) - LN(1-EXP(-Tabella124270[Theta vib3]/Tabella114169[[#This Row],[Temperatura]]))    )</f>
        <v>0.7321674744417781</v>
      </c>
      <c r="H52" s="32" cm="1">
        <f t="array" ref="H52">SUM(Tabella114169[[#This Row],[S vib 1]:[S vib 3]])*Tabella33317[Rydberg R]</f>
        <v>25.624758612094933</v>
      </c>
    </row>
    <row r="53" spans="1:14" x14ac:dyDescent="0.35">
      <c r="D53" s="58">
        <v>1900</v>
      </c>
      <c r="E53" s="58" cm="1">
        <f t="array" ref="E53">(    (Tabella124270[Theta vib 1]/Tabella114169[[#This Row],[Temperatura]]) /(EXP(Tabella124270[Theta vib 1]/Tabella114169[[#This Row],[Temperatura]])-1) - LN(1-EXP(-Tabella124270[Theta vib 1]/Tabella114169[[#This Row],[Temperatura]]))    )</f>
        <v>1.5803050899411026</v>
      </c>
      <c r="F53" s="32" cm="1">
        <f t="array" ref="F53">(    (Tabella124270[Theta vib2]/Tabella114169[[#This Row],[Temperatura]]) /(EXP(Tabella124270[Theta vib2]/Tabella114169[[#This Row],[Temperatura]])-1) - LN(1-EXP(-Tabella124270[Theta vib3]/Tabella114169[[#This Row],[Temperatura]]))    )</f>
        <v>0.86628651020647096</v>
      </c>
      <c r="G53" s="32" cm="1">
        <f t="array" ref="G53">(    (Tabella124270[Theta vib3]/Tabella114169[[#This Row],[Temperatura]]) /(EXP(Tabella124270[Theta vib3]/Tabella114169[[#This Row],[Temperatura]])-1) - LN(1-EXP(-Tabella124270[Theta vib3]/Tabella114169[[#This Row],[Temperatura]]))    )</f>
        <v>0.77843608053644475</v>
      </c>
      <c r="H53" s="32" cm="1">
        <f t="array" ref="H53">SUM(Tabella114169[[#This Row],[S vib 1]:[S vib 3]])*Tabella33317[Rydberg R]</f>
        <v>26.814372093062513</v>
      </c>
    </row>
    <row r="54" spans="1:14" x14ac:dyDescent="0.35">
      <c r="D54" s="58">
        <v>2000</v>
      </c>
      <c r="E54" s="58" cm="1">
        <f t="array" ref="E54">(    (Tabella124270[Theta vib 1]/Tabella114169[[#This Row],[Temperatura]]) /(EXP(Tabella124270[Theta vib 1]/Tabella114169[[#This Row],[Temperatura]])-1) - LN(1-EXP(-Tabella124270[Theta vib 1]/Tabella114169[[#This Row],[Temperatura]]))    )</f>
        <v>1.6303110778779764</v>
      </c>
      <c r="F54" s="32" cm="1">
        <f t="array" ref="F54">(    (Tabella124270[Theta vib2]/Tabella114169[[#This Row],[Temperatura]]) /(EXP(Tabella124270[Theta vib2]/Tabella114169[[#This Row],[Temperatura]])-1) - LN(1-EXP(-Tabella124270[Theta vib3]/Tabella114169[[#This Row],[Temperatura]]))    )</f>
        <v>0.90881921560135059</v>
      </c>
      <c r="G54" s="32" cm="1">
        <f t="array" ref="G54">(    (Tabella124270[Theta vib3]/Tabella114169[[#This Row],[Temperatura]]) /(EXP(Tabella124270[Theta vib3]/Tabella114169[[#This Row],[Temperatura]])-1) - LN(1-EXP(-Tabella124270[Theta vib3]/Tabella114169[[#This Row],[Temperatura]]))    )</f>
        <v>0.82301065025725606</v>
      </c>
      <c r="H54" s="32" cm="1">
        <f t="array" ref="H54">SUM(Tabella114169[[#This Row],[S vib 1]:[S vib 3]])*Tabella33317[Rydberg R]</f>
        <v>27.954395193145064</v>
      </c>
    </row>
    <row r="55" spans="1:14" x14ac:dyDescent="0.35">
      <c r="D55" s="46" t="s">
        <v>122</v>
      </c>
      <c r="E55" s="59">
        <f>E54-E37</f>
        <v>1.5029971811946365</v>
      </c>
      <c r="F55" s="32">
        <f>F54-F37</f>
        <v>0.90060973488352536</v>
      </c>
      <c r="G55" s="32">
        <f>G54-G37</f>
        <v>0.82115253442348901</v>
      </c>
      <c r="H55" s="32">
        <f>H54-H37</f>
        <v>26.812141903238203</v>
      </c>
    </row>
    <row r="57" spans="1:14" x14ac:dyDescent="0.3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35">
      <c r="A58" s="18">
        <v>298.14999999999998</v>
      </c>
      <c r="B58" s="32" cm="1">
        <f t="array" ref="B58">(Tabella33317[Boltzmann k]*Tabella53563[[#This Row],[Temperatura]])/101325</f>
        <v>4.0625758633111278E-26</v>
      </c>
      <c r="C58" s="32" cm="1">
        <f t="array" ref="C58">POWER((2*Tabella33317[Pi Greco]*Tabella33317[Massa '[kg']]*Tabella33317[Boltzmann k]*Tabella53563[[#This Row],[Temperatura]])/(POWER(Tabella33317[Planck h],2)),1.5)*Tabella53563[[#This Row],[Volume]]</f>
        <v>12254030.000670159</v>
      </c>
      <c r="D58" s="32">
        <f t="shared" ref="D58:D75" si="0">E15</f>
        <v>9.4459243808906994E-5</v>
      </c>
      <c r="E58" s="32" cm="1">
        <f t="array" ref="E58">((SQRT(PI())/Tabella63664[Simmetria]))*(SQRT(POWER(Tabella53563[[#This Row],[Temperatura]],3)/PRODUCT($G$7,$H$7,$I$7)))</f>
        <v>2251.5518535833753</v>
      </c>
      <c r="F58" s="18" cm="1">
        <f t="array" ref="F58">Tabella63664[Gel]*EXP(0)</f>
        <v>2</v>
      </c>
      <c r="H58" s="45">
        <v>298.14999999999998</v>
      </c>
      <c r="I58" s="18" cm="1">
        <f t="array" ref="I58">POWER((2*PI()*Tabella33317[Massa '[kg']]*Tabella33317[Boltzmann k]*Tabella13967[[#This Row],[Temperatura]])/(POWER(Tabella33317[Planck h],2)),1.5)</f>
        <v>3.0163202886463115E+32</v>
      </c>
      <c r="J58" s="32" cm="1">
        <f t="array" ref="J58">(Tabella13967[[#This Row],[Temperatura]]*Tabella33317[Boltzmann k])/101325</f>
        <v>4.0625758633111278E-26</v>
      </c>
      <c r="K58" s="32" cm="1">
        <f t="array" ref="K58">Tabella33317[Rydberg R]*(2.5+LN(Tabella13967[[#This Row],[Volume]]*Tabella13967[[#This Row],[Translational Factor]]))</f>
        <v>156.48953920846191</v>
      </c>
      <c r="M58" s="45">
        <v>298.14999999999998</v>
      </c>
      <c r="N58" s="18" cm="1">
        <f t="array" ref="N58">Tabella33317[Rydberg R]*(1.5+LN(SQRT(PI()*POWER(Tabella134371[[#This Row],[Temperatura]],3)/(Tabella63664[Simmetria]*Tabella63664[Simmetria]*PRODUCT($G$7:$I$7)))))</f>
        <v>76.654148550717622</v>
      </c>
    </row>
    <row r="59" spans="1:14" x14ac:dyDescent="0.35">
      <c r="A59" s="18">
        <v>400</v>
      </c>
      <c r="B59" s="32" cm="1">
        <f t="array" ref="B59">(Tabella33317[Boltzmann k]*Tabella53563[[#This Row],[Temperatura]])/101325</f>
        <v>5.4503784850727862E-26</v>
      </c>
      <c r="C59" s="32" cm="1">
        <f t="array" ref="C59">POWER((2*Tabella33317[Pi Greco]*Tabella33317[Massa '[kg']]*Tabella33317[Boltzmann k]*Tabella53563[[#This Row],[Temperatura]])/(POWER(Tabella33317[Planck h],2)),1.5)*Tabella53563[[#This Row],[Volume]]</f>
        <v>25547116.199680813</v>
      </c>
      <c r="D59" s="32">
        <f t="shared" si="0"/>
        <v>1.0591214013105233E-3</v>
      </c>
      <c r="E59" s="32" cm="1">
        <f t="array" ref="E59">((SQRT(PI())/Tabella63664[Simmetria]))*(SQRT(POWER(Tabella53563[[#This Row],[Temperatura]],3)/PRODUCT($G$7,$H$7,$I$7)))</f>
        <v>3498.804849068275</v>
      </c>
      <c r="F59" s="18" cm="1">
        <f t="array" ref="F59">Tabella63664[Gel]*EXP(0)</f>
        <v>2</v>
      </c>
      <c r="H59" s="45">
        <v>400</v>
      </c>
      <c r="I59" s="18" cm="1">
        <f t="array" ref="I59">POWER((2*PI()*Tabella33317[Massa '[kg']]*Tabella33317[Boltzmann k]*Tabella13967[[#This Row],[Temperatura]])/(POWER(Tabella33317[Planck h],2)),1.5)</f>
        <v>4.6872187444684672E+32</v>
      </c>
      <c r="J59" s="32" cm="1">
        <f t="array" ref="J59">(Tabella13967[[#This Row],[Temperatura]]*Tabella33317[Boltzmann k])/101325</f>
        <v>5.4503784850727862E-26</v>
      </c>
      <c r="K59" s="32" cm="1">
        <f t="array" ref="K59">Tabella33317[Rydberg R]*(2.5+LN(Tabella13967[[#This Row],[Volume]]*Tabella13967[[#This Row],[Translational Factor]]))</f>
        <v>162.59792195836849</v>
      </c>
      <c r="M59" s="45">
        <v>400</v>
      </c>
      <c r="N59" s="18" cm="1">
        <f t="array" ref="N59">Tabella33317[Rydberg R]*(1.5+LN(SQRT(PI()*POWER(Tabella134371[[#This Row],[Temperatura]],3)/(Tabella63664[Simmetria]*Tabella63664[Simmetria]*PRODUCT($G$7:$I$7)))))</f>
        <v>80.319178200661568</v>
      </c>
    </row>
    <row r="60" spans="1:14" x14ac:dyDescent="0.35">
      <c r="A60" s="18">
        <v>500</v>
      </c>
      <c r="B60" s="32" cm="1">
        <f t="array" ref="B60">(Tabella33317[Boltzmann k]*Tabella53563[[#This Row],[Temperatura]])/101325</f>
        <v>6.8129731063409828E-26</v>
      </c>
      <c r="C60" s="32" cm="1">
        <f t="array" ref="C60">POWER((2*Tabella33317[Pi Greco]*Tabella33317[Massa '[kg']]*Tabella33317[Boltzmann k]*Tabella53563[[#This Row],[Temperatura]])/(POWER(Tabella33317[Planck h],2)),1.5)*Tabella53563[[#This Row],[Volume]]</f>
        <v>44628975.352791183</v>
      </c>
      <c r="D60" s="32">
        <f t="shared" si="0"/>
        <v>4.5411409449984006E-3</v>
      </c>
      <c r="E60" s="32" cm="1">
        <f t="array" ref="E60">((SQRT(PI())/Tabella63664[Simmetria]))*(SQRT(POWER(Tabella53563[[#This Row],[Temperatura]],3)/PRODUCT($G$7,$H$7,$I$7)))</f>
        <v>4889.7284265765966</v>
      </c>
      <c r="F60" s="18" cm="1">
        <f t="array" ref="F60">Tabella63664[Gel]*EXP(0)</f>
        <v>2</v>
      </c>
      <c r="H60" s="45">
        <v>500</v>
      </c>
      <c r="I60" s="18" cm="1">
        <f t="array" ref="I60">POWER((2*PI()*Tabella33317[Massa '[kg']]*Tabella33317[Boltzmann k]*Tabella13967[[#This Row],[Temperatura]])/(POWER(Tabella33317[Planck h],2)),1.5)</f>
        <v>6.5505873362767313E+32</v>
      </c>
      <c r="J60" s="32" cm="1">
        <f t="array" ref="J60">(Tabella13967[[#This Row],[Temperatura]]*Tabella33317[Boltzmann k])/101325</f>
        <v>6.8129731063409828E-26</v>
      </c>
      <c r="K60" s="32" cm="1">
        <f t="array" ref="K60">Tabella33317[Rydberg R]*(2.5+LN(Tabella13967[[#This Row],[Volume]]*Tabella13967[[#This Row],[Translational Factor]]))</f>
        <v>167.23621874799292</v>
      </c>
      <c r="M60" s="45">
        <v>500</v>
      </c>
      <c r="N60" s="18" cm="1">
        <f t="array" ref="N60">Tabella33317[Rydberg R]*(1.5+LN(SQRT(PI()*POWER(Tabella134371[[#This Row],[Temperatura]],3)/(Tabella63664[Simmetria]*Tabella63664[Simmetria]*PRODUCT($G$7:$I$7)))))</f>
        <v>83.102156274436211</v>
      </c>
    </row>
    <row r="61" spans="1:14" x14ac:dyDescent="0.35">
      <c r="A61" s="18">
        <v>600</v>
      </c>
      <c r="B61" s="32" cm="1">
        <f t="array" ref="B61">(Tabella33317[Boltzmann k]*Tabella53563[[#This Row],[Temperatura]])/101325</f>
        <v>8.1755677276091782E-26</v>
      </c>
      <c r="C61" s="32" cm="1">
        <f t="array" ref="C61">POWER((2*Tabella33317[Pi Greco]*Tabella33317[Massa '[kg']]*Tabella33317[Boltzmann k]*Tabella53563[[#This Row],[Temperatura]])/(POWER(Tabella33317[Planck h],2)),1.5)*Tabella53563[[#This Row],[Volume]]</f>
        <v>70399573.974909678</v>
      </c>
      <c r="D61" s="32">
        <f t="shared" si="0"/>
        <v>1.2458760157368916E-2</v>
      </c>
      <c r="E61" s="32" cm="1">
        <f t="array" ref="E61">((SQRT(PI())/Tabella63664[Simmetria]))*(SQRT(POWER(Tabella53563[[#This Row],[Temperatura]],3)/PRODUCT($G$7,$H$7,$I$7)))</f>
        <v>6427.714942344589</v>
      </c>
      <c r="F61" s="18" cm="1">
        <f t="array" ref="F61">Tabella63664[Gel]*EXP(0)</f>
        <v>2</v>
      </c>
      <c r="H61" s="45">
        <v>600</v>
      </c>
      <c r="I61" s="18" cm="1">
        <f t="array" ref="I61">POWER((2*PI()*Tabella33317[Massa '[kg']]*Tabella33317[Boltzmann k]*Tabella13967[[#This Row],[Temperatura]])/(POWER(Tabella33317[Planck h],2)),1.5)</f>
        <v>8.6109706775674854E+32</v>
      </c>
      <c r="J61" s="32" cm="1">
        <f t="array" ref="J61">(Tabella13967[[#This Row],[Temperatura]]*Tabella33317[Boltzmann k])/101325</f>
        <v>8.1755677276091782E-26</v>
      </c>
      <c r="K61" s="32" cm="1">
        <f t="array" ref="K61">Tabella33317[Rydberg R]*(2.5+LN(Tabella13967[[#This Row],[Volume]]*Tabella13967[[#This Row],[Translational Factor]]))</f>
        <v>171.02598316904019</v>
      </c>
      <c r="M61" s="45">
        <v>600</v>
      </c>
      <c r="N61" s="18" cm="1">
        <f t="array" ref="N61">Tabella33317[Rydberg R]*(1.5+LN(SQRT(PI()*POWER(Tabella134371[[#This Row],[Temperatura]],3)/(Tabella63664[Simmetria]*Tabella63664[Simmetria]*PRODUCT($G$7:$I$7)))))</f>
        <v>85.37601492706456</v>
      </c>
    </row>
    <row r="62" spans="1:14" x14ac:dyDescent="0.35">
      <c r="A62" s="18">
        <v>700</v>
      </c>
      <c r="B62" s="32" cm="1">
        <f t="array" ref="B62">(Tabella33317[Boltzmann k]*Tabella53563[[#This Row],[Temperatura]])/101325</f>
        <v>9.5381623488773759E-26</v>
      </c>
      <c r="C62" s="32" cm="1">
        <f t="array" ref="C62">POWER((2*Tabella33317[Pi Greco]*Tabella33317[Massa '[kg']]*Tabella33317[Boltzmann k]*Tabella53563[[#This Row],[Temperatura]])/(POWER(Tabella33317[Planck h],2)),1.5)*Tabella53563[[#This Row],[Volume]]</f>
        <v>103499202.89943904</v>
      </c>
      <c r="D62" s="32">
        <f t="shared" si="0"/>
        <v>2.6534879601021851E-2</v>
      </c>
      <c r="E62" s="32" cm="1">
        <f t="array" ref="E62">((SQRT(PI())/Tabella63664[Simmetria]))*(SQRT(POWER(Tabella53563[[#This Row],[Temperatura]],3)/PRODUCT($G$7,$H$7,$I$7)))</f>
        <v>8099.8465770088451</v>
      </c>
      <c r="F62" s="18" cm="1">
        <f t="array" ref="F62">Tabella63664[Gel]*EXP(0)</f>
        <v>2</v>
      </c>
      <c r="H62" s="45">
        <v>700</v>
      </c>
      <c r="I62" s="18" cm="1">
        <f t="array" ref="I62">POWER((2*PI()*Tabella33317[Massa '[kg']]*Tabella33317[Boltzmann k]*Tabella13967[[#This Row],[Temperatura]])/(POWER(Tabella33317[Planck h],2)),1.5)</f>
        <v>1.0851063246121062E+33</v>
      </c>
      <c r="J62" s="32" cm="1">
        <f t="array" ref="J62">(Tabella13967[[#This Row],[Temperatura]]*Tabella33317[Boltzmann k])/101325</f>
        <v>9.5381623488773759E-26</v>
      </c>
      <c r="K62" s="32" cm="1">
        <f t="array" ref="K62">Tabella33317[Rydberg R]*(2.5+LN(Tabella13967[[#This Row],[Volume]]*Tabella13967[[#This Row],[Translational Factor]]))</f>
        <v>174.23018333144773</v>
      </c>
      <c r="M62" s="45">
        <v>700</v>
      </c>
      <c r="N62" s="18" cm="1">
        <f t="array" ref="N62">Tabella33317[Rydberg R]*(1.5+LN(SQRT(PI()*POWER(Tabella134371[[#This Row],[Temperatura]],3)/(Tabella63664[Simmetria]*Tabella63664[Simmetria]*PRODUCT($G$7:$I$7)))))</f>
        <v>87.298535024509093</v>
      </c>
    </row>
    <row r="63" spans="1:14" x14ac:dyDescent="0.35">
      <c r="A63" s="18">
        <v>800</v>
      </c>
      <c r="B63" s="32" cm="1">
        <f t="array" ref="B63">(Tabella33317[Boltzmann k]*Tabella53563[[#This Row],[Temperatura]])/101325</f>
        <v>1.0900756970145572E-25</v>
      </c>
      <c r="C63" s="32" cm="1">
        <f t="array" ref="C63">POWER((2*Tabella33317[Pi Greco]*Tabella33317[Massa '[kg']]*Tabella33317[Boltzmann k]*Tabella53563[[#This Row],[Temperatura]])/(POWER(Tabella33317[Planck h],2)),1.5)*Tabella53563[[#This Row],[Volume]]</f>
        <v>144516312.83644044</v>
      </c>
      <c r="D63" s="32">
        <f t="shared" si="0"/>
        <v>4.825477511338782E-2</v>
      </c>
      <c r="E63" s="32" cm="1">
        <f t="array" ref="E63">((SQRT(PI())/Tabella63664[Simmetria]))*(SQRT(POWER(Tabella53563[[#This Row],[Temperatura]],3)/PRODUCT($G$7,$H$7,$I$7)))</f>
        <v>9896.1145392982089</v>
      </c>
      <c r="F63" s="18" cm="1">
        <f t="array" ref="F63">Tabella63664[Gel]*EXP(0)</f>
        <v>2</v>
      </c>
      <c r="H63" s="45">
        <v>800</v>
      </c>
      <c r="I63" s="18" cm="1">
        <f t="array" ref="I63">POWER((2*PI()*Tabella33317[Massa '[kg']]*Tabella33317[Boltzmann k]*Tabella13967[[#This Row],[Temperatura]])/(POWER(Tabella33317[Planck h],2)),1.5)</f>
        <v>1.3257456636473431E+33</v>
      </c>
      <c r="J63" s="32" cm="1">
        <f t="array" ref="J63">(Tabella13967[[#This Row],[Temperatura]]*Tabella33317[Boltzmann k])/101325</f>
        <v>1.0900756970145572E-25</v>
      </c>
      <c r="K63" s="32" cm="1">
        <f t="array" ref="K63">Tabella33317[Rydberg R]*(2.5+LN(Tabella13967[[#This Row],[Volume]]*Tabella13967[[#This Row],[Translational Factor]]))</f>
        <v>177.00578776221289</v>
      </c>
      <c r="M63" s="45">
        <v>800</v>
      </c>
      <c r="N63" s="18" cm="1">
        <f t="array" ref="N63">Tabella33317[Rydberg R]*(1.5+LN(SQRT(PI()*POWER(Tabella134371[[#This Row],[Temperatura]],3)/(Tabella63664[Simmetria]*Tabella63664[Simmetria]*PRODUCT($G$7:$I$7)))))</f>
        <v>88.963897682968209</v>
      </c>
    </row>
    <row r="64" spans="1:14" x14ac:dyDescent="0.35">
      <c r="A64" s="18">
        <v>900</v>
      </c>
      <c r="B64" s="32" cm="1">
        <f t="array" ref="B64">(Tabella33317[Boltzmann k]*Tabella53563[[#This Row],[Temperatura]])/101325</f>
        <v>1.2263351591413768E-25</v>
      </c>
      <c r="C64" s="32" cm="1">
        <f t="array" ref="C64">POWER((2*Tabella33317[Pi Greco]*Tabella33317[Massa '[kg']]*Tabella33317[Boltzmann k]*Tabella53563[[#This Row],[Temperatura]])/(POWER(Tabella33317[Planck h],2)),1.5)*Tabella53563[[#This Row],[Volume]]</f>
        <v>193998413.64132646</v>
      </c>
      <c r="D64" s="32">
        <f t="shared" si="0"/>
        <v>7.8938466105136815E-2</v>
      </c>
      <c r="E64" s="32" cm="1">
        <f t="array" ref="E64">((SQRT(PI())/Tabella63664[Simmetria]))*(SQRT(POWER(Tabella53563[[#This Row],[Temperatura]],3)/PRODUCT($G$7,$H$7,$I$7)))</f>
        <v>11808.466365605427</v>
      </c>
      <c r="F64" s="18" cm="1">
        <f t="array" ref="F64">Tabella63664[Gel]*EXP(0)</f>
        <v>2</v>
      </c>
      <c r="H64" s="45">
        <v>900</v>
      </c>
      <c r="I64" s="18" cm="1">
        <f t="array" ref="I64">POWER((2*PI()*Tabella33317[Massa '[kg']]*Tabella33317[Boltzmann k]*Tabella13967[[#This Row],[Temperatura]])/(POWER(Tabella33317[Planck h],2)),1.5)</f>
        <v>1.5819363262581103E+33</v>
      </c>
      <c r="J64" s="32" cm="1">
        <f t="array" ref="J64">(Tabella13967[[#This Row],[Temperatura]]*Tabella33317[Boltzmann k])/101325</f>
        <v>1.2263351591413768E-25</v>
      </c>
      <c r="K64" s="32" cm="1">
        <f t="array" ref="K64">Tabella33317[Rydberg R]*(2.5+LN(Tabella13967[[#This Row],[Volume]]*Tabella13967[[#This Row],[Translational Factor]]))</f>
        <v>179.45404437971177</v>
      </c>
      <c r="M64" s="45">
        <v>900</v>
      </c>
      <c r="N64" s="18" cm="1">
        <f t="array" ref="N64">Tabella33317[Rydberg R]*(1.5+LN(SQRT(PI()*POWER(Tabella134371[[#This Row],[Temperatura]],3)/(Tabella63664[Simmetria]*Tabella63664[Simmetria]*PRODUCT($G$7:$I$7)))))</f>
        <v>90.432851653467552</v>
      </c>
    </row>
    <row r="65" spans="1:24" x14ac:dyDescent="0.35">
      <c r="A65" s="18">
        <v>1000</v>
      </c>
      <c r="B65" s="32" cm="1">
        <f t="array" ref="B65">(Tabella33317[Boltzmann k]*Tabella53563[[#This Row],[Temperatura]])/101325</f>
        <v>1.3625946212681966E-25</v>
      </c>
      <c r="C65" s="32" cm="1">
        <f t="array" ref="C65">POWER((2*Tabella33317[Pi Greco]*Tabella33317[Massa '[kg']]*Tabella33317[Boltzmann k]*Tabella53563[[#This Row],[Temperatura]])/(POWER(Tabella33317[Planck h],2)),1.5)*Tabella53563[[#This Row],[Volume]]</f>
        <v>252459608.87492821</v>
      </c>
      <c r="D65" s="32">
        <f t="shared" si="0"/>
        <v>0.11980958704558346</v>
      </c>
      <c r="E65" s="32" cm="1">
        <f t="array" ref="E65">((SQRT(PI())/Tabella63664[Simmetria]))*(SQRT(POWER(Tabella53563[[#This Row],[Temperatura]],3)/PRODUCT($G$7,$H$7,$I$7)))</f>
        <v>13830.240514371757</v>
      </c>
      <c r="F65" s="18" cm="1">
        <f t="array" ref="F65">Tabella63664[Gel]*EXP(0)</f>
        <v>2</v>
      </c>
      <c r="H65" s="45">
        <v>1000</v>
      </c>
      <c r="I65" s="18" cm="1">
        <f t="array" ref="I65">POWER((2*PI()*Tabella33317[Massa '[kg']]*Tabella33317[Boltzmann k]*Tabella13967[[#This Row],[Temperatura]])/(POWER(Tabella33317[Planck h],2)),1.5)</f>
        <v>1.8527858904944049E+33</v>
      </c>
      <c r="J65" s="32" cm="1">
        <f t="array" ref="J65">(Tabella13967[[#This Row],[Temperatura]]*Tabella33317[Boltzmann k])/101325</f>
        <v>1.3625946212681966E-25</v>
      </c>
      <c r="K65" s="32" cm="1">
        <f t="array" ref="K65">Tabella33317[Rydberg R]*(2.5+LN(Tabella13967[[#This Row],[Volume]]*Tabella13967[[#This Row],[Translational Factor]]))</f>
        <v>181.64408455183735</v>
      </c>
      <c r="M65" s="45">
        <v>1000</v>
      </c>
      <c r="N65" s="18" cm="1">
        <f t="array" ref="N65">Tabella33317[Rydberg R]*(1.5+LN(SQRT(PI()*POWER(Tabella134371[[#This Row],[Temperatura]],3)/(Tabella63664[Simmetria]*Tabella63664[Simmetria]*PRODUCT($G$7:$I$7)))))</f>
        <v>91.746875756742853</v>
      </c>
    </row>
    <row r="66" spans="1:24" x14ac:dyDescent="0.35">
      <c r="A66" s="18">
        <v>1100</v>
      </c>
      <c r="B66" s="32" cm="1">
        <f t="array" ref="B66">(Tabella33317[Boltzmann k]*Tabella53563[[#This Row],[Temperatura]])/101325</f>
        <v>1.4988540833950161E-25</v>
      </c>
      <c r="C66" s="32" cm="1">
        <f t="array" ref="C66">POWER((2*Tabella33317[Pi Greco]*Tabella33317[Massa '[kg']]*Tabella33317[Boltzmann k]*Tabella53563[[#This Row],[Temperatura]])/(POWER(Tabella33317[Planck h],2)),1.5)*Tabella53563[[#This Row],[Volume]]</f>
        <v>320386064.62825406</v>
      </c>
      <c r="D66" s="32">
        <f t="shared" si="0"/>
        <v>0.1720395340276098</v>
      </c>
      <c r="E66" s="32" cm="1">
        <f t="array" ref="E66">((SQRT(PI())/Tabella63664[Simmetria]))*(SQRT(POWER(Tabella53563[[#This Row],[Temperatura]],3)/PRODUCT($G$7,$H$7,$I$7)))</f>
        <v>15955.806486173846</v>
      </c>
      <c r="F66" s="18" cm="1">
        <f t="array" ref="F66">Tabella63664[Gel]*EXP(0)</f>
        <v>2</v>
      </c>
      <c r="H66" s="45">
        <v>1100</v>
      </c>
      <c r="I66" s="18" cm="1">
        <f t="array" ref="I66">POWER((2*PI()*Tabella33317[Massa '[kg']]*Tabella33317[Boltzmann k]*Tabella13967[[#This Row],[Temperatura]])/(POWER(Tabella33317[Planck h],2)),1.5)</f>
        <v>2.1375400592868637E+33</v>
      </c>
      <c r="J66" s="32" cm="1">
        <f t="array" ref="J66">(Tabella13967[[#This Row],[Temperatura]]*Tabella33317[Boltzmann k])/101325</f>
        <v>1.4988540833950161E-25</v>
      </c>
      <c r="K66" s="32" cm="1">
        <f t="array" ref="K66">Tabella33317[Rydberg R]*(2.5+LN(Tabella13967[[#This Row],[Volume]]*Tabella13967[[#This Row],[Translational Factor]]))</f>
        <v>183.62521686958206</v>
      </c>
      <c r="M66" s="45">
        <v>1100</v>
      </c>
      <c r="N66" s="18" cm="1">
        <f t="array" ref="N66">Tabella33317[Rydberg R]*(1.5+LN(SQRT(PI()*POWER(Tabella134371[[#This Row],[Temperatura]],3)/(Tabella63664[Simmetria]*Tabella63664[Simmetria]*PRODUCT($G$7:$I$7)))))</f>
        <v>92.935555147389721</v>
      </c>
    </row>
    <row r="67" spans="1:24" x14ac:dyDescent="0.35">
      <c r="A67" s="18">
        <v>1200</v>
      </c>
      <c r="B67" s="32" cm="1">
        <f t="array" ref="B67">(Tabella33317[Boltzmann k]*Tabella53563[[#This Row],[Temperatura]])/101325</f>
        <v>1.6351135455218356E-25</v>
      </c>
      <c r="C67" s="32" cm="1">
        <f t="array" ref="C67">POWER((2*Tabella33317[Pi Greco]*Tabella33317[Massa '[kg']]*Tabella33317[Boltzmann k]*Tabella53563[[#This Row],[Temperatura]])/(POWER(Tabella33317[Planck h],2)),1.5)*Tabella53563[[#This Row],[Volume]]</f>
        <v>398240129.20241642</v>
      </c>
      <c r="D67" s="32">
        <f t="shared" si="0"/>
        <v>0.23677249172031836</v>
      </c>
      <c r="E67" s="32" cm="1">
        <f t="array" ref="E67">((SQRT(PI())/Tabella63664[Simmetria]))*(SQRT(POWER(Tabella53563[[#This Row],[Temperatura]],3)/PRODUCT($G$7,$H$7,$I$7)))</f>
        <v>18180.32329306383</v>
      </c>
      <c r="F67" s="18" cm="1">
        <f t="array" ref="F67">Tabella63664[Gel]*EXP(0)</f>
        <v>2</v>
      </c>
      <c r="H67" s="45">
        <v>1200</v>
      </c>
      <c r="I67" s="18" cm="1">
        <f t="array" ref="I67">POWER((2*PI()*Tabella33317[Massa '[kg']]*Tabella33317[Boltzmann k]*Tabella13967[[#This Row],[Temperatura]])/(POWER(Tabella33317[Planck h],2)),1.5)</f>
        <v>2.4355503034825678E+33</v>
      </c>
      <c r="J67" s="32" cm="1">
        <f t="array" ref="J67">(Tabella13967[[#This Row],[Temperatura]]*Tabella33317[Boltzmann k])/101325</f>
        <v>1.6351135455218356E-25</v>
      </c>
      <c r="K67" s="32" cm="1">
        <f t="array" ref="K67">Tabella33317[Rydberg R]*(2.5+LN(Tabella13967[[#This Row],[Volume]]*Tabella13967[[#This Row],[Translational Factor]]))</f>
        <v>185.4338489728845</v>
      </c>
      <c r="M67" s="45">
        <v>1200</v>
      </c>
      <c r="N67" s="18" cm="1">
        <f t="array" ref="N67">Tabella33317[Rydberg R]*(1.5+LN(SQRT(PI()*POWER(Tabella134371[[#This Row],[Temperatura]],3)/(Tabella63664[Simmetria]*Tabella63664[Simmetria]*PRODUCT($G$7:$I$7)))))</f>
        <v>94.020734409371215</v>
      </c>
    </row>
    <row r="68" spans="1:24" x14ac:dyDescent="0.35">
      <c r="A68" s="18">
        <v>1300</v>
      </c>
      <c r="B68" s="32" cm="1">
        <f t="array" ref="B68">(Tabella33317[Boltzmann k]*Tabella53563[[#This Row],[Temperatura]])/101325</f>
        <v>1.7713730076486554E-25</v>
      </c>
      <c r="C68" s="32" cm="1">
        <f t="array" ref="C68">POWER((2*Tabella33317[Pi Greco]*Tabella33317[Massa '[kg']]*Tabella33317[Boltzmann k]*Tabella53563[[#This Row],[Temperatura]])/(POWER(Tabella33317[Planck h],2)),1.5)*Tabella53563[[#This Row],[Volume]]</f>
        <v>486463528.75917482</v>
      </c>
      <c r="D68" s="32">
        <f t="shared" si="0"/>
        <v>0.31513895639932554</v>
      </c>
      <c r="E68" s="32" cm="1">
        <f t="array" ref="E68">((SQRT(PI())/Tabella63664[Simmetria]))*(SQRT(POWER(Tabella53563[[#This Row],[Temperatura]],3)/PRODUCT($G$7,$H$7,$I$7)))</f>
        <v>20499.57046500628</v>
      </c>
      <c r="F68" s="18" cm="1">
        <f t="array" ref="F68">Tabella63664[Gel]*EXP(0)</f>
        <v>2</v>
      </c>
      <c r="H68" s="45">
        <v>1300</v>
      </c>
      <c r="I68" s="18" cm="1">
        <f t="array" ref="I68">POWER((2*PI()*Tabella33317[Massa '[kg']]*Tabella33317[Boltzmann k]*Tabella13967[[#This Row],[Temperatura]])/(POWER(Tabella33317[Planck h],2)),1.5)</f>
        <v>2.7462512224057943E+33</v>
      </c>
      <c r="J68" s="32" cm="1">
        <f t="array" ref="J68">(Tabella13967[[#This Row],[Temperatura]]*Tabella33317[Boltzmann k])/101325</f>
        <v>1.7713730076486554E-25</v>
      </c>
      <c r="K68" s="32" cm="1">
        <f t="array" ref="K68">Tabella33317[Rydberg R]*(2.5+LN(Tabella13967[[#This Row],[Volume]]*Tabella13967[[#This Row],[Translational Factor]]))</f>
        <v>187.09762922487243</v>
      </c>
      <c r="M68" s="45">
        <v>1300</v>
      </c>
      <c r="N68" s="18" cm="1">
        <f t="array" ref="N68">Tabella33317[Rydberg R]*(1.5+LN(SQRT(PI()*POWER(Tabella134371[[#This Row],[Temperatura]],3)/(Tabella63664[Simmetria]*Tabella63664[Simmetria]*PRODUCT($G$7:$I$7)))))</f>
        <v>95.019002560563877</v>
      </c>
    </row>
    <row r="69" spans="1:24" x14ac:dyDescent="0.35">
      <c r="A69" s="18">
        <v>1400</v>
      </c>
      <c r="B69" s="32" cm="1">
        <f t="array" ref="B69">(Tabella33317[Boltzmann k]*Tabella53563[[#This Row],[Temperatura]])/101325</f>
        <v>1.9076324697754752E-25</v>
      </c>
      <c r="C69" s="32" cm="1">
        <f t="array" ref="C69">POWER((2*Tabella33317[Pi Greco]*Tabella33317[Massa '[kg']]*Tabella33317[Boltzmann k]*Tabella53563[[#This Row],[Temperatura]])/(POWER(Tabella33317[Planck h],2)),1.5)*Tabella53563[[#This Row],[Volume]]</f>
        <v>585479905.74076736</v>
      </c>
      <c r="D69" s="32">
        <f t="shared" si="0"/>
        <v>0.40826288917866466</v>
      </c>
      <c r="E69" s="32" cm="1">
        <f t="array" ref="E69">((SQRT(PI())/Tabella63664[Simmetria]))*(SQRT(POWER(Tabella53563[[#This Row],[Temperatura]],3)/PRODUCT($G$7,$H$7,$I$7)))</f>
        <v>22909.825764694393</v>
      </c>
      <c r="F69" s="18" cm="1">
        <f t="array" ref="F69">Tabella63664[Gel]*EXP(0)</f>
        <v>2</v>
      </c>
      <c r="H69" s="45">
        <v>1400</v>
      </c>
      <c r="I69" s="18" cm="1">
        <f t="array" ref="I69">POWER((2*PI()*Tabella33317[Massa '[kg']]*Tabella33317[Boltzmann k]*Tabella13967[[#This Row],[Temperatura]])/(POWER(Tabella33317[Planck h],2)),1.5)</f>
        <v>3.0691441617665341E+33</v>
      </c>
      <c r="J69" s="32" cm="1">
        <f t="array" ref="J69">(Tabella13967[[#This Row],[Temperatura]]*Tabella33317[Boltzmann k])/101325</f>
        <v>1.9076324697754752E-25</v>
      </c>
      <c r="K69" s="32" cm="1">
        <f t="array" ref="K69">Tabella33317[Rydberg R]*(2.5+LN(Tabella13967[[#This Row],[Volume]]*Tabella13967[[#This Row],[Translational Factor]]))</f>
        <v>188.63804913529219</v>
      </c>
      <c r="M69" s="45">
        <v>1400</v>
      </c>
      <c r="N69" s="18" cm="1">
        <f t="array" ref="N69">Tabella33317[Rydberg R]*(1.5+LN(SQRT(PI()*POWER(Tabella134371[[#This Row],[Temperatura]],3)/(Tabella63664[Simmetria]*Tabella63664[Simmetria]*PRODUCT($G$7:$I$7)))))</f>
        <v>95.943254506815748</v>
      </c>
    </row>
    <row r="70" spans="1:24" x14ac:dyDescent="0.35">
      <c r="A70" s="18">
        <v>1500</v>
      </c>
      <c r="B70" s="32" cm="1">
        <f t="array" ref="B70">(Tabella33317[Boltzmann k]*Tabella53563[[#This Row],[Temperatura]])/101325</f>
        <v>2.0438919319022949E-25</v>
      </c>
      <c r="C70" s="32" cm="1">
        <f t="array" ref="C70">POWER((2*Tabella33317[Pi Greco]*Tabella33317[Massa '[kg']]*Tabella33317[Boltzmann k]*Tabella53563[[#This Row],[Temperatura]])/(POWER(Tabella33317[Planck h],2)),1.5)*Tabella53563[[#This Row],[Volume]]</f>
        <v>695696875.20695901</v>
      </c>
      <c r="D70" s="32">
        <f t="shared" si="0"/>
        <v>0.51726544822024811</v>
      </c>
      <c r="E70" s="32" cm="1">
        <f t="array" ref="E70">((SQRT(PI())/Tabella63664[Simmetria]))*(SQRT(POWER(Tabella53563[[#This Row],[Temperatura]],3)/PRODUCT($G$7,$H$7,$I$7)))</f>
        <v>25407.774210133473</v>
      </c>
      <c r="F70" s="18" cm="1">
        <f t="array" ref="F70">Tabella63664[Gel]*EXP(0)</f>
        <v>2</v>
      </c>
      <c r="H70" s="45">
        <v>1500</v>
      </c>
      <c r="I70" s="18" cm="1">
        <f t="array" ref="I70">POWER((2*PI()*Tabella33317[Massa '[kg']]*Tabella33317[Boltzmann k]*Tabella13967[[#This Row],[Temperatura]])/(POWER(Tabella33317[Planck h],2)),1.5)</f>
        <v>3.4037850257545599E+33</v>
      </c>
      <c r="J70" s="32" cm="1">
        <f t="array" ref="J70">(Tabella13967[[#This Row],[Temperatura]]*Tabella33317[Boltzmann k])/101325</f>
        <v>2.0438919319022949E-25</v>
      </c>
      <c r="K70" s="32" cm="1">
        <f t="array" ref="K70">Tabella33317[Rydberg R]*(2.5+LN(Tabella13967[[#This Row],[Volume]]*Tabella13967[[#This Row],[Translational Factor]]))</f>
        <v>190.07214576250897</v>
      </c>
      <c r="M70" s="45">
        <v>1500</v>
      </c>
      <c r="N70" s="18" cm="1">
        <f t="array" ref="N70">Tabella33317[Rydberg R]*(1.5+LN(SQRT(PI()*POWER(Tabella134371[[#This Row],[Temperatura]],3)/(Tabella63664[Simmetria]*Tabella63664[Simmetria]*PRODUCT($G$7:$I$7)))))</f>
        <v>96.803712483145844</v>
      </c>
    </row>
    <row r="71" spans="1:24" x14ac:dyDescent="0.35">
      <c r="A71" s="18">
        <v>1600</v>
      </c>
      <c r="B71" s="32" cm="1">
        <f t="array" ref="B71">(Tabella33317[Boltzmann k]*Tabella53563[[#This Row],[Temperatura]])/101325</f>
        <v>2.1801513940291145E-25</v>
      </c>
      <c r="C71" s="32" cm="1">
        <f t="array" ref="C71">POWER((2*Tabella33317[Pi Greco]*Tabella33317[Massa '[kg']]*Tabella33317[Boltzmann k]*Tabella53563[[#This Row],[Temperatura]])/(POWER(Tabella33317[Planck h],2)),1.5)*Tabella53563[[#This Row],[Volume]]</f>
        <v>817507718.38979065</v>
      </c>
      <c r="D71" s="32">
        <f t="shared" si="0"/>
        <v>0.64326690251711072</v>
      </c>
      <c r="E71" s="32" cm="1">
        <f t="array" ref="E71">((SQRT(PI())/Tabella63664[Simmetria]))*(SQRT(POWER(Tabella53563[[#This Row],[Temperatura]],3)/PRODUCT($G$7,$H$7,$I$7)))</f>
        <v>27990.4387925462</v>
      </c>
      <c r="F71" s="18" cm="1">
        <f t="array" ref="F71">Tabella63664[Gel]*EXP(0)</f>
        <v>2</v>
      </c>
      <c r="H71" s="45">
        <v>1600</v>
      </c>
      <c r="I71" s="18" cm="1">
        <f t="array" ref="I71">POWER((2*PI()*Tabella33317[Massa '[kg']]*Tabella33317[Boltzmann k]*Tabella13967[[#This Row],[Temperatura]])/(POWER(Tabella33317[Planck h],2)),1.5)</f>
        <v>3.7497749955747951E+33</v>
      </c>
      <c r="J71" s="32" cm="1">
        <f t="array" ref="J71">(Tabella13967[[#This Row],[Temperatura]]*Tabella33317[Boltzmann k])/101325</f>
        <v>2.1801513940291145E-25</v>
      </c>
      <c r="K71" s="32" cm="1">
        <f t="array" ref="K71">Tabella33317[Rydberg R]*(2.5+LN(Tabella13967[[#This Row],[Volume]]*Tabella13967[[#This Row],[Translational Factor]]))</f>
        <v>191.41365356605732</v>
      </c>
      <c r="M71" s="45">
        <v>1600</v>
      </c>
      <c r="N71" s="18" cm="1">
        <f t="array" ref="N71">Tabella33317[Rydberg R]*(1.5+LN(SQRT(PI()*POWER(Tabella134371[[#This Row],[Temperatura]],3)/(Tabella63664[Simmetria]*Tabella63664[Simmetria]*PRODUCT($G$7:$I$7)))))</f>
        <v>97.608617165274865</v>
      </c>
    </row>
    <row r="72" spans="1:24" x14ac:dyDescent="0.35">
      <c r="A72" s="18">
        <v>1700</v>
      </c>
      <c r="B72" s="32" cm="1">
        <f t="array" ref="B72">(Tabella33317[Boltzmann k]*Tabella53563[[#This Row],[Temperatura]])/101325</f>
        <v>2.316410856155934E-25</v>
      </c>
      <c r="C72" s="32" cm="1">
        <f t="array" ref="C72">POWER((2*Tabella33317[Pi Greco]*Tabella33317[Massa '[kg']]*Tabella33317[Boltzmann k]*Tabella53563[[#This Row],[Temperatura]])/(POWER(Tabella33317[Planck h],2)),1.5)*Tabella53563[[#This Row],[Volume]]</f>
        <v>951292797.26969469</v>
      </c>
      <c r="D72" s="32">
        <f t="shared" si="0"/>
        <v>0.78738758240063644</v>
      </c>
      <c r="E72" s="32" cm="1">
        <f t="array" ref="E72">((SQRT(PI())/Tabella63664[Simmetria]))*(SQRT(POWER(Tabella53563[[#This Row],[Temperatura]],3)/PRODUCT($G$7,$H$7,$I$7)))</f>
        <v>30655.126656779979</v>
      </c>
      <c r="F72" s="18" cm="1">
        <f t="array" ref="F72">Tabella63664[Gel]*EXP(0)</f>
        <v>2</v>
      </c>
      <c r="H72" s="45">
        <v>1700</v>
      </c>
      <c r="I72" s="18" cm="1">
        <f t="array" ref="I72">POWER((2*PI()*Tabella33317[Massa '[kg']]*Tabella33317[Boltzmann k]*Tabella13967[[#This Row],[Temperatura]])/(POWER(Tabella33317[Planck h],2)),1.5)</f>
        <v>4.1067533194364221E+33</v>
      </c>
      <c r="J72" s="32" cm="1">
        <f t="array" ref="J72">(Tabella13967[[#This Row],[Temperatura]]*Tabella33317[Boltzmann k])/101325</f>
        <v>2.316410856155934E-25</v>
      </c>
      <c r="K72" s="32" cm="1">
        <f t="array" ref="K72">Tabella33317[Rydberg R]*(2.5+LN(Tabella13967[[#This Row],[Volume]]*Tabella13967[[#This Row],[Translational Factor]]))</f>
        <v>192.6738064456151</v>
      </c>
      <c r="M72" s="45">
        <v>1700</v>
      </c>
      <c r="N72" s="18" cm="1">
        <f t="array" ref="N72">Tabella33317[Rydberg R]*(1.5+LN(SQRT(PI()*POWER(Tabella134371[[#This Row],[Temperatura]],3)/(Tabella63664[Simmetria]*Tabella63664[Simmetria]*PRODUCT($G$7:$I$7)))))</f>
        <v>98.364708893009549</v>
      </c>
    </row>
    <row r="73" spans="1:24" x14ac:dyDescent="0.35">
      <c r="A73" s="18">
        <v>1800</v>
      </c>
      <c r="B73" s="32" cm="1">
        <f t="array" ref="B73">(Tabella33317[Boltzmann k]*Tabella53563[[#This Row],[Temperatura]])/101325</f>
        <v>2.4526703182827536E-25</v>
      </c>
      <c r="C73" s="32" cm="1">
        <f t="array" ref="C73">POWER((2*Tabella33317[Pi Greco]*Tabella33317[Massa '[kg']]*Tabella33317[Boltzmann k]*Tabella53563[[#This Row],[Temperatura]])/(POWER(Tabella33317[Planck h],2)),1.5)*Tabella53563[[#This Row],[Volume]]</f>
        <v>1097420750.601721</v>
      </c>
      <c r="D73" s="32">
        <f t="shared" si="0"/>
        <v>0.95074832158821931</v>
      </c>
      <c r="E73" s="32" cm="1">
        <f t="array" ref="E73">((SQRT(PI())/Tabella63664[Simmetria]))*(SQRT(POWER(Tabella53563[[#This Row],[Temperatura]],3)/PRODUCT($G$7,$H$7,$I$7)))</f>
        <v>33399.386570131457</v>
      </c>
      <c r="F73" s="18" cm="1">
        <f t="array" ref="F73">Tabella63664[Gel]*EXP(0)</f>
        <v>2</v>
      </c>
      <c r="H73" s="45">
        <v>1800</v>
      </c>
      <c r="I73" s="18" cm="1">
        <f t="array" ref="I73">POWER((2*PI()*Tabella33317[Massa '[kg']]*Tabella33317[Boltzmann k]*Tabella13967[[#This Row],[Temperatura]])/(POWER(Tabella33317[Planck h],2)),1.5)</f>
        <v>4.4743916148097901E+33</v>
      </c>
      <c r="J73" s="32" cm="1">
        <f t="array" ref="J73">(Tabella13967[[#This Row],[Temperatura]]*Tabella33317[Boltzmann k])/101325</f>
        <v>2.4526703182827536E-25</v>
      </c>
      <c r="K73" s="32" cm="1">
        <f t="array" ref="K73">Tabella33317[Rydberg R]*(2.5+LN(Tabella13967[[#This Row],[Volume]]*Tabella13967[[#This Row],[Translational Factor]]))</f>
        <v>193.86191018355623</v>
      </c>
      <c r="M73" s="45">
        <v>1800</v>
      </c>
      <c r="N73" s="18" cm="1">
        <f t="array" ref="N73">Tabella33317[Rydberg R]*(1.5+LN(SQRT(PI()*POWER(Tabella134371[[#This Row],[Temperatura]],3)/(Tabella63664[Simmetria]*Tabella63664[Simmetria]*PRODUCT($G$7:$I$7)))))</f>
        <v>99.077571135774193</v>
      </c>
    </row>
    <row r="74" spans="1:24" x14ac:dyDescent="0.35">
      <c r="A74" s="18">
        <v>1900</v>
      </c>
      <c r="B74" s="32" cm="1">
        <f t="array" ref="B74">(Tabella33317[Boltzmann k]*Tabella53563[[#This Row],[Temperatura]])/101325</f>
        <v>2.5889297804095731E-25</v>
      </c>
      <c r="C74" s="32" cm="1">
        <f t="array" ref="C74">POWER((2*Tabella33317[Pi Greco]*Tabella33317[Massa '[kg']]*Tabella33317[Boltzmann k]*Tabella53563[[#This Row],[Temperatura]])/(POWER(Tabella33317[Planck h],2)),1.5)*Tabella53563[[#This Row],[Volume]]</f>
        <v>1256249515.9562943</v>
      </c>
      <c r="D74" s="32">
        <f t="shared" si="0"/>
        <v>1.1344706332562209</v>
      </c>
      <c r="E74" s="32" cm="1">
        <f t="array" ref="E74">((SQRT(PI())/Tabella63664[Simmetria]))*(SQRT(POWER(Tabella53563[[#This Row],[Temperatura]],3)/PRODUCT($G$7,$H$7,$I$7)))</f>
        <v>36220.974805614394</v>
      </c>
      <c r="F74" s="18" cm="1">
        <f t="array" ref="F74">Tabella63664[Gel]*EXP(0)</f>
        <v>2</v>
      </c>
      <c r="H74" s="45">
        <v>1900</v>
      </c>
      <c r="I74" s="18" cm="1">
        <f t="array" ref="I74">POWER((2*PI()*Tabella33317[Massa '[kg']]*Tabella33317[Boltzmann k]*Tabella13967[[#This Row],[Temperatura]])/(POWER(Tabella33317[Planck h],2)),1.5)</f>
        <v>4.8523892979343516E+33</v>
      </c>
      <c r="J74" s="32" cm="1">
        <f t="array" ref="J74">(Tabella13967[[#This Row],[Temperatura]]*Tabella33317[Boltzmann k])/101325</f>
        <v>2.5889297804095731E-25</v>
      </c>
      <c r="K74" s="32" cm="1">
        <f t="array" ref="K74">Tabella33317[Rydberg R]*(2.5+LN(Tabella13967[[#This Row],[Volume]]*Tabella13967[[#This Row],[Translational Factor]]))</f>
        <v>194.98575990883333</v>
      </c>
      <c r="M74" s="45">
        <v>1900</v>
      </c>
      <c r="N74" s="18" cm="1">
        <f t="array" ref="N74">Tabella33317[Rydberg R]*(1.5+LN(SQRT(PI()*POWER(Tabella134371[[#This Row],[Temperatura]],3)/(Tabella63664[Simmetria]*Tabella63664[Simmetria]*PRODUCT($G$7:$I$7)))))</f>
        <v>99.751880970940462</v>
      </c>
    </row>
    <row r="75" spans="1:24" x14ac:dyDescent="0.35">
      <c r="A75" s="18">
        <v>2000</v>
      </c>
      <c r="B75" s="32" cm="1">
        <f t="array" ref="B75">(Tabella33317[Boltzmann k]*Tabella53563[[#This Row],[Temperatura]])/101325</f>
        <v>2.7251892425363931E-25</v>
      </c>
      <c r="C75" s="32" cm="1">
        <f t="array" ref="C75">POWER((2*Tabella33317[Pi Greco]*Tabella33317[Massa '[kg']]*Tabella33317[Boltzmann k]*Tabella53563[[#This Row],[Temperatura]])/(POWER(Tabella33317[Planck h],2)),1.5)*Tabella53563[[#This Row],[Volume]]</f>
        <v>1428127211.2893257</v>
      </c>
      <c r="D75" s="32">
        <f t="shared" si="0"/>
        <v>1.3396767498382891</v>
      </c>
      <c r="E75" s="32" cm="1">
        <f t="array" ref="E75">((SQRT(PI())/Tabella63664[Simmetria]))*(SQRT(POWER(Tabella53563[[#This Row],[Temperatura]],3)/PRODUCT($G$7,$H$7,$I$7)))</f>
        <v>39117.827412612773</v>
      </c>
      <c r="F75" s="18" cm="1">
        <f t="array" ref="F75">Tabella63664[Gel]*EXP(0)</f>
        <v>2</v>
      </c>
      <c r="H75" s="45">
        <v>2000</v>
      </c>
      <c r="I75" s="45" cm="1">
        <f t="array" ref="I75">POWER((2*PI()*Tabella33317[Massa '[kg']]*Tabella33317[Boltzmann k]*Tabella13967[[#This Row],[Temperatura]])/(POWER(Tabella33317[Planck h],2)),1.5)</f>
        <v>5.2404698690214138E+33</v>
      </c>
      <c r="J75" s="32" cm="1">
        <f t="array" ref="J75">(Tabella13967[[#This Row],[Temperatura]]*Tabella33317[Boltzmann k])/101325</f>
        <v>2.7251892425363931E-25</v>
      </c>
      <c r="K75" s="32" cm="1">
        <f t="array" ref="K75">Tabella33317[Rydberg R]*(2.5+LN(Tabella13967[[#This Row],[Volume]]*Tabella13967[[#This Row],[Translational Factor]]))</f>
        <v>196.05195035568178</v>
      </c>
      <c r="M75" s="45">
        <v>2000</v>
      </c>
      <c r="N75" s="18" cm="1">
        <f t="array" ref="N75">Tabella33317[Rydberg R]*(1.5+LN(SQRT(PI()*POWER(Tabella134371[[#This Row],[Temperatura]],3)/(Tabella63664[Simmetria]*Tabella63664[Simmetria]*PRODUCT($G$7:$I$7)))))</f>
        <v>100.39159523904949</v>
      </c>
    </row>
    <row r="76" spans="1:24" x14ac:dyDescent="0.35">
      <c r="A76" s="46" t="s">
        <v>122</v>
      </c>
      <c r="B76" s="32"/>
      <c r="C76" s="32">
        <f>C75-C58</f>
        <v>1415873181.2886555</v>
      </c>
      <c r="D76" s="32">
        <f>D75-D58</f>
        <v>1.3395822905944803</v>
      </c>
      <c r="E76" s="32">
        <f>E75-E58</f>
        <v>36866.275559029396</v>
      </c>
      <c r="H76" s="46" t="s">
        <v>122</v>
      </c>
      <c r="I76" s="45">
        <f>I75-I58</f>
        <v>4.9388378401567824E+33</v>
      </c>
      <c r="J76" s="32">
        <f>J75-J58</f>
        <v>2.3189316562052802E-25</v>
      </c>
      <c r="K76" s="32">
        <f>K75-K58</f>
        <v>39.562411147219876</v>
      </c>
    </row>
    <row r="79" spans="1:24" x14ac:dyDescent="0.3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H79" s="47"/>
      <c r="I79" s="47"/>
      <c r="J79" s="47"/>
    </row>
    <row r="80" spans="1:24" x14ac:dyDescent="0.35">
      <c r="A80" s="45">
        <v>298.14999999999998</v>
      </c>
      <c r="B80" s="32" cm="1">
        <f t="array" ref="B80">(3/2)*Tabella33317[Rydberg R]</f>
        <v>12.471693927</v>
      </c>
      <c r="C80" s="32" cm="1">
        <f t="array" ref="C80">(3/2)*Tabella33317[Rydberg R]</f>
        <v>12.471693927</v>
      </c>
      <c r="D80" s="32" cm="1">
        <f t="array" ref="D8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3.6567261783646532</v>
      </c>
      <c r="E80" s="18">
        <f>SUM(Tabella154573[[#This Row],[CvRot]:[Cv Vib]])</f>
        <v>28.600114032364655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8" x14ac:dyDescent="0.35">
      <c r="A81" s="45">
        <v>400</v>
      </c>
      <c r="B81" s="32" cm="1">
        <f t="array" ref="B81">(3/2)*Tabella33317[Rydberg R]</f>
        <v>12.471693927</v>
      </c>
      <c r="C81" s="32" cm="1">
        <f t="array" ref="C81">(3/2)*Tabella33317[Rydberg R]</f>
        <v>12.471693927</v>
      </c>
      <c r="D81" s="32" cm="1">
        <f t="array" ref="D8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6.6747324968581374</v>
      </c>
      <c r="E81" s="18">
        <f>SUM(Tabella154573[[#This Row],[CvRot]:[Cv Vib]])</f>
        <v>31.618120350858138</v>
      </c>
    </row>
    <row r="82" spans="1:8" x14ac:dyDescent="0.35">
      <c r="A82" s="45">
        <v>500</v>
      </c>
      <c r="B82" s="32" cm="1">
        <f t="array" ref="B82">(3/2)*Tabella33317[Rydberg R]</f>
        <v>12.471693927</v>
      </c>
      <c r="C82" s="32" cm="1">
        <f t="array" ref="C82">(3/2)*Tabella33317[Rydberg R]</f>
        <v>12.471693927</v>
      </c>
      <c r="D82" s="32" cm="1">
        <f t="array" ref="D8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9.5702375974816754</v>
      </c>
      <c r="E82" s="18">
        <f>SUM(Tabella154573[[#This Row],[CvRot]:[Cv Vib]])</f>
        <v>34.513625451481673</v>
      </c>
      <c r="H82" s="47"/>
    </row>
    <row r="83" spans="1:8" x14ac:dyDescent="0.35">
      <c r="A83" s="45">
        <v>600</v>
      </c>
      <c r="B83" s="32" cm="1">
        <f t="array" ref="B83">(3/2)*Tabella33317[Rydberg R]</f>
        <v>12.471693927</v>
      </c>
      <c r="C83" s="32" cm="1">
        <f t="array" ref="C83">(3/2)*Tabella33317[Rydberg R]</f>
        <v>12.471693927</v>
      </c>
      <c r="D83" s="32" cm="1">
        <f t="array" ref="D8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12.129563399963622</v>
      </c>
      <c r="E83" s="18">
        <f>SUM(Tabella154573[[#This Row],[CvRot]:[Cv Vib]])</f>
        <v>37.072951253963623</v>
      </c>
    </row>
    <row r="84" spans="1:8" x14ac:dyDescent="0.35">
      <c r="A84" s="45">
        <v>700</v>
      </c>
      <c r="B84" s="32" cm="1">
        <f t="array" ref="B84">(3/2)*Tabella33317[Rydberg R]</f>
        <v>12.471693927</v>
      </c>
      <c r="C84" s="32" cm="1">
        <f t="array" ref="C84">(3/2)*Tabella33317[Rydberg R]</f>
        <v>12.471693927</v>
      </c>
      <c r="D84" s="32" cm="1">
        <f t="array" ref="D8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14.267493836157859</v>
      </c>
      <c r="E84" s="18">
        <f>SUM(Tabella154573[[#This Row],[CvRot]:[Cv Vib]])</f>
        <v>39.210881690157862</v>
      </c>
      <c r="H84" s="47"/>
    </row>
    <row r="85" spans="1:8" x14ac:dyDescent="0.35">
      <c r="A85" s="45">
        <v>800</v>
      </c>
      <c r="B85" s="32" cm="1">
        <f t="array" ref="B85">(3/2)*Tabella33317[Rydberg R]</f>
        <v>12.471693927</v>
      </c>
      <c r="C85" s="32" cm="1">
        <f t="array" ref="C85">(3/2)*Tabella33317[Rydberg R]</f>
        <v>12.471693927</v>
      </c>
      <c r="D85" s="32" cm="1">
        <f t="array" ref="D8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16.005648992031748</v>
      </c>
      <c r="E85" s="18">
        <f>SUM(Tabella154573[[#This Row],[CvRot]:[Cv Vib]])</f>
        <v>40.949036846031746</v>
      </c>
    </row>
    <row r="86" spans="1:8" x14ac:dyDescent="0.35">
      <c r="A86" s="45">
        <v>900</v>
      </c>
      <c r="B86" s="32" cm="1">
        <f t="array" ref="B86">(3/2)*Tabella33317[Rydberg R]</f>
        <v>12.471693927</v>
      </c>
      <c r="C86" s="32" cm="1">
        <f t="array" ref="C86">(3/2)*Tabella33317[Rydberg R]</f>
        <v>12.471693927</v>
      </c>
      <c r="D86" s="32" cm="1">
        <f t="array" ref="D8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17.404941985022468</v>
      </c>
      <c r="E86" s="18">
        <f>SUM(Tabella154573[[#This Row],[CvRot]:[Cv Vib]])</f>
        <v>42.348329839022469</v>
      </c>
      <c r="H86" s="47"/>
    </row>
    <row r="87" spans="1:8" x14ac:dyDescent="0.35">
      <c r="A87" s="45">
        <v>1000</v>
      </c>
      <c r="B87" s="32" cm="1">
        <f t="array" ref="B87">(3/2)*Tabella33317[Rydberg R]</f>
        <v>12.471693927</v>
      </c>
      <c r="C87" s="32" cm="1">
        <f t="array" ref="C87">(3/2)*Tabella33317[Rydberg R]</f>
        <v>12.471693927</v>
      </c>
      <c r="D87" s="32" cm="1">
        <f t="array" ref="D8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18.531038804773242</v>
      </c>
      <c r="E87" s="18">
        <f>SUM(Tabella154573[[#This Row],[CvRot]:[Cv Vib]])</f>
        <v>43.47442665877324</v>
      </c>
    </row>
    <row r="88" spans="1:8" x14ac:dyDescent="0.35">
      <c r="A88" s="45">
        <v>1100</v>
      </c>
      <c r="B88" s="32" cm="1">
        <f t="array" ref="B88">(3/2)*Tabella33317[Rydberg R]</f>
        <v>12.471693927</v>
      </c>
      <c r="C88" s="32" cm="1">
        <f t="array" ref="C88">(3/2)*Tabella33317[Rydberg R]</f>
        <v>12.471693927</v>
      </c>
      <c r="D88" s="32" cm="1">
        <f t="array" ref="D88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19.441502546643296</v>
      </c>
      <c r="E88" s="18">
        <f>SUM(Tabella154573[[#This Row],[CvRot]:[Cv Vib]])</f>
        <v>44.3848904006433</v>
      </c>
      <c r="H88" s="47"/>
    </row>
    <row r="89" spans="1:8" x14ac:dyDescent="0.35">
      <c r="A89" s="45">
        <v>1200</v>
      </c>
      <c r="B89" s="32" cm="1">
        <f t="array" ref="B89">(3/2)*Tabella33317[Rydberg R]</f>
        <v>12.471693927</v>
      </c>
      <c r="C89" s="32" cm="1">
        <f t="array" ref="C89">(3/2)*Tabella33317[Rydberg R]</f>
        <v>12.471693927</v>
      </c>
      <c r="D89" s="32" cm="1">
        <f t="array" ref="D89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20.182900586249019</v>
      </c>
      <c r="E89" s="18">
        <f>SUM(Tabella154573[[#This Row],[CvRot]:[Cv Vib]])</f>
        <v>45.12628844024902</v>
      </c>
    </row>
    <row r="90" spans="1:8" x14ac:dyDescent="0.35">
      <c r="A90" s="45">
        <v>1300</v>
      </c>
      <c r="B90" s="32" cm="1">
        <f t="array" ref="B90">(3/2)*Tabella33317[Rydberg R]</f>
        <v>12.471693927</v>
      </c>
      <c r="C90" s="32" cm="1">
        <f t="array" ref="C90">(3/2)*Tabella33317[Rydberg R]</f>
        <v>12.471693927</v>
      </c>
      <c r="D90" s="32" cm="1">
        <f t="array" ref="D9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20.791621949226691</v>
      </c>
      <c r="E90" s="18">
        <f>SUM(Tabella154573[[#This Row],[CvRot]:[Cv Vib]])</f>
        <v>45.735009803226689</v>
      </c>
    </row>
    <row r="91" spans="1:8" x14ac:dyDescent="0.35">
      <c r="A91" s="45">
        <v>1400</v>
      </c>
      <c r="B91" s="32" cm="1">
        <f t="array" ref="B91">(3/2)*Tabella33317[Rydberg R]</f>
        <v>12.471693927</v>
      </c>
      <c r="C91" s="32" cm="1">
        <f t="array" ref="C91">(3/2)*Tabella33317[Rydberg R]</f>
        <v>12.471693927</v>
      </c>
      <c r="D91" s="32" cm="1">
        <f t="array" ref="D9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21.295709893946015</v>
      </c>
      <c r="E91" s="18">
        <f>SUM(Tabella154573[[#This Row],[CvRot]:[Cv Vib]])</f>
        <v>46.239097747946019</v>
      </c>
    </row>
    <row r="92" spans="1:8" x14ac:dyDescent="0.35">
      <c r="A92" s="45">
        <v>1500</v>
      </c>
      <c r="B92" s="32" cm="1">
        <f t="array" ref="B92">(3/2)*Tabella33317[Rydberg R]</f>
        <v>12.471693927</v>
      </c>
      <c r="C92" s="32" cm="1">
        <f t="array" ref="C92">(3/2)*Tabella33317[Rydberg R]</f>
        <v>12.471693927</v>
      </c>
      <c r="D92" s="32" cm="1">
        <f t="array" ref="D9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21.716703254885473</v>
      </c>
      <c r="E92" s="18">
        <f>SUM(Tabella154573[[#This Row],[CvRot]:[Cv Vib]])</f>
        <v>46.660091108885474</v>
      </c>
    </row>
    <row r="93" spans="1:8" x14ac:dyDescent="0.35">
      <c r="A93" s="45">
        <v>1600</v>
      </c>
      <c r="B93" s="32" cm="1">
        <f t="array" ref="B93">(3/2)*Tabella33317[Rydberg R]</f>
        <v>12.471693927</v>
      </c>
      <c r="C93" s="32" cm="1">
        <f t="array" ref="C93">(3/2)*Tabella33317[Rydberg R]</f>
        <v>12.471693927</v>
      </c>
      <c r="D93" s="32" cm="1">
        <f t="array" ref="D9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22.071182006398189</v>
      </c>
      <c r="E93" s="18">
        <f>SUM(Tabella154573[[#This Row],[CvRot]:[Cv Vib]])</f>
        <v>47.01456986039819</v>
      </c>
    </row>
    <row r="94" spans="1:8" x14ac:dyDescent="0.35">
      <c r="A94" s="45">
        <v>1700</v>
      </c>
      <c r="B94" s="32" cm="1">
        <f t="array" ref="B94">(3/2)*Tabella33317[Rydberg R]</f>
        <v>12.471693927</v>
      </c>
      <c r="C94" s="32" cm="1">
        <f t="array" ref="C94">(3/2)*Tabella33317[Rydberg R]</f>
        <v>12.471693927</v>
      </c>
      <c r="D94" s="32" cm="1">
        <f t="array" ref="D9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22.371976169243688</v>
      </c>
      <c r="E94" s="18">
        <f>SUM(Tabella154573[[#This Row],[CvRot]:[Cv Vib]])</f>
        <v>47.315364023243689</v>
      </c>
    </row>
    <row r="95" spans="1:8" x14ac:dyDescent="0.35">
      <c r="A95" s="45">
        <v>1800</v>
      </c>
      <c r="B95" s="32" cm="1">
        <f t="array" ref="B95">(3/2)*Tabella33317[Rydberg R]</f>
        <v>12.471693927</v>
      </c>
      <c r="C95" s="32" cm="1">
        <f t="array" ref="C95">(3/2)*Tabella33317[Rydberg R]</f>
        <v>12.471693927</v>
      </c>
      <c r="D95" s="32" cm="1">
        <f t="array" ref="D9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22.629082210169845</v>
      </c>
      <c r="E95" s="18">
        <f>SUM(Tabella154573[[#This Row],[CvRot]:[Cv Vib]])</f>
        <v>47.572470064169849</v>
      </c>
    </row>
    <row r="96" spans="1:8" x14ac:dyDescent="0.35">
      <c r="A96" s="45">
        <v>1900</v>
      </c>
      <c r="B96" s="32" cm="1">
        <f t="array" ref="B96">(3/2)*Tabella33317[Rydberg R]</f>
        <v>12.471693927</v>
      </c>
      <c r="C96" s="32" cm="1">
        <f t="array" ref="C96">(3/2)*Tabella33317[Rydberg R]</f>
        <v>12.471693927</v>
      </c>
      <c r="D96" s="32" cm="1">
        <f t="array" ref="D9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22.850348484959461</v>
      </c>
      <c r="E96" s="18">
        <f>SUM(Tabella154573[[#This Row],[CvRot]:[Cv Vib]])</f>
        <v>47.793736338959462</v>
      </c>
    </row>
    <row r="97" spans="1:8" x14ac:dyDescent="0.35">
      <c r="A97" s="45">
        <v>2000</v>
      </c>
      <c r="B97" s="32" cm="1">
        <f t="array" ref="B97">(3/2)*Tabella33317[Rydberg R]</f>
        <v>12.471693927</v>
      </c>
      <c r="C97" s="32" cm="1">
        <f t="array" ref="C97">(3/2)*Tabella33317[Rydberg R]</f>
        <v>12.471693927</v>
      </c>
      <c r="D97" s="32" cm="1">
        <f t="array" ref="D9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23.041985855042029</v>
      </c>
      <c r="E97" s="18">
        <f>SUM(Tabella154573[[#This Row],[CvRot]:[Cv Vib]])</f>
        <v>47.98537370904203</v>
      </c>
    </row>
    <row r="98" spans="1:8" x14ac:dyDescent="0.35">
      <c r="A98" s="46" t="s">
        <v>122</v>
      </c>
      <c r="B98" s="61"/>
      <c r="C98" s="32"/>
      <c r="D98" s="32">
        <f>D97-D80</f>
        <v>19.385259676677375</v>
      </c>
      <c r="E98" s="32">
        <f>E97-E80</f>
        <v>19.385259676677375</v>
      </c>
    </row>
    <row r="99" spans="1:8" x14ac:dyDescent="0.35">
      <c r="G99" s="62"/>
    </row>
    <row r="103" spans="1:8" ht="34.5" customHeight="1" thickBot="1" x14ac:dyDescent="0.4">
      <c r="A103" s="164" t="s">
        <v>108</v>
      </c>
    </row>
    <row r="104" spans="1:8" x14ac:dyDescent="0.35">
      <c r="A104" s="96" t="s">
        <v>109</v>
      </c>
      <c r="B104" s="97" t="s">
        <v>123</v>
      </c>
      <c r="C104" s="98"/>
      <c r="D104" s="99"/>
      <c r="E104" s="100" t="s">
        <v>109</v>
      </c>
      <c r="F104" s="101" t="s">
        <v>124</v>
      </c>
      <c r="G104" s="98"/>
      <c r="H104" s="99"/>
    </row>
    <row r="105" spans="1:8" x14ac:dyDescent="0.35">
      <c r="A105" s="70"/>
      <c r="B105" s="71" t="s">
        <v>110</v>
      </c>
      <c r="C105" s="71" t="s">
        <v>111</v>
      </c>
      <c r="D105" s="74" t="s">
        <v>117</v>
      </c>
      <c r="E105" s="70"/>
      <c r="F105" s="71" t="s">
        <v>110</v>
      </c>
      <c r="G105" s="71" t="s">
        <v>111</v>
      </c>
      <c r="H105" s="74" t="s">
        <v>117</v>
      </c>
    </row>
    <row r="106" spans="1:8" x14ac:dyDescent="0.35">
      <c r="A106" s="70" t="s">
        <v>8</v>
      </c>
      <c r="B106" s="75">
        <f>E15</f>
        <v>9.4459243808906994E-5</v>
      </c>
      <c r="C106" s="75">
        <v>9.4461699999999997E-5</v>
      </c>
      <c r="D106" s="78">
        <f>ABS(B106-C106)/C106</f>
        <v>2.6001978505605245E-5</v>
      </c>
      <c r="E106" s="70" t="s">
        <v>8</v>
      </c>
      <c r="F106" s="75">
        <f>E22</f>
        <v>0.11980958704558346</v>
      </c>
      <c r="G106" s="75">
        <v>0.119811</v>
      </c>
      <c r="H106" s="78">
        <f>ABS(F106-G106)/G106</f>
        <v>1.1793194419027498E-5</v>
      </c>
    </row>
    <row r="107" spans="1:8" x14ac:dyDescent="0.35">
      <c r="A107" s="70" t="s">
        <v>9</v>
      </c>
      <c r="B107" s="75">
        <f>E58</f>
        <v>2251.5518535833753</v>
      </c>
      <c r="C107" s="75">
        <v>2251.5500000000002</v>
      </c>
      <c r="D107" s="78">
        <f t="shared" ref="D107:D116" si="1">ABS(B107-C107)/C107</f>
        <v>8.2324770718970495E-7</v>
      </c>
      <c r="E107" s="70" t="s">
        <v>9</v>
      </c>
      <c r="F107" s="75">
        <f>E65</f>
        <v>13830.240514371757</v>
      </c>
      <c r="G107" s="75">
        <v>13830.2</v>
      </c>
      <c r="H107" s="78">
        <f t="shared" ref="H107:H110" si="2">ABS(F107-G107)/G107</f>
        <v>2.9294132952680985E-6</v>
      </c>
    </row>
    <row r="108" spans="1:8" x14ac:dyDescent="0.35">
      <c r="A108" s="70" t="s">
        <v>7</v>
      </c>
      <c r="B108" s="75">
        <f>C58</f>
        <v>12254030.000670159</v>
      </c>
      <c r="C108" s="75">
        <v>12260000</v>
      </c>
      <c r="D108" s="78">
        <f t="shared" si="1"/>
        <v>4.8694937437526628E-4</v>
      </c>
      <c r="E108" s="70" t="s">
        <v>7</v>
      </c>
      <c r="F108" s="75">
        <f>C65</f>
        <v>252459608.87492821</v>
      </c>
      <c r="G108" s="75">
        <v>252583000</v>
      </c>
      <c r="H108" s="78">
        <f t="shared" si="2"/>
        <v>4.8851714118445741E-4</v>
      </c>
    </row>
    <row r="109" spans="1:8" ht="15" thickBot="1" x14ac:dyDescent="0.4">
      <c r="A109" s="79" t="s">
        <v>10</v>
      </c>
      <c r="B109" s="102">
        <f>F58</f>
        <v>2</v>
      </c>
      <c r="C109" s="103">
        <v>2</v>
      </c>
      <c r="D109" s="104">
        <v>0</v>
      </c>
      <c r="E109" s="79" t="s">
        <v>10</v>
      </c>
      <c r="F109" s="102">
        <v>2</v>
      </c>
      <c r="G109" s="103">
        <v>2</v>
      </c>
      <c r="H109" s="104">
        <v>0</v>
      </c>
    </row>
    <row r="110" spans="1:8" ht="15" thickBot="1" x14ac:dyDescent="0.4">
      <c r="A110" s="105" t="s">
        <v>125</v>
      </c>
      <c r="B110" s="106">
        <f>PRODUCT(B106:B109)</f>
        <v>5212371.3945697742</v>
      </c>
      <c r="C110" s="106">
        <f>PRODUCT(C106:C109)</f>
        <v>5215042.1003702004</v>
      </c>
      <c r="D110" s="107">
        <f t="shared" si="1"/>
        <v>5.121158658022353E-4</v>
      </c>
      <c r="E110" s="105" t="s">
        <v>125</v>
      </c>
      <c r="F110" s="106">
        <f>PRODUCT(F106:F109)</f>
        <v>836648823590.5542</v>
      </c>
      <c r="G110" s="106">
        <f>PRODUCT(G106:G109)</f>
        <v>837065160236.3053</v>
      </c>
      <c r="H110" s="107">
        <f t="shared" si="2"/>
        <v>4.9737662672947214E-4</v>
      </c>
    </row>
    <row r="111" spans="1:8" x14ac:dyDescent="0.35">
      <c r="A111" s="108"/>
      <c r="B111" s="89"/>
      <c r="C111" s="89"/>
      <c r="D111" s="90"/>
      <c r="E111" s="108"/>
      <c r="F111" s="89"/>
      <c r="G111" s="89"/>
      <c r="H111" s="90"/>
    </row>
    <row r="112" spans="1:8" x14ac:dyDescent="0.35">
      <c r="A112" s="70" t="s">
        <v>112</v>
      </c>
      <c r="B112" s="75">
        <f>H37/4.184</f>
        <v>0.27300508840986204</v>
      </c>
      <c r="C112" s="17">
        <v>0.27600000000000002</v>
      </c>
      <c r="D112" s="78">
        <f>ABS(B112-C112)/C112</f>
        <v>1.08511289497753E-2</v>
      </c>
      <c r="E112" s="70" t="s">
        <v>112</v>
      </c>
      <c r="F112" s="75">
        <f>H44/4.184</f>
        <v>3.3046074727086938</v>
      </c>
      <c r="G112" s="17">
        <v>3.4729999999999999</v>
      </c>
      <c r="H112" s="78">
        <f>ABS(F112-G112)/G112</f>
        <v>4.8486186954018441E-2</v>
      </c>
    </row>
    <row r="113" spans="1:8" x14ac:dyDescent="0.35">
      <c r="A113" s="70" t="s">
        <v>113</v>
      </c>
      <c r="B113" s="17">
        <f>N58/4.184</f>
        <v>18.32078120237037</v>
      </c>
      <c r="C113" s="17">
        <v>18.321000000000002</v>
      </c>
      <c r="D113" s="78">
        <f t="shared" si="1"/>
        <v>1.1942450173677773E-5</v>
      </c>
      <c r="E113" s="70" t="s">
        <v>113</v>
      </c>
      <c r="F113" s="17">
        <f>N65/4.184</f>
        <v>21.928029578571426</v>
      </c>
      <c r="G113" s="17">
        <v>21.928000000000001</v>
      </c>
      <c r="H113" s="78">
        <f t="shared" ref="H113:H116" si="3">ABS(F113-G113)/G113</f>
        <v>1.3488950850532877E-6</v>
      </c>
    </row>
    <row r="114" spans="1:8" x14ac:dyDescent="0.35">
      <c r="A114" s="70" t="s">
        <v>114</v>
      </c>
      <c r="B114" s="75">
        <f>K58/4.184</f>
        <v>37.401897516362787</v>
      </c>
      <c r="C114" s="17">
        <v>37.402999999999999</v>
      </c>
      <c r="D114" s="78">
        <f t="shared" si="1"/>
        <v>2.9475807748350366E-5</v>
      </c>
      <c r="E114" s="70" t="s">
        <v>114</v>
      </c>
      <c r="F114" s="75">
        <f>K65/4.184</f>
        <v>43.413978143364567</v>
      </c>
      <c r="G114" s="17">
        <v>43.414999999999999</v>
      </c>
      <c r="H114" s="78">
        <f t="shared" si="3"/>
        <v>2.3536948875562077E-5</v>
      </c>
    </row>
    <row r="115" spans="1:8" ht="15" thickBot="1" x14ac:dyDescent="0.4">
      <c r="A115" s="79" t="s">
        <v>115</v>
      </c>
      <c r="B115" s="102" cm="1">
        <f t="array" ref="B115">LN(B109)*Tabella33317[Rydberg R]/4.184</f>
        <v>1.3774250290482222</v>
      </c>
      <c r="C115" s="103">
        <v>1.377</v>
      </c>
      <c r="D115" s="104">
        <f t="shared" si="1"/>
        <v>3.0866307060433529E-4</v>
      </c>
      <c r="E115" s="79" t="s">
        <v>115</v>
      </c>
      <c r="F115" s="102" cm="1">
        <f t="array" ref="F115">LN(F109)*Tabella33317[Rydberg R]/4.184</f>
        <v>1.3774250290482222</v>
      </c>
      <c r="G115" s="103">
        <v>1.377</v>
      </c>
      <c r="H115" s="104">
        <v>0</v>
      </c>
    </row>
    <row r="116" spans="1:8" ht="15" thickBot="1" x14ac:dyDescent="0.4">
      <c r="A116" s="105" t="s">
        <v>126</v>
      </c>
      <c r="B116" s="106">
        <f>SUM(B112:B115)</f>
        <v>57.373108836191236</v>
      </c>
      <c r="C116" s="86">
        <f>SUM(C112:C115)</f>
        <v>57.377000000000002</v>
      </c>
      <c r="D116" s="107">
        <f t="shared" si="1"/>
        <v>6.7817484510637751E-5</v>
      </c>
      <c r="E116" s="105" t="s">
        <v>126</v>
      </c>
      <c r="F116" s="106">
        <f>SUM(F112:F115)</f>
        <v>70.024040223692907</v>
      </c>
      <c r="G116" s="86">
        <f>SUM(G112:G115)</f>
        <v>70.192999999999998</v>
      </c>
      <c r="H116" s="107">
        <f t="shared" si="3"/>
        <v>2.4070744419969329E-3</v>
      </c>
    </row>
    <row r="117" spans="1:8" x14ac:dyDescent="0.35">
      <c r="A117" s="108"/>
      <c r="B117" s="89"/>
      <c r="C117" s="89"/>
      <c r="D117" s="90"/>
      <c r="E117" s="108"/>
      <c r="F117" s="89"/>
      <c r="G117" s="89"/>
      <c r="H117" s="90"/>
    </row>
    <row r="118" spans="1:8" x14ac:dyDescent="0.35">
      <c r="A118" s="70" t="s">
        <v>105</v>
      </c>
      <c r="B118" s="75">
        <f>D80/4.184</f>
        <v>0.87397853211392285</v>
      </c>
      <c r="C118" s="17">
        <v>0.88100000000000001</v>
      </c>
      <c r="D118" s="78">
        <f>ABS(B118-C118)/C118</f>
        <v>7.9698840931636313E-3</v>
      </c>
      <c r="E118" s="70" t="s">
        <v>105</v>
      </c>
      <c r="F118" s="75">
        <f>D87/4.184</f>
        <v>4.4290245709305074</v>
      </c>
      <c r="G118" s="17">
        <v>4.47</v>
      </c>
      <c r="H118" s="78">
        <f>ABS(F118-G118)/G118</f>
        <v>9.1667626553674202E-3</v>
      </c>
    </row>
    <row r="119" spans="1:8" x14ac:dyDescent="0.35">
      <c r="A119" s="70" t="s">
        <v>118</v>
      </c>
      <c r="B119" s="75">
        <f>B80/4.184</f>
        <v>2.9808063879063096</v>
      </c>
      <c r="C119" s="17">
        <v>2.9809999999999999</v>
      </c>
      <c r="D119" s="78">
        <f t="shared" ref="D119:D122" si="4">ABS(B119-C119)/C119</f>
        <v>6.4948706370441945E-5</v>
      </c>
      <c r="E119" s="70" t="s">
        <v>118</v>
      </c>
      <c r="F119" s="75">
        <f>B87/4.184</f>
        <v>2.9808063879063096</v>
      </c>
      <c r="G119" s="17">
        <v>2.9809999999999999</v>
      </c>
      <c r="H119" s="78">
        <f t="shared" ref="H119:H122" si="5">ABS(F119-G119)/G119</f>
        <v>6.4948706370441945E-5</v>
      </c>
    </row>
    <row r="120" spans="1:8" x14ac:dyDescent="0.35">
      <c r="A120" s="70" t="s">
        <v>119</v>
      </c>
      <c r="B120" s="75">
        <f>C80/4.184</f>
        <v>2.9808063879063096</v>
      </c>
      <c r="C120" s="17">
        <v>2.9809999999999999</v>
      </c>
      <c r="D120" s="78">
        <f t="shared" si="4"/>
        <v>6.4948706370441945E-5</v>
      </c>
      <c r="E120" s="70" t="s">
        <v>119</v>
      </c>
      <c r="F120" s="75">
        <f>C87/4.184</f>
        <v>2.9808063879063096</v>
      </c>
      <c r="G120" s="17">
        <v>2.9809999999999999</v>
      </c>
      <c r="H120" s="78">
        <f t="shared" si="5"/>
        <v>6.4948706370441945E-5</v>
      </c>
    </row>
    <row r="121" spans="1:8" ht="15" thickBot="1" x14ac:dyDescent="0.4">
      <c r="A121" s="79" t="s">
        <v>120</v>
      </c>
      <c r="B121" s="80">
        <v>0</v>
      </c>
      <c r="C121" s="80">
        <v>0</v>
      </c>
      <c r="D121" s="104">
        <f>0</f>
        <v>0</v>
      </c>
      <c r="E121" s="79" t="s">
        <v>120</v>
      </c>
      <c r="F121" s="80">
        <v>0</v>
      </c>
      <c r="G121" s="80">
        <v>0</v>
      </c>
      <c r="H121" s="104">
        <v>0</v>
      </c>
    </row>
    <row r="122" spans="1:8" ht="15" thickBot="1" x14ac:dyDescent="0.4">
      <c r="A122" s="105" t="s">
        <v>127</v>
      </c>
      <c r="B122" s="106">
        <f>SUM(B118:B121)</f>
        <v>6.835591307926542</v>
      </c>
      <c r="C122" s="86">
        <f>SUM(C118:C121)</f>
        <v>6.843</v>
      </c>
      <c r="D122" s="107">
        <f t="shared" si="4"/>
        <v>1.0826672619403707E-3</v>
      </c>
      <c r="E122" s="105" t="s">
        <v>126</v>
      </c>
      <c r="F122" s="106">
        <f>SUM(F118:F121)</f>
        <v>10.390637346743127</v>
      </c>
      <c r="G122" s="86">
        <f>SUM(G118:G121)</f>
        <v>10.431999999999999</v>
      </c>
      <c r="H122" s="107">
        <f t="shared" si="5"/>
        <v>3.9649782646541468E-3</v>
      </c>
    </row>
    <row r="125" spans="1:8" ht="37" x14ac:dyDescent="0.35">
      <c r="A125" s="63"/>
    </row>
    <row r="127" spans="1:8" x14ac:dyDescent="0.35">
      <c r="E127" s="47"/>
      <c r="G127" s="47"/>
      <c r="H127" s="47"/>
    </row>
    <row r="128" spans="1:8" x14ac:dyDescent="0.35">
      <c r="E128" s="109"/>
      <c r="F128" s="95"/>
      <c r="G128" s="32"/>
    </row>
    <row r="129" spans="5:8" x14ac:dyDescent="0.35">
      <c r="E129" s="109"/>
      <c r="F129" s="95"/>
    </row>
    <row r="130" spans="5:8" x14ac:dyDescent="0.35">
      <c r="E130" s="109"/>
      <c r="G130" s="47"/>
    </row>
    <row r="131" spans="5:8" x14ac:dyDescent="0.35">
      <c r="E131" s="110"/>
      <c r="G131" s="111"/>
    </row>
    <row r="133" spans="5:8" x14ac:dyDescent="0.35">
      <c r="G133" s="47"/>
      <c r="H133" s="47"/>
    </row>
    <row r="134" spans="5:8" x14ac:dyDescent="0.35">
      <c r="E134" s="109"/>
      <c r="F134" s="95"/>
      <c r="G134" s="32"/>
    </row>
    <row r="135" spans="5:8" x14ac:dyDescent="0.35">
      <c r="E135" s="109"/>
    </row>
    <row r="136" spans="5:8" x14ac:dyDescent="0.35">
      <c r="E136" s="109"/>
      <c r="G136" s="47"/>
    </row>
    <row r="137" spans="5:8" x14ac:dyDescent="0.35">
      <c r="E137" s="109"/>
      <c r="F137" s="95"/>
      <c r="G137" s="111"/>
    </row>
    <row r="140" spans="5:8" x14ac:dyDescent="0.35">
      <c r="G140" s="47"/>
      <c r="H140" s="47"/>
    </row>
    <row r="141" spans="5:8" x14ac:dyDescent="0.35">
      <c r="E141" s="109"/>
      <c r="G141" s="32"/>
    </row>
    <row r="142" spans="5:8" x14ac:dyDescent="0.35">
      <c r="E142" s="109"/>
    </row>
    <row r="143" spans="5:8" x14ac:dyDescent="0.35">
      <c r="E143" s="109"/>
      <c r="G143" s="47"/>
    </row>
    <row r="144" spans="5:8" x14ac:dyDescent="0.35">
      <c r="E144" s="110"/>
      <c r="G144" s="111"/>
    </row>
    <row r="147" spans="1:3" ht="37" x14ac:dyDescent="0.35">
      <c r="A147" s="63"/>
    </row>
    <row r="150" spans="1:3" x14ac:dyDescent="0.35">
      <c r="C150" s="32"/>
    </row>
    <row r="152" spans="1:3" x14ac:dyDescent="0.35">
      <c r="A152" s="32"/>
      <c r="B152" s="32"/>
      <c r="C152" s="32"/>
    </row>
    <row r="156" spans="1:3" x14ac:dyDescent="0.35">
      <c r="B156" s="32"/>
    </row>
    <row r="158" spans="1:3" x14ac:dyDescent="0.35">
      <c r="B158" s="32"/>
    </row>
    <row r="161" spans="2:4" x14ac:dyDescent="0.35">
      <c r="B161" s="32"/>
      <c r="D161" s="32"/>
    </row>
    <row r="162" spans="2:4" x14ac:dyDescent="0.35">
      <c r="B162" s="32"/>
      <c r="D162" s="47"/>
    </row>
    <row r="163" spans="2:4" x14ac:dyDescent="0.35">
      <c r="B163" s="32"/>
      <c r="D163" s="32"/>
    </row>
    <row r="164" spans="2:4" x14ac:dyDescent="0.35">
      <c r="B164" s="32"/>
    </row>
    <row r="165" spans="2:4" x14ac:dyDescent="0.35">
      <c r="B165" s="32"/>
      <c r="D165" s="47"/>
    </row>
    <row r="166" spans="2:4" x14ac:dyDescent="0.35">
      <c r="B166" s="32"/>
      <c r="D166" s="111"/>
    </row>
    <row r="167" spans="2:4" x14ac:dyDescent="0.35">
      <c r="B167" s="32"/>
    </row>
    <row r="168" spans="2:4" x14ac:dyDescent="0.35">
      <c r="B168" s="32"/>
    </row>
    <row r="169" spans="2:4" x14ac:dyDescent="0.35">
      <c r="B169" s="32"/>
    </row>
    <row r="170" spans="2:4" x14ac:dyDescent="0.35">
      <c r="B170" s="32"/>
    </row>
    <row r="171" spans="2:4" x14ac:dyDescent="0.35">
      <c r="B171" s="32"/>
    </row>
    <row r="172" spans="2:4" x14ac:dyDescent="0.35">
      <c r="B172" s="32"/>
    </row>
    <row r="173" spans="2:4" x14ac:dyDescent="0.35">
      <c r="B173" s="32"/>
    </row>
    <row r="174" spans="2:4" x14ac:dyDescent="0.35">
      <c r="B174" s="32"/>
    </row>
    <row r="175" spans="2:4" x14ac:dyDescent="0.35">
      <c r="B175" s="32"/>
    </row>
    <row r="176" spans="2:4" x14ac:dyDescent="0.35">
      <c r="B176" s="32"/>
    </row>
    <row r="177" spans="1:2" x14ac:dyDescent="0.35">
      <c r="B177" s="32"/>
    </row>
    <row r="178" spans="1:2" x14ac:dyDescent="0.35">
      <c r="A178" s="112"/>
      <c r="B178" s="32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725-6780-4AE6-B130-0F0C71ECBDDD}">
  <dimension ref="A1:X178"/>
  <sheetViews>
    <sheetView tabSelected="1" zoomScale="90" zoomScaleNormal="100" workbookViewId="0">
      <selection activeCell="C5" sqref="C5"/>
    </sheetView>
  </sheetViews>
  <sheetFormatPr defaultRowHeight="14.5" x14ac:dyDescent="0.35"/>
  <cols>
    <col min="1" max="1" width="19.81640625" customWidth="1"/>
    <col min="2" max="2" width="21.54296875" bestFit="1" customWidth="1"/>
    <col min="3" max="3" width="19.26953125" customWidth="1"/>
    <col min="4" max="4" width="21.453125" bestFit="1" customWidth="1"/>
    <col min="5" max="5" width="20.1796875" bestFit="1" customWidth="1"/>
    <col min="6" max="6" width="22.81640625" bestFit="1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5" x14ac:dyDescent="0.3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  <c r="I1" s="18"/>
      <c r="J1" s="18"/>
      <c r="K1" s="18"/>
      <c r="L1" s="18"/>
      <c r="M1" s="18"/>
      <c r="N1" s="18"/>
      <c r="O1" s="18"/>
    </row>
    <row r="2" spans="1:15" x14ac:dyDescent="0.35">
      <c r="A2" s="18">
        <f>PI()</f>
        <v>3.1415926535897931</v>
      </c>
      <c r="B2" s="32">
        <f>1.66E-27*Tabella333[[#This Row],[Massa '[g/mol']]]</f>
        <v>2.6611957999999999E-26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16.031300000000002</v>
      </c>
      <c r="H2" s="18">
        <v>5</v>
      </c>
      <c r="I2" s="18"/>
      <c r="J2" s="18"/>
      <c r="K2" s="18"/>
      <c r="L2" s="18"/>
      <c r="M2" s="18"/>
      <c r="N2" s="18"/>
      <c r="O2" s="18"/>
    </row>
    <row r="3" spans="1:15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35">
      <c r="A5" s="47" t="s">
        <v>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5" thickBot="1" x14ac:dyDescent="0.4">
      <c r="A6" s="47">
        <v>12</v>
      </c>
      <c r="B6" s="18"/>
      <c r="C6" s="18"/>
      <c r="D6" s="18"/>
      <c r="E6" s="18"/>
      <c r="F6" s="48" t="s">
        <v>103</v>
      </c>
      <c r="G6" s="48" t="s">
        <v>121</v>
      </c>
      <c r="H6" s="48" t="s">
        <v>104</v>
      </c>
      <c r="I6" s="18"/>
      <c r="J6" s="18"/>
      <c r="K6" s="18"/>
      <c r="L6" s="18"/>
      <c r="M6" s="18"/>
      <c r="N6" s="18"/>
      <c r="O6" s="18"/>
    </row>
    <row r="7" spans="1:15" ht="15" thickBot="1" x14ac:dyDescent="0.4">
      <c r="A7" s="32"/>
      <c r="B7" s="18"/>
      <c r="C7" s="18"/>
      <c r="D7" s="18"/>
      <c r="E7" s="18"/>
      <c r="F7" s="49">
        <v>7.5557800000000004</v>
      </c>
      <c r="G7" s="4">
        <v>7.5555399999999997</v>
      </c>
      <c r="H7" s="33">
        <v>7.5555399999999997</v>
      </c>
      <c r="I7" s="18"/>
      <c r="J7" s="18"/>
      <c r="K7" s="18"/>
      <c r="L7" s="18"/>
      <c r="M7" s="18"/>
      <c r="N7" s="18"/>
      <c r="O7" s="18"/>
    </row>
    <row r="8" spans="1:15" x14ac:dyDescent="0.35">
      <c r="A8" s="18" t="s">
        <v>11</v>
      </c>
      <c r="B8" s="18" t="s">
        <v>12</v>
      </c>
      <c r="C8" s="18" t="s">
        <v>13</v>
      </c>
      <c r="D8" s="18"/>
      <c r="E8" s="18"/>
      <c r="F8" s="18"/>
      <c r="G8" s="32"/>
      <c r="H8" s="32"/>
      <c r="I8" s="32"/>
      <c r="J8" s="18"/>
      <c r="K8" s="18"/>
      <c r="L8" s="18"/>
      <c r="M8" s="18"/>
      <c r="N8" s="18"/>
      <c r="O8" s="18"/>
    </row>
    <row r="9" spans="1:15" x14ac:dyDescent="0.35">
      <c r="A9" s="18">
        <v>3</v>
      </c>
      <c r="B9" s="18">
        <v>1</v>
      </c>
      <c r="C9" s="18">
        <v>0</v>
      </c>
      <c r="D9" s="18"/>
      <c r="E9" s="18"/>
      <c r="F9" s="18"/>
      <c r="G9" s="32"/>
      <c r="H9" s="18"/>
      <c r="I9" s="18"/>
      <c r="J9" s="18"/>
      <c r="K9" s="18"/>
      <c r="L9" s="18"/>
      <c r="M9" s="18"/>
      <c r="N9" s="18"/>
      <c r="O9" s="18"/>
    </row>
    <row r="10" spans="1:15" x14ac:dyDescent="0.35">
      <c r="A10" s="18"/>
      <c r="B10" s="18" t="s">
        <v>22</v>
      </c>
      <c r="C10" s="18" t="s">
        <v>23</v>
      </c>
      <c r="D10" s="18" t="s">
        <v>24</v>
      </c>
      <c r="E10" s="18" t="s">
        <v>25</v>
      </c>
      <c r="F10" s="18" t="s">
        <v>26</v>
      </c>
      <c r="G10" s="18" t="s">
        <v>27</v>
      </c>
      <c r="H10" s="18" t="s">
        <v>28</v>
      </c>
      <c r="I10" s="18" t="s">
        <v>29</v>
      </c>
      <c r="J10" s="18" t="s">
        <v>30</v>
      </c>
      <c r="K10" s="18"/>
      <c r="L10" s="18"/>
      <c r="M10" s="18"/>
      <c r="N10" s="18"/>
      <c r="O10" s="18"/>
    </row>
    <row r="11" spans="1:15" ht="15" thickBot="1" x14ac:dyDescent="0.4">
      <c r="A11" s="18"/>
      <c r="B11" s="18">
        <v>1347.6588999999999</v>
      </c>
      <c r="C11" s="6">
        <v>1347.6601000000001</v>
      </c>
      <c r="D11" s="6">
        <v>1347.8755000000001</v>
      </c>
      <c r="E11" s="6">
        <v>1563.8518999999999</v>
      </c>
      <c r="F11" s="6">
        <v>1563.8532</v>
      </c>
      <c r="G11" s="6">
        <v>3036.0944</v>
      </c>
      <c r="H11" s="6">
        <v>3148.7404999999999</v>
      </c>
      <c r="I11" s="6">
        <v>3148.7406999999998</v>
      </c>
      <c r="J11" s="7">
        <v>3148.9899</v>
      </c>
      <c r="K11" s="18"/>
      <c r="L11" s="18"/>
      <c r="M11" s="18"/>
      <c r="N11" s="18"/>
      <c r="O11" s="18"/>
    </row>
    <row r="12" spans="1:15" x14ac:dyDescent="0.35">
      <c r="A12" s="18"/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8" t="s">
        <v>30</v>
      </c>
      <c r="K12" s="18"/>
      <c r="L12" s="18"/>
      <c r="M12" s="18"/>
      <c r="N12" s="18"/>
      <c r="O12" s="18"/>
    </row>
    <row r="13" spans="1:15" x14ac:dyDescent="0.35">
      <c r="A13" s="18"/>
      <c r="B13" s="18" cm="1">
        <f t="array" ref="B13">Tabella93147[Frequenza1]*29979300000</f>
        <v>40401870460770</v>
      </c>
      <c r="C13" s="18" cm="1">
        <f t="array" ref="C13">Tabella93147[Frequenza2]*29979300000</f>
        <v>40401906435930</v>
      </c>
      <c r="D13" s="18" cm="1">
        <f t="array" ref="D13">Tabella93147[Frequenza3]*29979300000</f>
        <v>40408363977150</v>
      </c>
      <c r="E13" s="18" cm="1">
        <f t="array" ref="E13">Tabella93147[Frequenza4]*29979300000</f>
        <v>46883185265670</v>
      </c>
      <c r="F13" s="18" cm="1">
        <f t="array" ref="F13">Tabella93147[Frequenza5]*29979300000</f>
        <v>46883224238760</v>
      </c>
      <c r="G13" s="18" cm="1">
        <f t="array" ref="G13">Tabella93147[Frequenza6]*29979300000</f>
        <v>91019984845920</v>
      </c>
      <c r="H13" s="18" cm="1">
        <f t="array" ref="H13">Tabella93147[Frequenza7]*29979300000</f>
        <v>94397036071650</v>
      </c>
      <c r="I13" s="18" cm="1">
        <f t="array" ref="I13">Tabella93147[Frequenza8]*29979300000</f>
        <v>94397042067510</v>
      </c>
      <c r="J13" s="18" cm="1">
        <f t="array" ref="J13">Tabella93147[Frequenza9]*29979300000</f>
        <v>94404512909070</v>
      </c>
      <c r="K13" s="18"/>
      <c r="L13" s="18"/>
      <c r="M13" s="18"/>
      <c r="N13" s="18"/>
      <c r="O13" s="18"/>
    </row>
    <row r="14" spans="1:15" x14ac:dyDescent="0.35">
      <c r="A14" s="18" t="s">
        <v>6</v>
      </c>
      <c r="B14" s="18" t="s">
        <v>31</v>
      </c>
      <c r="C14" s="18" t="s">
        <v>14</v>
      </c>
      <c r="D14" s="18" t="s">
        <v>15</v>
      </c>
      <c r="E14" s="18" t="s">
        <v>16</v>
      </c>
      <c r="F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  <c r="K14" s="50" t="s">
        <v>32</v>
      </c>
      <c r="L14" s="18"/>
      <c r="M14" s="18"/>
      <c r="N14" s="18"/>
      <c r="O14" s="18"/>
    </row>
    <row r="15" spans="1:15" x14ac:dyDescent="0.35">
      <c r="A15" s="18">
        <v>298.14999999999998</v>
      </c>
      <c r="B15" s="32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3.8766768454985889E-2</v>
      </c>
      <c r="C15" s="32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3.8766655872454855E-2</v>
      </c>
      <c r="D15" s="32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3.8746452635402204E-2</v>
      </c>
      <c r="E15" s="32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2.2987528445639015E-2</v>
      </c>
      <c r="F15" s="32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2.2987456264657365E-2</v>
      </c>
      <c r="G15" s="32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6.5844915791016321E-4</v>
      </c>
      <c r="H15" s="32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5.0174378669506252E-4</v>
      </c>
      <c r="I15" s="32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5.0174354456905166E-4</v>
      </c>
      <c r="J15" s="32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5.0144194631402588E-4</v>
      </c>
      <c r="K15" s="51">
        <f>PRODUCT(Tabella837[[#This Row],[Qvib1]:[Qvib9]])</f>
        <v>2.5576421845920049E-21</v>
      </c>
      <c r="L15" s="18"/>
      <c r="M15" s="18"/>
      <c r="N15" s="18"/>
      <c r="O15" s="18"/>
    </row>
    <row r="16" spans="1:15" x14ac:dyDescent="0.35">
      <c r="A16" s="18">
        <v>400</v>
      </c>
      <c r="B16" s="32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8.9291391269039483E-2</v>
      </c>
      <c r="C16" s="32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8.9291195514615992E-2</v>
      </c>
      <c r="D16" s="32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8.9256064761662729E-2</v>
      </c>
      <c r="E16" s="32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6.0269193435799367E-2</v>
      </c>
      <c r="F16" s="32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6.0269051505633497E-2</v>
      </c>
      <c r="G16" s="32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4.2522004740062971E-3</v>
      </c>
      <c r="H16" s="32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3.4723774561199747E-3</v>
      </c>
      <c r="I16" s="32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3.472376207093987E-3</v>
      </c>
      <c r="J16" s="32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3.4708202697128847E-3</v>
      </c>
      <c r="K16" s="51">
        <f>PRODUCT(Tabella837[[#This Row],[Qvib1]:[Qvib9]])</f>
        <v>4.5998667948851019E-16</v>
      </c>
      <c r="L16" s="18"/>
      <c r="M16" s="18"/>
      <c r="N16" s="18"/>
      <c r="O16" s="18"/>
    </row>
    <row r="17" spans="1:15" x14ac:dyDescent="0.35">
      <c r="A17" s="18">
        <v>500</v>
      </c>
      <c r="B17" s="32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0.14688965544395452</v>
      </c>
      <c r="C17" s="32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0.14688939111646829</v>
      </c>
      <c r="D17" s="32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0.14684195264930128</v>
      </c>
      <c r="E17" s="32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0.10657916562467414</v>
      </c>
      <c r="F17" s="32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0.10657896179932132</v>
      </c>
      <c r="G17" s="32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1.2675189486294688E-2</v>
      </c>
      <c r="H17" s="32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1.0778238680308753E-2</v>
      </c>
      <c r="I17" s="32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1.0778235578087603E-2</v>
      </c>
      <c r="J17" s="32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1.077437090444225E-2</v>
      </c>
      <c r="K17" s="51">
        <f>PRODUCT(Tabella837[[#This Row],[Qvib1]:[Qvib9]])</f>
        <v>5.7097546356402514E-13</v>
      </c>
      <c r="L17" s="18"/>
      <c r="M17" s="18"/>
      <c r="N17" s="18"/>
      <c r="O17" s="18"/>
    </row>
    <row r="18" spans="1:15" x14ac:dyDescent="0.35">
      <c r="A18" s="18">
        <v>600</v>
      </c>
      <c r="B18" s="32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0.20689870932427043</v>
      </c>
      <c r="C18" s="32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0.20689838716375078</v>
      </c>
      <c r="D18" s="32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0.20684056866361675</v>
      </c>
      <c r="E18" s="32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0.1570432401420836</v>
      </c>
      <c r="F18" s="32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0.15704298357268676</v>
      </c>
      <c r="G18" s="32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2.6264543956982841E-2</v>
      </c>
      <c r="H18" s="32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2.2942612900677353E-2</v>
      </c>
      <c r="I18" s="32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2.2942607393330473E-2</v>
      </c>
      <c r="J18" s="32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2.293574626823091E-2</v>
      </c>
      <c r="K18" s="51">
        <f>PRODUCT(Tabella837[[#This Row],[Qvib1]:[Qvib9]])</f>
        <v>6.9239956310949999E-11</v>
      </c>
      <c r="L18" s="18"/>
      <c r="M18" s="18"/>
      <c r="N18" s="18"/>
      <c r="O18" s="18"/>
    </row>
    <row r="19" spans="1:15" x14ac:dyDescent="0.35">
      <c r="A19" s="18">
        <v>700</v>
      </c>
      <c r="B19" s="32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0.26706175685269012</v>
      </c>
      <c r="C19" s="32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0.26706138346594316</v>
      </c>
      <c r="D19" s="32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0.26699437087755384</v>
      </c>
      <c r="E19" s="32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0.20884598411533728</v>
      </c>
      <c r="F19" s="32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0.20884568173359877</v>
      </c>
      <c r="G19" s="32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4.4234890538950612E-2</v>
      </c>
      <c r="H19" s="32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3.9383382880180895E-2</v>
      </c>
      <c r="I19" s="32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3.9383374760253623E-2</v>
      </c>
      <c r="J19" s="32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3.9373258639371217E-2</v>
      </c>
      <c r="K19" s="51">
        <f>PRODUCT(Tabella837[[#This Row],[Qvib1]:[Qvib9]])</f>
        <v>2.2437206866005261E-9</v>
      </c>
      <c r="L19" s="18"/>
      <c r="M19" s="18"/>
      <c r="N19" s="18"/>
      <c r="O19" s="18"/>
    </row>
    <row r="20" spans="1:15" x14ac:dyDescent="0.35">
      <c r="A20" s="18">
        <v>800</v>
      </c>
      <c r="B20" s="32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0.32657304508513013</v>
      </c>
      <c r="C20" s="32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0.32657262417782723</v>
      </c>
      <c r="D20" s="32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0.32649708273152667</v>
      </c>
      <c r="E20" s="32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0.26071096360405049</v>
      </c>
      <c r="F20" s="32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0.26071061988811228</v>
      </c>
      <c r="G20" s="32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6.5486767051200476E-2</v>
      </c>
      <c r="H20" s="32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5.9131852678821761E-2</v>
      </c>
      <c r="I20" s="32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5.9131841970001056E-2</v>
      </c>
      <c r="J20" s="32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5.9118500306719203E-2</v>
      </c>
      <c r="K20" s="51">
        <f>PRODUCT(Tabella837[[#This Row],[Qvib1]:[Qvib9]])</f>
        <v>3.2038877144918474E-8</v>
      </c>
      <c r="L20" s="18"/>
      <c r="M20" s="18"/>
      <c r="N20" s="18"/>
      <c r="O20" s="18"/>
    </row>
    <row r="21" spans="1:15" x14ac:dyDescent="0.35">
      <c r="A21" s="18">
        <v>900</v>
      </c>
      <c r="B21" s="32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0.38521674458898347</v>
      </c>
      <c r="C21" s="32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0.38521627815203219</v>
      </c>
      <c r="D21" s="32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0.38513256527469775</v>
      </c>
      <c r="E21" s="32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0.31211795305918932</v>
      </c>
      <c r="F21" s="32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0.31211757072836382</v>
      </c>
      <c r="G21" s="32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8.9011850715172036E-2</v>
      </c>
      <c r="H21" s="32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8.1242162137765306E-2</v>
      </c>
      <c r="I21" s="32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8.1242148979712131E-2</v>
      </c>
      <c r="J21" s="32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8.1225755743510861E-2</v>
      </c>
      <c r="K21" s="51">
        <f>PRODUCT(Tabella837[[#This Row],[Qvib1]:[Qvib9]])</f>
        <v>2.6568159232273447E-7</v>
      </c>
      <c r="L21" s="18"/>
      <c r="M21" s="18"/>
      <c r="N21" s="18"/>
      <c r="O21" s="18"/>
    </row>
    <row r="22" spans="1:15" x14ac:dyDescent="0.35">
      <c r="A22" s="18">
        <v>1000</v>
      </c>
      <c r="B22" s="32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0.44300155815167797</v>
      </c>
      <c r="C22" s="32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0.44300104721205569</v>
      </c>
      <c r="D22" s="32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0.44290934729260145</v>
      </c>
      <c r="E22" s="32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0.36289364471989449</v>
      </c>
      <c r="F22" s="32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0.36289322537347951</v>
      </c>
      <c r="G22" s="32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0.11402009687744651</v>
      </c>
      <c r="H22" s="32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0.10494323929049741</v>
      </c>
      <c r="I22" s="32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0.10494322386249456</v>
      </c>
      <c r="J22" s="32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0.10492400240722487</v>
      </c>
      <c r="K22" s="51">
        <f>PRODUCT(Tabella837[[#This Row],[Qvib1]:[Qvib9]])</f>
        <v>1.5081627057128131E-6</v>
      </c>
      <c r="L22" s="18"/>
      <c r="M22" s="18"/>
      <c r="N22" s="18"/>
      <c r="O22" s="18"/>
    </row>
    <row r="23" spans="1:15" x14ac:dyDescent="0.35">
      <c r="A23" s="18">
        <v>1100</v>
      </c>
      <c r="B23" s="32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0.50001231950601221</v>
      </c>
      <c r="C23" s="32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0.50001176455659413</v>
      </c>
      <c r="D23" s="32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0.49991216610064371</v>
      </c>
      <c r="E23" s="32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0.41301678464700003</v>
      </c>
      <c r="F23" s="32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0.41301632919987719</v>
      </c>
      <c r="G23" s="32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0.13993946018434347</v>
      </c>
      <c r="H23" s="32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0.12965947652065432</v>
      </c>
      <c r="I23" s="32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0.12965945900049611</v>
      </c>
      <c r="J23" s="32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0.1296376308382782</v>
      </c>
      <c r="K23" s="51">
        <f>PRODUCT(Tabella837[[#This Row],[Qvib1]:[Qvib9]])</f>
        <v>6.5023344887821072E-6</v>
      </c>
      <c r="L23" s="18"/>
      <c r="M23" s="18"/>
      <c r="N23" s="18"/>
      <c r="O23" s="18"/>
    </row>
    <row r="24" spans="1:15" x14ac:dyDescent="0.35">
      <c r="A24" s="18">
        <v>1200</v>
      </c>
      <c r="B24" s="32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0.55635129756513602</v>
      </c>
      <c r="C24" s="32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0.55635069880439192</v>
      </c>
      <c r="D24" s="32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0.55624323746245496</v>
      </c>
      <c r="E24" s="32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0.46252829108460181</v>
      </c>
      <c r="F24" s="32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0.46252780003928157</v>
      </c>
      <c r="G24" s="32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0.16637429933190923</v>
      </c>
      <c r="H24" s="32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0.15498219085434353</v>
      </c>
      <c r="I24" s="32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0.15498217140005388</v>
      </c>
      <c r="J24" s="32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0.15495793341844094</v>
      </c>
      <c r="K24" s="51">
        <f>PRODUCT(Tabella837[[#This Row],[Qvib1]:[Qvib9]])</f>
        <v>2.2808788742003601E-5</v>
      </c>
      <c r="L24" s="18"/>
      <c r="M24" s="18"/>
      <c r="N24" s="18"/>
      <c r="O24" s="18"/>
    </row>
    <row r="25" spans="1:15" x14ac:dyDescent="0.35">
      <c r="A25" s="18">
        <v>1300</v>
      </c>
      <c r="B25" s="32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0.61211617427642329</v>
      </c>
      <c r="C25" s="32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0.61211553174186961</v>
      </c>
      <c r="D25" s="32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0.61200021426650553</v>
      </c>
      <c r="E25" s="32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0.51149051246025445</v>
      </c>
      <c r="F25" s="32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0.51148998607195761</v>
      </c>
      <c r="G25" s="32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0.19305923880944584</v>
      </c>
      <c r="H25" s="32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0.18063044361557148</v>
      </c>
      <c r="I25" s="32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0.18063042235970542</v>
      </c>
      <c r="J25" s="32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0.18060393971792676</v>
      </c>
      <c r="K25" s="51">
        <f>PRODUCT(Tabella837[[#This Row],[Qvib1]:[Qvib9]])</f>
        <v>6.8248514373173179E-5</v>
      </c>
      <c r="L25" s="18"/>
      <c r="M25" s="18"/>
      <c r="N25" s="18"/>
      <c r="O25" s="18"/>
    </row>
    <row r="26" spans="1:15" x14ac:dyDescent="0.35">
      <c r="A26" s="18">
        <v>1400</v>
      </c>
      <c r="B26" s="32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0.66739292707208719</v>
      </c>
      <c r="C26" s="32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0.66739224071505177</v>
      </c>
      <c r="D26" s="32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0.66726905838312012</v>
      </c>
      <c r="E26" s="32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0.55996924052320463</v>
      </c>
      <c r="F26" s="32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0.55996867889939395</v>
      </c>
      <c r="G26" s="32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0.21982064345612068</v>
      </c>
      <c r="H26" s="32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0.20641576229744396</v>
      </c>
      <c r="I26" s="32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0.20641573934749968</v>
      </c>
      <c r="J26" s="32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0.20638714598770422</v>
      </c>
      <c r="K26" s="51">
        <f>PRODUCT(Tabella837[[#This Row],[Qvib1]:[Qvib9]])</f>
        <v>1.8014758099602551E-4</v>
      </c>
      <c r="L26" s="18"/>
      <c r="M26" s="18"/>
      <c r="N26" s="18"/>
      <c r="O26" s="18"/>
    </row>
    <row r="27" spans="1:15" x14ac:dyDescent="0.35">
      <c r="A27" s="18">
        <v>1500</v>
      </c>
      <c r="B27" s="32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0.72225463114160882</v>
      </c>
      <c r="C27" s="32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0.72225390086940366</v>
      </c>
      <c r="D27" s="32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0.7221228370533449</v>
      </c>
      <c r="E27" s="32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0.60802623557966651</v>
      </c>
      <c r="F27" s="32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0.60802563874020721</v>
      </c>
      <c r="G27" s="32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0.24654777027392552</v>
      </c>
      <c r="H27" s="32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0.23221454331641692</v>
      </c>
      <c r="I27" s="32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0.23221451875776764</v>
      </c>
      <c r="J27" s="32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0.23218392105637628</v>
      </c>
      <c r="K27" s="51">
        <f>PRODUCT(Tabella837[[#This Row],[Qvib1]:[Qvib9]])</f>
        <v>4.2988028519908911E-4</v>
      </c>
      <c r="L27" s="18"/>
      <c r="M27" s="18"/>
      <c r="N27" s="18"/>
      <c r="O27" s="18"/>
    </row>
    <row r="28" spans="1:15" x14ac:dyDescent="0.35">
      <c r="A28" s="18">
        <v>1600</v>
      </c>
      <c r="B28" s="32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0.77676245306939007</v>
      </c>
      <c r="C28" s="32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0.7767616787691749</v>
      </c>
      <c r="D28" s="32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0.7766227132216561</v>
      </c>
      <c r="E28" s="32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0.65571657430541697</v>
      </c>
      <c r="F28" s="32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0.65571594221913487</v>
      </c>
      <c r="G28" s="32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0.2731722793579876</v>
      </c>
      <c r="H28" s="32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0.25794783744366884</v>
      </c>
      <c r="I28" s="32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0.25794781134319922</v>
      </c>
      <c r="J28" s="32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0.25791529264085133</v>
      </c>
      <c r="K28" s="51">
        <f>PRODUCT(Tabella837[[#This Row],[Qvib1]:[Qvib9]])</f>
        <v>9.4448587359395521E-4</v>
      </c>
      <c r="L28" s="18"/>
      <c r="M28" s="18"/>
      <c r="N28" s="18"/>
      <c r="O28" s="18"/>
    </row>
    <row r="29" spans="1:15" x14ac:dyDescent="0.35">
      <c r="A29" s="18">
        <v>1700</v>
      </c>
      <c r="B29" s="32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0.83096729936487757</v>
      </c>
      <c r="C29" s="32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0.83096648091711267</v>
      </c>
      <c r="D29" s="32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0.83081959218644796</v>
      </c>
      <c r="E29" s="32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0.70308815968661253</v>
      </c>
      <c r="F29" s="32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0.70308749229362155</v>
      </c>
      <c r="G29" s="32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0.2996540843942832</v>
      </c>
      <c r="H29" s="32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0.28356704794168897</v>
      </c>
      <c r="I29" s="32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0.28356702035130638</v>
      </c>
      <c r="J29" s="32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0.28353264532744499</v>
      </c>
      <c r="K29" s="51">
        <f>PRODUCT(Tabella837[[#This Row],[Qvib1]:[Qvib9]])</f>
        <v>1.9374391814561563E-3</v>
      </c>
      <c r="L29" s="18"/>
      <c r="M29" s="18"/>
      <c r="N29" s="18"/>
      <c r="O29" s="18"/>
    </row>
    <row r="30" spans="1:15" x14ac:dyDescent="0.35">
      <c r="A30" s="18">
        <v>1800</v>
      </c>
      <c r="B30" s="32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0.88491150840806754</v>
      </c>
      <c r="C30" s="32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0.88491064569398059</v>
      </c>
      <c r="D30" s="32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0.88475581246478818</v>
      </c>
      <c r="E30" s="32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0.75018214505652014</v>
      </c>
      <c r="F30" s="32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0.75018144228189665</v>
      </c>
      <c r="G30" s="32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0.3259717307451977</v>
      </c>
      <c r="H30" s="32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0.30904400483996813</v>
      </c>
      <c r="I30" s="32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0.30904397579966747</v>
      </c>
      <c r="J30" s="32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0.30900779429083275</v>
      </c>
      <c r="K30" s="51">
        <f>PRODUCT(Tabella837[[#This Row],[Qvib1]:[Qvib9]])</f>
        <v>3.7509882625330797E-3</v>
      </c>
      <c r="L30" s="18"/>
      <c r="M30" s="18"/>
      <c r="N30" s="18"/>
      <c r="O30" s="18"/>
    </row>
    <row r="31" spans="1:15" x14ac:dyDescent="0.35">
      <c r="A31" s="18">
        <v>1900</v>
      </c>
      <c r="B31" s="32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0.93863036555929547</v>
      </c>
      <c r="C31" s="32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0.938629458464877</v>
      </c>
      <c r="D31" s="32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0.93846666027595693</v>
      </c>
      <c r="E31" s="32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0.79703369026119752</v>
      </c>
      <c r="F31" s="32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0.79703295202333968</v>
      </c>
      <c r="G31" s="32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0.35211590883615357</v>
      </c>
      <c r="H31" s="32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0.33436415106023143</v>
      </c>
      <c r="I31" s="32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0.33436412060063592</v>
      </c>
      <c r="J31" s="32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0.33432617076609028</v>
      </c>
      <c r="K31" s="51">
        <f>PRODUCT(Tabella837[[#This Row],[Qvib1]:[Qvib9]])</f>
        <v>6.9128316936421137E-3</v>
      </c>
      <c r="L31" s="18"/>
      <c r="M31" s="18"/>
      <c r="N31" s="18"/>
      <c r="O31" s="18"/>
    </row>
    <row r="32" spans="1:15" x14ac:dyDescent="0.35">
      <c r="A32" s="18">
        <v>2000</v>
      </c>
      <c r="B32" s="32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0.99215338401491193</v>
      </c>
      <c r="C32" s="32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0.99215243243289875</v>
      </c>
      <c r="D32" s="32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0.99198165003311056</v>
      </c>
      <c r="E32" s="32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0.84367278491109932</v>
      </c>
      <c r="F32" s="32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0.84367201112679624</v>
      </c>
      <c r="G32" s="32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0.37808510375136634</v>
      </c>
      <c r="H32" s="32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0.35952189442142063</v>
      </c>
      <c r="I32" s="32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0.35952186256582813</v>
      </c>
      <c r="J32" s="32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0.35948217343749111</v>
      </c>
      <c r="K32" s="51">
        <f>PRODUCT(Tabella837[[#This Row],[Qvib1]:[Qvib9]])</f>
        <v>1.2210293792595596E-2</v>
      </c>
      <c r="L32" s="18"/>
      <c r="M32" s="18"/>
      <c r="N32" s="18"/>
      <c r="O32" s="18"/>
    </row>
    <row r="33" spans="1:15" x14ac:dyDescent="0.35">
      <c r="A33" s="52" t="s">
        <v>122</v>
      </c>
      <c r="B33" s="53">
        <f>B32-B15</f>
        <v>0.95338661555992599</v>
      </c>
      <c r="C33" s="53">
        <f t="shared" ref="C33:K33" si="0">C32-C15</f>
        <v>0.95338577656044388</v>
      </c>
      <c r="D33" s="53">
        <f t="shared" si="0"/>
        <v>0.95323519739770834</v>
      </c>
      <c r="E33" s="53">
        <f t="shared" si="0"/>
        <v>0.82068525646546031</v>
      </c>
      <c r="F33" s="53">
        <f t="shared" si="0"/>
        <v>0.82068455486213887</v>
      </c>
      <c r="G33" s="53">
        <f t="shared" si="0"/>
        <v>0.37742665459345615</v>
      </c>
      <c r="H33" s="53">
        <f t="shared" si="0"/>
        <v>0.35902015063472559</v>
      </c>
      <c r="I33" s="53">
        <f t="shared" si="0"/>
        <v>0.35902011902125908</v>
      </c>
      <c r="J33" s="53">
        <f t="shared" si="0"/>
        <v>0.3589807314911771</v>
      </c>
      <c r="K33" s="53">
        <f t="shared" si="0"/>
        <v>1.2210293792595596E-2</v>
      </c>
      <c r="L33" s="18"/>
      <c r="M33" s="18"/>
      <c r="N33" s="18"/>
      <c r="O33" s="18"/>
    </row>
    <row r="34" spans="1:15" x14ac:dyDescent="0.35">
      <c r="A34" s="18" t="s">
        <v>83</v>
      </c>
      <c r="B34" s="18" t="s">
        <v>37</v>
      </c>
      <c r="C34" s="18"/>
      <c r="D34" s="18"/>
      <c r="E34" s="18" t="s">
        <v>49</v>
      </c>
      <c r="F34" s="18" t="s">
        <v>50</v>
      </c>
      <c r="G34" s="18" t="s">
        <v>51</v>
      </c>
      <c r="H34" s="18" t="s">
        <v>52</v>
      </c>
      <c r="I34" s="18" t="s">
        <v>53</v>
      </c>
      <c r="J34" s="18" t="s">
        <v>54</v>
      </c>
      <c r="K34" s="18" t="s">
        <v>55</v>
      </c>
      <c r="L34" s="18" t="s">
        <v>56</v>
      </c>
      <c r="M34" s="18" t="s">
        <v>57</v>
      </c>
      <c r="N34" s="18"/>
      <c r="O34" s="18"/>
    </row>
    <row r="35" spans="1:15" x14ac:dyDescent="0.35">
      <c r="A35" s="54"/>
      <c r="B35" s="8">
        <v>1938.98</v>
      </c>
      <c r="C35" s="18"/>
      <c r="D35" s="18"/>
      <c r="E35" s="55">
        <f>B35</f>
        <v>1938.98</v>
      </c>
      <c r="F35" s="55">
        <f>B36</f>
        <v>1938.98</v>
      </c>
      <c r="G35" s="32">
        <f>B37</f>
        <v>1939.29</v>
      </c>
      <c r="H35" s="32">
        <f>B38</f>
        <v>2250.0300000000002</v>
      </c>
      <c r="I35" s="32">
        <f>B39</f>
        <v>2250.0300000000002</v>
      </c>
      <c r="J35" s="32">
        <f>B40</f>
        <v>4368.26</v>
      </c>
      <c r="K35" s="32">
        <f>B41</f>
        <v>4530.33</v>
      </c>
      <c r="L35" s="32">
        <f>B42</f>
        <v>4530.33</v>
      </c>
      <c r="M35" s="32">
        <f>B43</f>
        <v>4530.6899999999996</v>
      </c>
      <c r="N35" s="18"/>
      <c r="O35" s="18"/>
    </row>
    <row r="36" spans="1:15" x14ac:dyDescent="0.35">
      <c r="A36" s="56"/>
      <c r="B36" s="9">
        <v>1938.98</v>
      </c>
      <c r="C36" s="18"/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42</v>
      </c>
      <c r="I36" s="57" t="s">
        <v>43</v>
      </c>
      <c r="J36" s="57" t="s">
        <v>44</v>
      </c>
      <c r="K36" s="57" t="s">
        <v>45</v>
      </c>
      <c r="L36" s="57" t="s">
        <v>46</v>
      </c>
      <c r="M36" s="57" t="s">
        <v>47</v>
      </c>
      <c r="N36" s="57" t="s">
        <v>48</v>
      </c>
      <c r="O36" s="18"/>
    </row>
    <row r="37" spans="1:15" x14ac:dyDescent="0.35">
      <c r="A37" s="56"/>
      <c r="B37" s="9">
        <v>1939.29</v>
      </c>
      <c r="C37" s="18"/>
      <c r="D37" s="58">
        <v>298.14999999999998</v>
      </c>
      <c r="E37" s="32" cm="1">
        <f t="array" ref="E37">(    (Tabella1242[Theta vib 1]/Tabella1141[[#This Row],[Temperatura]]) /(EXP(Tabella1242[Theta vib 1]/Tabella1141[[#This Row],[Temperatura]])-1) - LN(1-EXP(-Tabella1242[Theta vib 1]/Tabella1141[[#This Row],[Temperatura]]))    )</f>
        <v>1.125864695762183E-2</v>
      </c>
      <c r="F37" s="32" cm="1">
        <f t="array" ref="F37">(    (Tabella1242[Theta vib2]/Tabella1141[[#This Row],[Temperatura]]) /(EXP(Tabella1242[Theta vib2]/Tabella1141[[#This Row],[Temperatura]])-1) - LN(1-EXP(-Tabella1242[Theta vib2]/Tabella1141[[#This Row],[Temperatura]]))    )</f>
        <v>1.125864695762183E-2</v>
      </c>
      <c r="G37" s="32" cm="1">
        <f t="array" ref="G37">(    (Tabella1242[Theta vib3]/Tabella1141[[#This Row],[Temperatura]]) /(EXP(Tabella1242[Theta vib3]/Tabella1141[[#This Row],[Temperatura]])-1) - LN(1-EXP(-Tabella1242[Theta vib3]/Tabella1141[[#This Row],[Temperatura]]))    )</f>
        <v>1.1248489194613237E-2</v>
      </c>
      <c r="H37" s="32" cm="1">
        <f t="array" ref="H37" xml:space="preserve">   (Tabella1242[Theta vib4]/Tabella1141[[#This Row],[Temperatura]]) /(EXP(Tabella1242[Theta vib4]/Tabella1141[[#This Row],[Temperatura]])-1) - LN(1-EXP(-Tabella1242[Theta vib4]/Tabella1141[[#This Row],[Temperatura]]))</f>
        <v>4.5138604177834343E-3</v>
      </c>
      <c r="I37" s="32" cm="1">
        <f t="array" ref="I37">(    (Tabella1242[Theta vib5]/Tabella1141[[#This Row],[Temperatura]]) /(EXP(Tabella1242[Theta vib5]/Tabella1141[[#This Row],[Temperatura]])-1) - LN(1-EXP(-Tabella1242[Theta vib5]/Tabella1141[[#This Row],[Temperatura]]))    )</f>
        <v>4.5138604177834343E-3</v>
      </c>
      <c r="J37" s="32" cm="1">
        <f t="array" ref="J37">(    (Tabella1242[Theta vib6]/Tabella1141[[#This Row],[Temperatura]]) /(EXP(Tabella1242[Theta vib6]/Tabella1141[[#This Row],[Temperatura]])-1) - LN(1-EXP(-Tabella1242[Theta vib6]/Tabella1141[[#This Row],[Temperatura]]))    )</f>
        <v>6.7858784177562908E-6</v>
      </c>
      <c r="K37" s="32" cm="1">
        <f t="array" ref="K37">(    (Tabella1242[Theta vib7]/Tabella1141[[#This Row],[Temperatura]]) /(EXP(Tabella1242[Theta vib7]/Tabella1141[[#This Row],[Temperatura]])-1) - LN(1-EXP(-Tabella1242[Theta vib7]/Tabella1141[[#This Row],[Temperatura]]))    )</f>
        <v>4.0771565000506067E-6</v>
      </c>
      <c r="L37" s="32" cm="1">
        <f t="array" ref="L37">(    (Tabella1242[Theta vib8]/Tabella1141[[#This Row],[Temperatura]]) /(EXP(Tabella1242[Theta vib8]/Tabella1141[[#This Row],[Temperatura]])-1) - LN(1-EXP(-Tabella1242[Theta vib8]/Tabella1141[[#This Row],[Temperatura]]))    )</f>
        <v>4.0771565000506067E-6</v>
      </c>
      <c r="M37" s="32" cm="1">
        <f t="array" ref="M37">(    (Tabella1242[Theta vib9]/Tabella1141[[#This Row],[Temperatura]]) /(EXP(Tabella1242[Theta vib9]/Tabella1141[[#This Row],[Temperatura]])-1) - LN(1-EXP(-Tabella1242[Theta vib9]/Tabella1141[[#This Row],[Temperatura]]))    )</f>
        <v>4.0725401401109697E-6</v>
      </c>
      <c r="N37" s="32" cm="1">
        <f t="array" ref="N37">Tabella3[Rydberg R]*SUM(Tabella1141[[#This Row],[S vib 1]:[S vib 9]])</f>
        <v>0.35596306949326617</v>
      </c>
      <c r="O37" s="18"/>
    </row>
    <row r="38" spans="1:15" x14ac:dyDescent="0.35">
      <c r="A38" s="56"/>
      <c r="B38" s="9">
        <v>2250.0300000000002</v>
      </c>
      <c r="C38" s="18"/>
      <c r="D38" s="58">
        <v>400</v>
      </c>
      <c r="E38" s="59" cm="1">
        <f t="array" ref="E38">(    (Tabella1242[Theta vib 1]/Tabella1141[[#This Row],[Temperatura]]) /(EXP(Tabella1242[Theta vib 1]/Tabella1141[[#This Row],[Temperatura]])-1) - LN(1-EXP(-Tabella1242[Theta vib 1]/Tabella1141[[#This Row],[Temperatura]]))    )</f>
        <v>4.6224834253647457E-2</v>
      </c>
      <c r="F38" s="32" cm="1">
        <f t="array" ref="F38">(    (Tabella1242[Theta vib2]/Tabella1141[[#This Row],[Temperatura]]) /(EXP(Tabella1242[Theta vib2]/Tabella1141[[#This Row],[Temperatura]])-1) - LN(1-EXP(-Tabella1242[Theta vib2]/Tabella1141[[#This Row],[Temperatura]]))    )</f>
        <v>4.6224834253647457E-2</v>
      </c>
      <c r="G38" s="32" cm="1">
        <f t="array" ref="G38">(    (Tabella1242[Theta vib3]/Tabella1141[[#This Row],[Temperatura]]) /(EXP(Tabella1242[Theta vib3]/Tabella1141[[#This Row],[Temperatura]])-1) - LN(1-EXP(-Tabella1242[Theta vib3]/Tabella1141[[#This Row],[Temperatura]]))    )</f>
        <v>4.6194890797841039E-2</v>
      </c>
      <c r="H38" s="32" cm="1">
        <f t="array" ref="H38" xml:space="preserve">   (Tabella1242[Theta vib4]/Tabella1141[[#This Row],[Temperatura]]) /(EXP(Tabella1242[Theta vib4]/Tabella1141[[#This Row],[Temperatura]])-1) - LN(1-EXP(-Tabella1242[Theta vib4]/Tabella1141[[#This Row],[Temperatura]]))</f>
        <v>2.39718984812613E-2</v>
      </c>
      <c r="I38" s="32" cm="1">
        <f t="array" ref="I38">(    (Tabella1242[Theta vib5]/Tabella1141[[#This Row],[Temperatura]]) /(EXP(Tabella1242[Theta vib5]/Tabella1141[[#This Row],[Temperatura]])-1) - LN(1-EXP(-Tabella1242[Theta vib5]/Tabella1141[[#This Row],[Temperatura]]))    )</f>
        <v>2.39718984812613E-2</v>
      </c>
      <c r="J38" s="32" cm="1">
        <f t="array" ref="J38">(    (Tabella1242[Theta vib6]/Tabella1141[[#This Row],[Temperatura]]) /(EXP(Tabella1242[Theta vib6]/Tabella1141[[#This Row],[Temperatura]])-1) - LN(1-EXP(-Tabella1242[Theta vib6]/Tabella1141[[#This Row],[Temperatura]]))    )</f>
        <v>2.1554076816369502E-4</v>
      </c>
      <c r="K38" s="32" cm="1">
        <f t="array" ref="K38">(    (Tabella1242[Theta vib7]/Tabella1141[[#This Row],[Temperatura]]) /(EXP(Tabella1242[Theta vib7]/Tabella1141[[#This Row],[Temperatura]])-1) - LN(1-EXP(-Tabella1242[Theta vib7]/Tabella1141[[#This Row],[Temperatura]]))    )</f>
        <v>1.4862015879808479E-4</v>
      </c>
      <c r="L38" s="32" cm="1">
        <f t="array" ref="L38">(    (Tabella1242[Theta vib8]/Tabella1141[[#This Row],[Temperatura]]) /(EXP(Tabella1242[Theta vib8]/Tabella1141[[#This Row],[Temperatura]])-1) - LN(1-EXP(-Tabella1242[Theta vib8]/Tabella1141[[#This Row],[Temperatura]]))    )</f>
        <v>1.4862015879808479E-4</v>
      </c>
      <c r="M38" s="32" cm="1">
        <f t="array" ref="M38">(    (Tabella1242[Theta vib9]/Tabella1141[[#This Row],[Temperatura]]) /(EXP(Tabella1242[Theta vib9]/Tabella1141[[#This Row],[Temperatura]])-1) - LN(1-EXP(-Tabella1242[Theta vib9]/Tabella1141[[#This Row],[Temperatura]]))    )</f>
        <v>1.4849730138709796E-4</v>
      </c>
      <c r="N38" s="32" cm="1">
        <f t="array" ref="N38">Tabella3[Rydberg R]*SUM(Tabella1141[[#This Row],[S vib 1]:[S vib 9]])</f>
        <v>1.5568800875715376</v>
      </c>
      <c r="O38" s="18"/>
    </row>
    <row r="39" spans="1:15" x14ac:dyDescent="0.35">
      <c r="A39" s="56"/>
      <c r="B39" s="9">
        <v>2250.0300000000002</v>
      </c>
      <c r="C39" s="18"/>
      <c r="D39" s="58">
        <v>500</v>
      </c>
      <c r="E39" s="59" cm="1">
        <f t="array" ref="E39">(    (Tabella1242[Theta vib 1]/Tabella1141[[#This Row],[Temperatura]]) /(EXP(Tabella1242[Theta vib 1]/Tabella1141[[#This Row],[Temperatura]])-1) - LN(1-EXP(-Tabella1242[Theta vib 1]/Tabella1141[[#This Row],[Temperatura]]))    )</f>
        <v>0.10285233678592988</v>
      </c>
      <c r="F39" s="32" cm="1">
        <f t="array" ref="F39">(    (Tabella1242[Theta vib2]/Tabella1141[[#This Row],[Temperatura]]) /(EXP(Tabella1242[Theta vib2]/Tabella1141[[#This Row],[Temperatura]])-1) - LN(1-EXP(-Tabella1242[Theta vib2]/Tabella1141[[#This Row],[Temperatura]]))    )</f>
        <v>0.10285233678592988</v>
      </c>
      <c r="G39" s="32" cm="1">
        <f t="array" ref="G39">(    (Tabella1242[Theta vib3]/Tabella1141[[#This Row],[Temperatura]]) /(EXP(Tabella1242[Theta vib3]/Tabella1141[[#This Row],[Temperatura]])-1) - LN(1-EXP(-Tabella1242[Theta vib3]/Tabella1141[[#This Row],[Temperatura]]))    )</f>
        <v>0.10280047170449845</v>
      </c>
      <c r="H39" s="32" cm="1">
        <f t="array" ref="H39" xml:space="preserve">   (Tabella1242[Theta vib4]/Tabella1141[[#This Row],[Temperatura]]) /(EXP(Tabella1242[Theta vib4]/Tabella1141[[#This Row],[Temperatura]])-1) - LN(1-EXP(-Tabella1242[Theta vib4]/Tabella1141[[#This Row],[Temperatura]]))</f>
        <v>6.1720162305599818E-2</v>
      </c>
      <c r="I39" s="32" cm="1">
        <f t="array" ref="I39">(    (Tabella1242[Theta vib5]/Tabella1141[[#This Row],[Temperatura]]) /(EXP(Tabella1242[Theta vib5]/Tabella1141[[#This Row],[Temperatura]])-1) - LN(1-EXP(-Tabella1242[Theta vib5]/Tabella1141[[#This Row],[Temperatura]]))    )</f>
        <v>6.1720162305599818E-2</v>
      </c>
      <c r="J39" s="32" cm="1">
        <f t="array" ref="J39">(    (Tabella1242[Theta vib6]/Tabella1141[[#This Row],[Temperatura]]) /(EXP(Tabella1242[Theta vib6]/Tabella1141[[#This Row],[Temperatura]])-1) - LN(1-EXP(-Tabella1242[Theta vib6]/Tabella1141[[#This Row],[Temperatura]]))    )</f>
        <v>1.5640387524964345E-3</v>
      </c>
      <c r="K39" s="32" cm="1">
        <f t="array" ref="K39">(    (Tabella1242[Theta vib7]/Tabella1141[[#This Row],[Temperatura]]) /(EXP(Tabella1242[Theta vib7]/Tabella1141[[#This Row],[Temperatura]])-1) - LN(1-EXP(-Tabella1242[Theta vib7]/Tabella1141[[#This Row],[Temperatura]]))    )</f>
        <v>1.1686373691831692E-3</v>
      </c>
      <c r="L39" s="32" cm="1">
        <f t="array" ref="L39">(    (Tabella1242[Theta vib8]/Tabella1141[[#This Row],[Temperatura]]) /(EXP(Tabella1242[Theta vib8]/Tabella1141[[#This Row],[Temperatura]])-1) - LN(1-EXP(-Tabella1242[Theta vib8]/Tabella1141[[#This Row],[Temperatura]]))    )</f>
        <v>1.1686373691831692E-3</v>
      </c>
      <c r="M39" s="32" cm="1">
        <f t="array" ref="M39">(    (Tabella1242[Theta vib9]/Tabella1141[[#This Row],[Temperatura]]) /(EXP(Tabella1242[Theta vib9]/Tabella1141[[#This Row],[Temperatura]])-1) - LN(1-EXP(-Tabella1242[Theta vib9]/Tabella1141[[#This Row],[Temperatura]]))    )</f>
        <v>1.1678797351776049E-3</v>
      </c>
      <c r="N39" s="32" cm="1">
        <f t="array" ref="N39">Tabella3[Rydberg R]*SUM(Tabella1141[[#This Row],[S vib 1]:[S vib 9]])</f>
        <v>3.6335420799758764</v>
      </c>
      <c r="O39" s="18"/>
    </row>
    <row r="40" spans="1:15" x14ac:dyDescent="0.35">
      <c r="A40" s="56"/>
      <c r="B40" s="9">
        <v>4368.26</v>
      </c>
      <c r="C40" s="18"/>
      <c r="D40" s="58">
        <v>600</v>
      </c>
      <c r="E40" s="58" cm="1">
        <f t="array" ref="E40">(    (Tabella1242[Theta vib 1]/Tabella1141[[#This Row],[Temperatura]]) /(EXP(Tabella1242[Theta vib 1]/Tabella1141[[#This Row],[Temperatura]])-1) - LN(1-EXP(-Tabella1242[Theta vib 1]/Tabella1141[[#This Row],[Temperatura]]))    )</f>
        <v>0.17316824876437831</v>
      </c>
      <c r="F40" s="32" cm="1">
        <f t="array" ref="F40">(    (Tabella1242[Theta vib2]/Tabella1141[[#This Row],[Temperatura]]) /(EXP(Tabella1242[Theta vib2]/Tabella1141[[#This Row],[Temperatura]])-1) - LN(1-EXP(-Tabella1242[Theta vib2]/Tabella1141[[#This Row],[Temperatura]]))    )</f>
        <v>0.17316824876437831</v>
      </c>
      <c r="G40" s="32" cm="1">
        <f t="array" ref="G40">(    (Tabella1242[Theta vib3]/Tabella1141[[#This Row],[Temperatura]]) /(EXP(Tabella1242[Theta vib3]/Tabella1141[[#This Row],[Temperatura]])-1) - LN(1-EXP(-Tabella1242[Theta vib3]/Tabella1141[[#This Row],[Temperatura]]))    )</f>
        <v>0.17309678857259961</v>
      </c>
      <c r="H40" s="32" cm="1">
        <f t="array" ref="H40" xml:space="preserve">   (Tabella1242[Theta vib4]/Tabella1141[[#This Row],[Temperatura]]) /(EXP(Tabella1242[Theta vib4]/Tabella1141[[#This Row],[Temperatura]])-1) - LN(1-EXP(-Tabella1242[Theta vib4]/Tabella1141[[#This Row],[Temperatura]]))</f>
        <v>0.11410964277927961</v>
      </c>
      <c r="I40" s="32" cm="1">
        <f t="array" ref="I40">(    (Tabella1242[Theta vib5]/Tabella1141[[#This Row],[Temperatura]]) /(EXP(Tabella1242[Theta vib5]/Tabella1141[[#This Row],[Temperatura]])-1) - LN(1-EXP(-Tabella1242[Theta vib5]/Tabella1141[[#This Row],[Temperatura]]))    )</f>
        <v>0.11410964277927961</v>
      </c>
      <c r="J40" s="32" cm="1">
        <f t="array" ref="J40">(    (Tabella1242[Theta vib6]/Tabella1141[[#This Row],[Temperatura]]) /(EXP(Tabella1242[Theta vib6]/Tabella1141[[#This Row],[Temperatura]])-1) - LN(1-EXP(-Tabella1242[Theta vib6]/Tabella1141[[#This Row],[Temperatura]]))    )</f>
        <v>5.707977537233979E-3</v>
      </c>
      <c r="K40" s="32" cm="1">
        <f t="array" ref="K40">(    (Tabella1242[Theta vib7]/Tabella1141[[#This Row],[Temperatura]]) /(EXP(Tabella1242[Theta vib7]/Tabella1141[[#This Row],[Temperatura]])-1) - LN(1-EXP(-Tabella1242[Theta vib7]/Tabella1141[[#This Row],[Temperatura]]))    )</f>
        <v>4.4982844593917963E-3</v>
      </c>
      <c r="L40" s="32" cm="1">
        <f t="array" ref="L40">(    (Tabella1242[Theta vib8]/Tabella1141[[#This Row],[Temperatura]]) /(EXP(Tabella1242[Theta vib8]/Tabella1141[[#This Row],[Temperatura]])-1) - LN(1-EXP(-Tabella1242[Theta vib8]/Tabella1141[[#This Row],[Temperatura]]))    )</f>
        <v>4.4982844593917963E-3</v>
      </c>
      <c r="M40" s="32" cm="1">
        <f t="array" ref="M40">(    (Tabella1242[Theta vib9]/Tabella1141[[#This Row],[Temperatura]]) /(EXP(Tabella1242[Theta vib9]/Tabella1141[[#This Row],[Temperatura]])-1) - LN(1-EXP(-Tabella1242[Theta vib9]/Tabella1141[[#This Row],[Temperatura]]))    )</f>
        <v>4.4959004315955238E-3</v>
      </c>
      <c r="N40" s="32" cm="1">
        <f t="array" ref="N40">Tabella3[Rydberg R]*SUM(Tabella1141[[#This Row],[S vib 1]:[S vib 9]])</f>
        <v>6.3759707562138868</v>
      </c>
      <c r="O40" s="18"/>
    </row>
    <row r="41" spans="1:15" x14ac:dyDescent="0.35">
      <c r="A41" s="56"/>
      <c r="B41" s="9">
        <v>4530.33</v>
      </c>
      <c r="C41" s="18"/>
      <c r="D41" s="58">
        <v>700</v>
      </c>
      <c r="E41" s="58" cm="1">
        <f t="array" ref="E41">(    (Tabella1242[Theta vib 1]/Tabella1141[[#This Row],[Temperatura]]) /(EXP(Tabella1242[Theta vib 1]/Tabella1141[[#This Row],[Temperatura]])-1) - LN(1-EXP(-Tabella1242[Theta vib 1]/Tabella1141[[#This Row],[Temperatura]]))    )</f>
        <v>0.24989432192439043</v>
      </c>
      <c r="F41" s="32" cm="1">
        <f t="array" ref="F41">(    (Tabella1242[Theta vib2]/Tabella1141[[#This Row],[Temperatura]]) /(EXP(Tabella1242[Theta vib2]/Tabella1141[[#This Row],[Temperatura]])-1) - LN(1-EXP(-Tabella1242[Theta vib2]/Tabella1141[[#This Row],[Temperatura]]))    )</f>
        <v>0.24989432192439043</v>
      </c>
      <c r="G41" s="32" cm="1">
        <f t="array" ref="G41">(    (Tabella1242[Theta vib3]/Tabella1141[[#This Row],[Temperatura]]) /(EXP(Tabella1242[Theta vib3]/Tabella1141[[#This Row],[Temperatura]])-1) - LN(1-EXP(-Tabella1242[Theta vib3]/Tabella1141[[#This Row],[Temperatura]]))    )</f>
        <v>0.24980684559547689</v>
      </c>
      <c r="H41" s="32" cm="1">
        <f t="array" ref="H41" xml:space="preserve">   (Tabella1242[Theta vib4]/Tabella1141[[#This Row],[Temperatura]]) /(EXP(Tabella1242[Theta vib4]/Tabella1141[[#This Row],[Temperatura]])-1) - LN(1-EXP(-Tabella1242[Theta vib4]/Tabella1141[[#This Row],[Temperatura]]))</f>
        <v>0.17557822626394753</v>
      </c>
      <c r="I41" s="32" cm="1">
        <f t="array" ref="I41">(    (Tabella1242[Theta vib5]/Tabella1141[[#This Row],[Temperatura]]) /(EXP(Tabella1242[Theta vib5]/Tabella1141[[#This Row],[Temperatura]])-1) - LN(1-EXP(-Tabella1242[Theta vib5]/Tabella1141[[#This Row],[Temperatura]]))    )</f>
        <v>0.17557822626394753</v>
      </c>
      <c r="J41" s="32" cm="1">
        <f t="array" ref="J41">(    (Tabella1242[Theta vib6]/Tabella1141[[#This Row],[Temperatura]]) /(EXP(Tabella1242[Theta vib6]/Tabella1141[[#This Row],[Temperatura]])-1) - LN(1-EXP(-Tabella1242[Theta vib6]/Tabella1141[[#This Row],[Temperatura]]))    )</f>
        <v>1.4138091688890726E-2</v>
      </c>
      <c r="K41" s="32" cm="1">
        <f t="array" ref="K41">(    (Tabella1242[Theta vib7]/Tabella1141[[#This Row],[Temperatura]]) /(EXP(Tabella1242[Theta vib7]/Tabella1141[[#This Row],[Temperatura]])-1) - LN(1-EXP(-Tabella1242[Theta vib7]/Tabella1141[[#This Row],[Temperatura]]))    )</f>
        <v>1.1570381873765799E-2</v>
      </c>
      <c r="L41" s="32" cm="1">
        <f t="array" ref="L41">(    (Tabella1242[Theta vib8]/Tabella1141[[#This Row],[Temperatura]]) /(EXP(Tabella1242[Theta vib8]/Tabella1141[[#This Row],[Temperatura]])-1) - LN(1-EXP(-Tabella1242[Theta vib8]/Tabella1141[[#This Row],[Temperatura]]))    )</f>
        <v>1.1570381873765799E-2</v>
      </c>
      <c r="M41" s="32" cm="1">
        <f t="array" ref="M41">(    (Tabella1242[Theta vib9]/Tabella1141[[#This Row],[Temperatura]]) /(EXP(Tabella1242[Theta vib9]/Tabella1141[[#This Row],[Temperatura]])-1) - LN(1-EXP(-Tabella1242[Theta vib9]/Tabella1141[[#This Row],[Temperatura]]))    )</f>
        <v>1.1565220382889771E-2</v>
      </c>
      <c r="N41" s="32" cm="1">
        <f t="array" ref="N41">Tabella3[Rydberg R]*SUM(Tabella1141[[#This Row],[S vib 1]:[S vib 9]])</f>
        <v>9.5582731157287988</v>
      </c>
      <c r="O41" s="18"/>
    </row>
    <row r="42" spans="1:15" x14ac:dyDescent="0.35">
      <c r="A42" s="56"/>
      <c r="B42" s="9">
        <v>4530.33</v>
      </c>
      <c r="C42" s="18"/>
      <c r="D42" s="58">
        <v>800</v>
      </c>
      <c r="E42" s="58" cm="1">
        <f t="array" ref="E42">(    (Tabella1242[Theta vib 1]/Tabella1141[[#This Row],[Temperatura]]) /(EXP(Tabella1242[Theta vib 1]/Tabella1141[[#This Row],[Temperatura]])-1) - LN(1-EXP(-Tabella1242[Theta vib 1]/Tabella1141[[#This Row],[Temperatura]]))    )</f>
        <v>0.32835503648863573</v>
      </c>
      <c r="F42" s="32" cm="1">
        <f t="array" ref="F42">(    (Tabella1242[Theta vib2]/Tabella1141[[#This Row],[Temperatura]]) /(EXP(Tabella1242[Theta vib2]/Tabella1141[[#This Row],[Temperatura]])-1) - LN(1-EXP(-Tabella1242[Theta vib2]/Tabella1141[[#This Row],[Temperatura]]))    )</f>
        <v>0.32835503648863573</v>
      </c>
      <c r="G42" s="32" cm="1">
        <f t="array" ref="G42">(    (Tabella1242[Theta vib3]/Tabella1141[[#This Row],[Temperatura]]) /(EXP(Tabella1242[Theta vib3]/Tabella1141[[#This Row],[Temperatura]])-1) - LN(1-EXP(-Tabella1242[Theta vib3]/Tabella1141[[#This Row],[Temperatura]]))    )</f>
        <v>0.32825488619024434</v>
      </c>
      <c r="H42" s="32" cm="1">
        <f t="array" ref="H42" xml:space="preserve">   (Tabella1242[Theta vib4]/Tabella1141[[#This Row],[Temperatura]]) /(EXP(Tabella1242[Theta vib4]/Tabella1141[[#This Row],[Temperatura]])-1) - LN(1-EXP(-Tabella1242[Theta vib4]/Tabella1141[[#This Row],[Temperatura]]))</f>
        <v>0.24162168843750606</v>
      </c>
      <c r="I42" s="32" cm="1">
        <f t="array" ref="I42">(    (Tabella1242[Theta vib5]/Tabella1141[[#This Row],[Temperatura]]) /(EXP(Tabella1242[Theta vib5]/Tabella1141[[#This Row],[Temperatura]])-1) - LN(1-EXP(-Tabella1242[Theta vib5]/Tabella1141[[#This Row],[Temperatura]]))    )</f>
        <v>0.24162168843750606</v>
      </c>
      <c r="J42" s="32" cm="1">
        <f t="array" ref="J42">(    (Tabella1242[Theta vib6]/Tabella1141[[#This Row],[Temperatura]]) /(EXP(Tabella1242[Theta vib6]/Tabella1141[[#This Row],[Temperatura]])-1) - LN(1-EXP(-Tabella1242[Theta vib6]/Tabella1141[[#This Row],[Temperatura]]))    )</f>
        <v>2.75786390071305E-2</v>
      </c>
      <c r="K42" s="32" cm="1">
        <f t="array" ref="K42">(    (Tabella1242[Theta vib7]/Tabella1141[[#This Row],[Temperatura]]) /(EXP(Tabella1242[Theta vib7]/Tabella1141[[#This Row],[Temperatura]])-1) - LN(1-EXP(-Tabella1242[Theta vib7]/Tabella1141[[#This Row],[Temperatura]]))    )</f>
        <v>2.3210784034529221E-2</v>
      </c>
      <c r="L42" s="32" cm="1">
        <f t="array" ref="L42">(    (Tabella1242[Theta vib8]/Tabella1141[[#This Row],[Temperatura]]) /(EXP(Tabella1242[Theta vib8]/Tabella1141[[#This Row],[Temperatura]])-1) - LN(1-EXP(-Tabella1242[Theta vib8]/Tabella1141[[#This Row],[Temperatura]]))    )</f>
        <v>2.3210784034529221E-2</v>
      </c>
      <c r="M42" s="32" cm="1">
        <f t="array" ref="M42">(    (Tabella1242[Theta vib9]/Tabella1141[[#This Row],[Temperatura]]) /(EXP(Tabella1242[Theta vib9]/Tabella1141[[#This Row],[Temperatura]])-1) - LN(1-EXP(-Tabella1242[Theta vib9]/Tabella1141[[#This Row],[Temperatura]]))    )</f>
        <v>2.3201875199797131E-2</v>
      </c>
      <c r="N42" s="32" cm="1">
        <f t="array" ref="N42">Tabella3[Rydberg R]*SUM(Tabella1141[[#This Row],[S vib 1]:[S vib 9]])</f>
        <v>13.015546404937027</v>
      </c>
      <c r="O42" s="18"/>
    </row>
    <row r="43" spans="1:15" x14ac:dyDescent="0.35">
      <c r="A43" s="60"/>
      <c r="B43" s="9">
        <v>4530.6899999999996</v>
      </c>
      <c r="C43" s="18"/>
      <c r="D43" s="58">
        <v>900</v>
      </c>
      <c r="E43" s="58" cm="1">
        <f t="array" ref="E43">(    (Tabella1242[Theta vib 1]/Tabella1141[[#This Row],[Temperatura]]) /(EXP(Tabella1242[Theta vib 1]/Tabella1141[[#This Row],[Temperatura]])-1) - LN(1-EXP(-Tabella1242[Theta vib 1]/Tabella1141[[#This Row],[Temperatura]]))    )</f>
        <v>0.40588924875601329</v>
      </c>
      <c r="F43" s="32" cm="1">
        <f t="array" ref="F43">(    (Tabella1242[Theta vib2]/Tabella1141[[#This Row],[Temperatura]]) /(EXP(Tabella1242[Theta vib2]/Tabella1141[[#This Row],[Temperatura]])-1) - LN(1-EXP(-Tabella1242[Theta vib2]/Tabella1141[[#This Row],[Temperatura]]))    )</f>
        <v>0.40588924875601329</v>
      </c>
      <c r="G43" s="32" cm="1">
        <f t="array" ref="G43">(    (Tabella1242[Theta vib3]/Tabella1141[[#This Row],[Temperatura]]) /(EXP(Tabella1242[Theta vib3]/Tabella1141[[#This Row],[Temperatura]])-1) - LN(1-EXP(-Tabella1242[Theta vib3]/Tabella1141[[#This Row],[Temperatura]]))    )</f>
        <v>0.40577914483420763</v>
      </c>
      <c r="H43" s="32" cm="1">
        <f t="array" ref="H43" xml:space="preserve">   (Tabella1242[Theta vib4]/Tabella1141[[#This Row],[Temperatura]]) /(EXP(Tabella1242[Theta vib4]/Tabella1141[[#This Row],[Temperatura]])-1) - LN(1-EXP(-Tabella1242[Theta vib4]/Tabella1141[[#This Row],[Temperatura]]))</f>
        <v>0.30920608989804726</v>
      </c>
      <c r="I43" s="32" cm="1">
        <f t="array" ref="I43">(    (Tabella1242[Theta vib5]/Tabella1141[[#This Row],[Temperatura]]) /(EXP(Tabella1242[Theta vib5]/Tabella1141[[#This Row],[Temperatura]])-1) - LN(1-EXP(-Tabella1242[Theta vib5]/Tabella1141[[#This Row],[Temperatura]]))    )</f>
        <v>0.30920608989804726</v>
      </c>
      <c r="J43" s="32" cm="1">
        <f t="array" ref="J43">(    (Tabella1242[Theta vib6]/Tabella1141[[#This Row],[Temperatura]]) /(EXP(Tabella1242[Theta vib6]/Tabella1141[[#This Row],[Temperatura]])-1) - LN(1-EXP(-Tabella1242[Theta vib6]/Tabella1141[[#This Row],[Temperatura]]))    )</f>
        <v>4.5986880047344525E-2</v>
      </c>
      <c r="K43" s="32" cm="1">
        <f t="array" ref="K43">(    (Tabella1242[Theta vib7]/Tabella1141[[#This Row],[Temperatura]]) /(EXP(Tabella1242[Theta vib7]/Tabella1141[[#This Row],[Temperatura]])-1) - LN(1-EXP(-Tabella1242[Theta vib7]/Tabella1141[[#This Row],[Temperatura]]))    )</f>
        <v>3.954386238955393E-2</v>
      </c>
      <c r="L43" s="32" cm="1">
        <f t="array" ref="L43">(    (Tabella1242[Theta vib8]/Tabella1141[[#This Row],[Temperatura]]) /(EXP(Tabella1242[Theta vib8]/Tabella1141[[#This Row],[Temperatura]])-1) - LN(1-EXP(-Tabella1242[Theta vib8]/Tabella1141[[#This Row],[Temperatura]]))    )</f>
        <v>3.954386238955393E-2</v>
      </c>
      <c r="M43" s="32" cm="1">
        <f t="array" ref="M43">(    (Tabella1242[Theta vib9]/Tabella1141[[#This Row],[Temperatura]]) /(EXP(Tabella1242[Theta vib9]/Tabella1141[[#This Row],[Temperatura]])-1) - LN(1-EXP(-Tabella1242[Theta vib9]/Tabella1141[[#This Row],[Temperatura]]))    )</f>
        <v>3.9530574820910637E-2</v>
      </c>
      <c r="N43" s="32" cm="1">
        <f t="array" ref="N43">Tabella3[Rydberg R]*SUM(Tabella1141[[#This Row],[S vib 1]:[S vib 9]])</f>
        <v>16.633706066885672</v>
      </c>
      <c r="O43" s="18"/>
    </row>
    <row r="44" spans="1:15" x14ac:dyDescent="0.35">
      <c r="A44" s="60"/>
      <c r="B44" s="8"/>
      <c r="C44" s="18"/>
      <c r="D44" s="58">
        <v>1000</v>
      </c>
      <c r="E44" s="58" cm="1">
        <f t="array" ref="E44">(    (Tabella1242[Theta vib 1]/Tabella1141[[#This Row],[Temperatura]]) /(EXP(Tabella1242[Theta vib 1]/Tabella1141[[#This Row],[Temperatura]])-1) - LN(1-EXP(-Tabella1242[Theta vib 1]/Tabella1141[[#This Row],[Temperatura]]))    )</f>
        <v>0.48109867047968935</v>
      </c>
      <c r="F44" s="32" cm="1">
        <f t="array" ref="F44">(    (Tabella1242[Theta vib2]/Tabella1141[[#This Row],[Temperatura]]) /(EXP(Tabella1242[Theta vib2]/Tabella1141[[#This Row],[Temperatura]])-1) - LN(1-EXP(-Tabella1242[Theta vib2]/Tabella1141[[#This Row],[Temperatura]]))    )</f>
        <v>0.48109867047968935</v>
      </c>
      <c r="G44" s="32" cm="1">
        <f t="array" ref="G44">(    (Tabella1242[Theta vib3]/Tabella1141[[#This Row],[Temperatura]]) /(EXP(Tabella1242[Theta vib3]/Tabella1141[[#This Row],[Temperatura]])-1) - LN(1-EXP(-Tabella1242[Theta vib3]/Tabella1141[[#This Row],[Temperatura]]))    )</f>
        <v>0.48098072199093556</v>
      </c>
      <c r="H44" s="32" cm="1">
        <f t="array" ref="H44" xml:space="preserve">   (Tabella1242[Theta vib4]/Tabella1141[[#This Row],[Temperatura]]) /(EXP(Tabella1242[Theta vib4]/Tabella1141[[#This Row],[Temperatura]])-1) - LN(1-EXP(-Tabella1242[Theta vib4]/Tabella1141[[#This Row],[Temperatura]]))</f>
        <v>0.3764571948659588</v>
      </c>
      <c r="I44" s="32" cm="1">
        <f t="array" ref="I44">(    (Tabella1242[Theta vib5]/Tabella1141[[#This Row],[Temperatura]]) /(EXP(Tabella1242[Theta vib5]/Tabella1141[[#This Row],[Temperatura]])-1) - LN(1-EXP(-Tabella1242[Theta vib5]/Tabella1141[[#This Row],[Temperatura]]))    )</f>
        <v>0.3764571948659588</v>
      </c>
      <c r="J44" s="32" cm="1">
        <f t="array" ref="J44">(    (Tabella1242[Theta vib6]/Tabella1141[[#This Row],[Temperatura]]) /(EXP(Tabella1242[Theta vib6]/Tabella1141[[#This Row],[Temperatura]])-1) - LN(1-EXP(-Tabella1242[Theta vib6]/Tabella1141[[#This Row],[Temperatura]]))    )</f>
        <v>6.8825014778500351E-2</v>
      </c>
      <c r="K44" s="32" cm="1">
        <f t="array" ref="K44">(    (Tabella1242[Theta vib7]/Tabella1141[[#This Row],[Temperatura]]) /(EXP(Tabella1242[Theta vib7]/Tabella1141[[#This Row],[Temperatura]])-1) - LN(1-EXP(-Tabella1242[Theta vib7]/Tabella1141[[#This Row],[Temperatura]]))    )</f>
        <v>6.019143205051615E-2</v>
      </c>
      <c r="L44" s="32" cm="1">
        <f t="array" ref="L44">(    (Tabella1242[Theta vib8]/Tabella1141[[#This Row],[Temperatura]]) /(EXP(Tabella1242[Theta vib8]/Tabella1141[[#This Row],[Temperatura]])-1) - LN(1-EXP(-Tabella1242[Theta vib8]/Tabella1141[[#This Row],[Temperatura]]))    )</f>
        <v>6.019143205051615E-2</v>
      </c>
      <c r="M44" s="32" cm="1">
        <f t="array" ref="M44">(    (Tabella1242[Theta vib9]/Tabella1141[[#This Row],[Temperatura]]) /(EXP(Tabella1242[Theta vib9]/Tabella1141[[#This Row],[Temperatura]])-1) - LN(1-EXP(-Tabella1242[Theta vib9]/Tabella1141[[#This Row],[Temperatura]]))    )</f>
        <v>6.0173472970191606E-2</v>
      </c>
      <c r="N44" s="32" cm="1">
        <f t="array" ref="N44">Tabella3[Rydberg R]*SUM(Tabella1141[[#This Row],[S vib 1]:[S vib 9]])</f>
        <v>20.332800531079194</v>
      </c>
      <c r="O44" s="18"/>
    </row>
    <row r="45" spans="1:15" x14ac:dyDescent="0.35">
      <c r="A45" s="60"/>
      <c r="B45" s="9"/>
      <c r="C45" s="18"/>
      <c r="D45" s="58">
        <v>1100</v>
      </c>
      <c r="E45" s="58" cm="1">
        <f t="array" ref="E45">(    (Tabella1242[Theta vib 1]/Tabella1141[[#This Row],[Temperatura]]) /(EXP(Tabella1242[Theta vib 1]/Tabella1141[[#This Row],[Temperatura]])-1) - LN(1-EXP(-Tabella1242[Theta vib 1]/Tabella1141[[#This Row],[Temperatura]]))    )</f>
        <v>0.55332008272361255</v>
      </c>
      <c r="F45" s="32" cm="1">
        <f t="array" ref="F45">(    (Tabella1242[Theta vib2]/Tabella1141[[#This Row],[Temperatura]]) /(EXP(Tabella1242[Theta vib2]/Tabella1141[[#This Row],[Temperatura]])-1) - LN(1-EXP(-Tabella1242[Theta vib2]/Tabella1141[[#This Row],[Temperatura]]))    )</f>
        <v>0.55332008272361255</v>
      </c>
      <c r="G45" s="32" cm="1">
        <f t="array" ref="G45">(    (Tabella1242[Theta vib3]/Tabella1141[[#This Row],[Temperatura]]) /(EXP(Tabella1242[Theta vib3]/Tabella1141[[#This Row],[Temperatura]])-1) - LN(1-EXP(-Tabella1242[Theta vib3]/Tabella1141[[#This Row],[Temperatura]]))    )</f>
        <v>0.55319589998716379</v>
      </c>
      <c r="H45" s="32" cm="1">
        <f t="array" ref="H45" xml:space="preserve">   (Tabella1242[Theta vib4]/Tabella1141[[#This Row],[Temperatura]]) /(EXP(Tabella1242[Theta vib4]/Tabella1141[[#This Row],[Temperatura]])-1) - LN(1-EXP(-Tabella1242[Theta vib4]/Tabella1141[[#This Row],[Temperatura]]))</f>
        <v>0.44228303934459867</v>
      </c>
      <c r="I45" s="32" cm="1">
        <f t="array" ref="I45">(    (Tabella1242[Theta vib5]/Tabella1141[[#This Row],[Temperatura]]) /(EXP(Tabella1242[Theta vib5]/Tabella1141[[#This Row],[Temperatura]])-1) - LN(1-EXP(-Tabella1242[Theta vib5]/Tabella1141[[#This Row],[Temperatura]]))    )</f>
        <v>0.44228303934459867</v>
      </c>
      <c r="J45" s="32" cm="1">
        <f t="array" ref="J45">(    (Tabella1242[Theta vib6]/Tabella1141[[#This Row],[Temperatura]]) /(EXP(Tabella1242[Theta vib6]/Tabella1141[[#This Row],[Temperatura]])-1) - LN(1-EXP(-Tabella1242[Theta vib6]/Tabella1141[[#This Row],[Temperatura]]))    )</f>
        <v>9.5333562211347533E-2</v>
      </c>
      <c r="K45" s="32" cm="1">
        <f t="array" ref="K45">(    (Tabella1242[Theta vib7]/Tabella1141[[#This Row],[Temperatura]]) /(EXP(Tabella1242[Theta vib7]/Tabella1141[[#This Row],[Temperatura]])-1) - LN(1-EXP(-Tabella1242[Theta vib7]/Tabella1141[[#This Row],[Temperatura]]))    )</f>
        <v>8.4515512755251362E-2</v>
      </c>
      <c r="L45" s="32" cm="1">
        <f t="array" ref="L45">(    (Tabella1242[Theta vib8]/Tabella1141[[#This Row],[Temperatura]]) /(EXP(Tabella1242[Theta vib8]/Tabella1141[[#This Row],[Temperatura]])-1) - LN(1-EXP(-Tabella1242[Theta vib8]/Tabella1141[[#This Row],[Temperatura]]))    )</f>
        <v>8.4515512755251362E-2</v>
      </c>
      <c r="M45" s="32" cm="1">
        <f t="array" ref="M45">(    (Tabella1242[Theta vib9]/Tabella1141[[#This Row],[Temperatura]]) /(EXP(Tabella1242[Theta vib9]/Tabella1141[[#This Row],[Temperatura]])-1) - LN(1-EXP(-Tabella1242[Theta vib9]/Tabella1141[[#This Row],[Temperatura]]))    )</f>
        <v>8.4492855654370508E-2</v>
      </c>
      <c r="N45" s="32" cm="1">
        <f t="array" ref="N45">Tabella3[Rydberg R]*SUM(Tabella1141[[#This Row],[S vib 1]:[S vib 9]])</f>
        <v>24.055898684437238</v>
      </c>
      <c r="O45" s="18"/>
    </row>
    <row r="46" spans="1:15" x14ac:dyDescent="0.35">
      <c r="A46" s="60"/>
      <c r="B46" s="9"/>
      <c r="C46" s="18"/>
      <c r="D46" s="58">
        <v>1200</v>
      </c>
      <c r="E46" s="58" cm="1">
        <f t="array" ref="E46">(    (Tabella1242[Theta vib 1]/Tabella1141[[#This Row],[Temperatura]]) /(EXP(Tabella1242[Theta vib 1]/Tabella1141[[#This Row],[Temperatura]])-1) - LN(1-EXP(-Tabella1242[Theta vib 1]/Tabella1141[[#This Row],[Temperatura]]))    )</f>
        <v>0.62230380782252492</v>
      </c>
      <c r="F46" s="32" cm="1">
        <f t="array" ref="F46">(    (Tabella1242[Theta vib2]/Tabella1141[[#This Row],[Temperatura]]) /(EXP(Tabella1242[Theta vib2]/Tabella1141[[#This Row],[Temperatura]])-1) - LN(1-EXP(-Tabella1242[Theta vib2]/Tabella1141[[#This Row],[Temperatura]]))    )</f>
        <v>0.62230380782252492</v>
      </c>
      <c r="G46" s="32" cm="1">
        <f t="array" ref="G46">(    (Tabella1242[Theta vib3]/Tabella1141[[#This Row],[Temperatura]]) /(EXP(Tabella1242[Theta vib3]/Tabella1141[[#This Row],[Temperatura]])-1) - LN(1-EXP(-Tabella1242[Theta vib3]/Tabella1141[[#This Row],[Temperatura]]))    )</f>
        <v>0.62217461943786723</v>
      </c>
      <c r="H46" s="32" cm="1">
        <f t="array" ref="H46" xml:space="preserve">   (Tabella1242[Theta vib4]/Tabella1141[[#This Row],[Temperatura]]) /(EXP(Tabella1242[Theta vib4]/Tabella1141[[#This Row],[Temperatura]])-1) - LN(1-EXP(-Tabella1242[Theta vib4]/Tabella1141[[#This Row],[Temperatura]]))</f>
        <v>0.50608724679666661</v>
      </c>
      <c r="I46" s="32" cm="1">
        <f t="array" ref="I46">(    (Tabella1242[Theta vib5]/Tabella1141[[#This Row],[Temperatura]]) /(EXP(Tabella1242[Theta vib5]/Tabella1141[[#This Row],[Temperatura]])-1) - LN(1-EXP(-Tabella1242[Theta vib5]/Tabella1141[[#This Row],[Temperatura]]))    )</f>
        <v>0.50608724679666661</v>
      </c>
      <c r="J46" s="32" cm="1">
        <f t="array" ref="J46">(    (Tabella1242[Theta vib6]/Tabella1141[[#This Row],[Temperatura]]) /(EXP(Tabella1242[Theta vib6]/Tabella1141[[#This Row],[Temperatura]])-1) - LN(1-EXP(-Tabella1242[Theta vib6]/Tabella1141[[#This Row],[Temperatura]]))    )</f>
        <v>0.12471605559091321</v>
      </c>
      <c r="K46" s="32" cm="1">
        <f t="array" ref="K46">(    (Tabella1242[Theta vib7]/Tabella1141[[#This Row],[Temperatura]]) /(EXP(Tabella1242[Theta vib7]/Tabella1141[[#This Row],[Temperatura]])-1) - LN(1-EXP(-Tabella1242[Theta vib7]/Tabella1141[[#This Row],[Temperatura]]))    )</f>
        <v>0.11179950558077589</v>
      </c>
      <c r="L46" s="32" cm="1">
        <f t="array" ref="L46">(    (Tabella1242[Theta vib8]/Tabella1141[[#This Row],[Temperatura]]) /(EXP(Tabella1242[Theta vib8]/Tabella1141[[#This Row],[Temperatura]])-1) - LN(1-EXP(-Tabella1242[Theta vib8]/Tabella1141[[#This Row],[Temperatura]]))    )</f>
        <v>0.11179950558077589</v>
      </c>
      <c r="M46" s="32" cm="1">
        <f t="array" ref="M46">(    (Tabella1242[Theta vib9]/Tabella1141[[#This Row],[Temperatura]]) /(EXP(Tabella1242[Theta vib9]/Tabella1141[[#This Row],[Temperatura]])-1) - LN(1-EXP(-Tabella1242[Theta vib9]/Tabella1141[[#This Row],[Temperatura]]))    )</f>
        <v>0.11177230443861899</v>
      </c>
      <c r="N46" s="32" cm="1">
        <f t="array" ref="N46">Tabella3[Rydberg R]*SUM(Tabella1141[[#This Row],[S vib 1]:[S vib 9]])</f>
        <v>27.76235734820041</v>
      </c>
      <c r="O46" s="18"/>
    </row>
    <row r="47" spans="1:15" x14ac:dyDescent="0.35">
      <c r="A47" s="60"/>
      <c r="B47" s="9"/>
      <c r="C47" s="18"/>
      <c r="D47" s="58">
        <v>1300</v>
      </c>
      <c r="E47" s="58" cm="1">
        <f t="array" ref="E47">(    (Tabella1242[Theta vib 1]/Tabella1141[[#This Row],[Temperatura]]) /(EXP(Tabella1242[Theta vib 1]/Tabella1141[[#This Row],[Temperatura]])-1) - LN(1-EXP(-Tabella1242[Theta vib 1]/Tabella1141[[#This Row],[Temperatura]]))    )</f>
        <v>0.68802699554894542</v>
      </c>
      <c r="F47" s="32" cm="1">
        <f t="array" ref="F47">(    (Tabella1242[Theta vib2]/Tabella1141[[#This Row],[Temperatura]]) /(EXP(Tabella1242[Theta vib2]/Tabella1141[[#This Row],[Temperatura]])-1) - LN(1-EXP(-Tabella1242[Theta vib2]/Tabella1141[[#This Row],[Temperatura]]))    )</f>
        <v>0.68802699554894542</v>
      </c>
      <c r="G47" s="32" cm="1">
        <f t="array" ref="G47">(    (Tabella1242[Theta vib3]/Tabella1141[[#This Row],[Temperatura]]) /(EXP(Tabella1242[Theta vib3]/Tabella1141[[#This Row],[Temperatura]])-1) - LN(1-EXP(-Tabella1242[Theta vib3]/Tabella1141[[#This Row],[Temperatura]]))    )</f>
        <v>0.68789374445691331</v>
      </c>
      <c r="H47" s="32" cm="1">
        <f t="array" ref="H47" xml:space="preserve">   (Tabella1242[Theta vib4]/Tabella1141[[#This Row],[Temperatura]]) /(EXP(Tabella1242[Theta vib4]/Tabella1141[[#This Row],[Temperatura]])-1) - LN(1-EXP(-Tabella1242[Theta vib4]/Tabella1141[[#This Row],[Temperatura]]))</f>
        <v>0.56757811319990037</v>
      </c>
      <c r="I47" s="32" cm="1">
        <f t="array" ref="I47">(    (Tabella1242[Theta vib5]/Tabella1141[[#This Row],[Temperatura]]) /(EXP(Tabella1242[Theta vib5]/Tabella1141[[#This Row],[Temperatura]])-1) - LN(1-EXP(-Tabella1242[Theta vib5]/Tabella1141[[#This Row],[Temperatura]]))    )</f>
        <v>0.56757811319990037</v>
      </c>
      <c r="J47" s="32" cm="1">
        <f t="array" ref="J47">(    (Tabella1242[Theta vib6]/Tabella1141[[#This Row],[Temperatura]]) /(EXP(Tabella1242[Theta vib6]/Tabella1141[[#This Row],[Temperatura]])-1) - LN(1-EXP(-Tabella1242[Theta vib6]/Tabella1141[[#This Row],[Temperatura]]))    )</f>
        <v>0.15623814326108129</v>
      </c>
      <c r="K47" s="32" cm="1">
        <f t="array" ref="K47">(    (Tabella1242[Theta vib7]/Tabella1141[[#This Row],[Temperatura]]) /(EXP(Tabella1242[Theta vib7]/Tabella1141[[#This Row],[Temperatura]])-1) - LN(1-EXP(-Tabella1242[Theta vib7]/Tabella1141[[#This Row],[Temperatura]]))    )</f>
        <v>0.14135487504831823</v>
      </c>
      <c r="L47" s="32" cm="1">
        <f t="array" ref="L47">(    (Tabella1242[Theta vib8]/Tabella1141[[#This Row],[Temperatura]]) /(EXP(Tabella1242[Theta vib8]/Tabella1141[[#This Row],[Temperatura]])-1) - LN(1-EXP(-Tabella1242[Theta vib8]/Tabella1141[[#This Row],[Temperatura]]))    )</f>
        <v>0.14135487504831823</v>
      </c>
      <c r="M47" s="32" cm="1">
        <f t="array" ref="M47">(    (Tabella1242[Theta vib9]/Tabella1141[[#This Row],[Temperatura]]) /(EXP(Tabella1242[Theta vib9]/Tabella1141[[#This Row],[Temperatura]])-1) - LN(1-EXP(-Tabella1242[Theta vib9]/Tabella1141[[#This Row],[Temperatura]]))    )</f>
        <v>0.14132339138877884</v>
      </c>
      <c r="N47" s="32" cm="1">
        <f t="array" ref="N47">Tabella3[Rydberg R]*SUM(Tabella1141[[#This Row],[S vib 1]:[S vib 9]])</f>
        <v>31.423474208090834</v>
      </c>
      <c r="O47" s="18"/>
    </row>
    <row r="48" spans="1:15" x14ac:dyDescent="0.35">
      <c r="A48" s="60"/>
      <c r="B48" s="9"/>
      <c r="C48" s="18"/>
      <c r="D48" s="58">
        <v>1400</v>
      </c>
      <c r="E48" s="58" cm="1">
        <f t="array" ref="E48">(    (Tabella1242[Theta vib 1]/Tabella1141[[#This Row],[Temperatura]]) /(EXP(Tabella1242[Theta vib 1]/Tabella1141[[#This Row],[Temperatura]])-1) - LN(1-EXP(-Tabella1242[Theta vib 1]/Tabella1141[[#This Row],[Temperatura]]))    )</f>
        <v>0.75058698950310099</v>
      </c>
      <c r="F48" s="32" cm="1">
        <f t="array" ref="F48">(    (Tabella1242[Theta vib2]/Tabella1141[[#This Row],[Temperatura]]) /(EXP(Tabella1242[Theta vib2]/Tabella1141[[#This Row],[Temperatura]])-1) - LN(1-EXP(-Tabella1242[Theta vib2]/Tabella1141[[#This Row],[Temperatura]]))    )</f>
        <v>0.75058698950310099</v>
      </c>
      <c r="G48" s="32" cm="1">
        <f t="array" ref="G48">(    (Tabella1242[Theta vib3]/Tabella1141[[#This Row],[Temperatura]]) /(EXP(Tabella1242[Theta vib3]/Tabella1141[[#This Row],[Temperatura]])-1) - LN(1-EXP(-Tabella1242[Theta vib3]/Tabella1141[[#This Row],[Temperatura]]))    )</f>
        <v>0.75045040591415579</v>
      </c>
      <c r="H48" s="32" cm="1">
        <f t="array" ref="H48" xml:space="preserve">   (Tabella1242[Theta vib4]/Tabella1141[[#This Row],[Temperatura]]) /(EXP(Tabella1242[Theta vib4]/Tabella1141[[#This Row],[Temperatura]])-1) - LN(1-EXP(-Tabella1242[Theta vib4]/Tabella1141[[#This Row],[Temperatura]]))</f>
        <v>0.62664769173152812</v>
      </c>
      <c r="I48" s="32" cm="1">
        <f t="array" ref="I48">(    (Tabella1242[Theta vib5]/Tabella1141[[#This Row],[Temperatura]]) /(EXP(Tabella1242[Theta vib5]/Tabella1141[[#This Row],[Temperatura]])-1) - LN(1-EXP(-Tabella1242[Theta vib5]/Tabella1141[[#This Row],[Temperatura]]))    )</f>
        <v>0.62664769173152812</v>
      </c>
      <c r="J48" s="32" cm="1">
        <f t="array" ref="J48">(    (Tabella1242[Theta vib6]/Tabella1141[[#This Row],[Temperatura]]) /(EXP(Tabella1242[Theta vib6]/Tabella1141[[#This Row],[Temperatura]])-1) - LN(1-EXP(-Tabella1242[Theta vib6]/Tabella1141[[#This Row],[Temperatura]]))    )</f>
        <v>0.18926873608781658</v>
      </c>
      <c r="K48" s="32" cm="1">
        <f t="array" ref="K48">(    (Tabella1242[Theta vib7]/Tabella1141[[#This Row],[Temperatura]]) /(EXP(Tabella1242[Theta vib7]/Tabella1141[[#This Row],[Temperatura]])-1) - LN(1-EXP(-Tabella1242[Theta vib7]/Tabella1141[[#This Row],[Temperatura]]))    )</f>
        <v>0.17257208612558234</v>
      </c>
      <c r="L48" s="32" cm="1">
        <f t="array" ref="L48">(    (Tabella1242[Theta vib8]/Tabella1141[[#This Row],[Temperatura]]) /(EXP(Tabella1242[Theta vib8]/Tabella1141[[#This Row],[Temperatura]])-1) - LN(1-EXP(-Tabella1242[Theta vib8]/Tabella1141[[#This Row],[Temperatura]]))    )</f>
        <v>0.17257208612558234</v>
      </c>
      <c r="M48" s="32" cm="1">
        <f t="array" ref="M48">(    (Tabella1242[Theta vib9]/Tabella1141[[#This Row],[Temperatura]]) /(EXP(Tabella1242[Theta vib9]/Tabella1141[[#This Row],[Temperatura]])-1) - LN(1-EXP(-Tabella1242[Theta vib9]/Tabella1141[[#This Row],[Temperatura]]))    )</f>
        <v>0.17253663557811771</v>
      </c>
      <c r="N48" s="32" cm="1">
        <f t="array" ref="N48">Tabella3[Rydberg R]*SUM(Tabella1141[[#This Row],[S vib 1]:[S vib 9]])</f>
        <v>35.01942994902398</v>
      </c>
      <c r="O48" s="18"/>
    </row>
    <row r="49" spans="1:16" x14ac:dyDescent="0.35">
      <c r="A49" s="60"/>
      <c r="B49" s="9"/>
      <c r="C49" s="18"/>
      <c r="D49" s="58">
        <v>1500</v>
      </c>
      <c r="E49" s="58" cm="1">
        <f t="array" ref="E49">(    (Tabella1242[Theta vib 1]/Tabella1141[[#This Row],[Temperatura]]) /(EXP(Tabella1242[Theta vib 1]/Tabella1141[[#This Row],[Temperatura]])-1) - LN(1-EXP(-Tabella1242[Theta vib 1]/Tabella1141[[#This Row],[Temperatura]]))    )</f>
        <v>0.81014081600129706</v>
      </c>
      <c r="F49" s="32" cm="1">
        <f t="array" ref="F49">(    (Tabella1242[Theta vib2]/Tabella1141[[#This Row],[Temperatura]]) /(EXP(Tabella1242[Theta vib2]/Tabella1141[[#This Row],[Temperatura]])-1) - LN(1-EXP(-Tabella1242[Theta vib2]/Tabella1141[[#This Row],[Temperatura]]))    )</f>
        <v>0.81014081600129706</v>
      </c>
      <c r="G49" s="32" cm="1">
        <f t="array" ref="G49">(    (Tabella1242[Theta vib3]/Tabella1141[[#This Row],[Temperatura]]) /(EXP(Tabella1242[Theta vib3]/Tabella1141[[#This Row],[Temperatura]])-1) - LN(1-EXP(-Tabella1242[Theta vib3]/Tabella1141[[#This Row],[Temperatura]]))    )</f>
        <v>0.81000147117014998</v>
      </c>
      <c r="H49" s="32" cm="1">
        <f t="array" ref="H49" xml:space="preserve">   (Tabella1242[Theta vib4]/Tabella1141[[#This Row],[Temperatura]]) /(EXP(Tabella1242[Theta vib4]/Tabella1141[[#This Row],[Temperatura]])-1) - LN(1-EXP(-Tabella1242[Theta vib4]/Tabella1141[[#This Row],[Temperatura]]))</f>
        <v>0.68329674289521636</v>
      </c>
      <c r="I49" s="32" cm="1">
        <f t="array" ref="I49">(    (Tabella1242[Theta vib5]/Tabella1141[[#This Row],[Temperatura]]) /(EXP(Tabella1242[Theta vib5]/Tabella1141[[#This Row],[Temperatura]])-1) - LN(1-EXP(-Tabella1242[Theta vib5]/Tabella1141[[#This Row],[Temperatura]]))    )</f>
        <v>0.68329674289521636</v>
      </c>
      <c r="J49" s="32" cm="1">
        <f t="array" ref="J49">(    (Tabella1242[Theta vib6]/Tabella1141[[#This Row],[Temperatura]]) /(EXP(Tabella1242[Theta vib6]/Tabella1141[[#This Row],[Temperatura]])-1) - LN(1-EXP(-Tabella1242[Theta vib6]/Tabella1141[[#This Row],[Temperatura]]))    )</f>
        <v>0.22328832241396873</v>
      </c>
      <c r="K49" s="32" cm="1">
        <f t="array" ref="K49">(    (Tabella1242[Theta vib7]/Tabella1141[[#This Row],[Temperatura]]) /(EXP(Tabella1242[Theta vib7]/Tabella1141[[#This Row],[Temperatura]])-1) - LN(1-EXP(-Tabella1242[Theta vib7]/Tabella1141[[#This Row],[Temperatura]]))    )</f>
        <v>0.20493737012968125</v>
      </c>
      <c r="L49" s="32" cm="1">
        <f t="array" ref="L49">(    (Tabella1242[Theta vib8]/Tabella1141[[#This Row],[Temperatura]]) /(EXP(Tabella1242[Theta vib8]/Tabella1141[[#This Row],[Temperatura]])-1) - LN(1-EXP(-Tabella1242[Theta vib8]/Tabella1141[[#This Row],[Temperatura]]))    )</f>
        <v>0.20493737012968125</v>
      </c>
      <c r="M49" s="32" cm="1">
        <f t="array" ref="M49">(    (Tabella1242[Theta vib9]/Tabella1141[[#This Row],[Temperatura]]) /(EXP(Tabella1242[Theta vib9]/Tabella1141[[#This Row],[Temperatura]])-1) - LN(1-EXP(-Tabella1242[Theta vib9]/Tabella1141[[#This Row],[Temperatura]]))    )</f>
        <v>0.20489828672749288</v>
      </c>
      <c r="N49" s="32" cm="1">
        <f t="array" ref="N49">Tabella3[Rydberg R]*SUM(Tabella1141[[#This Row],[S vib 1]:[S vib 9]])</f>
        <v>38.537018225277471</v>
      </c>
      <c r="O49" s="18"/>
    </row>
    <row r="50" spans="1:16" x14ac:dyDescent="0.35">
      <c r="A50" s="60"/>
      <c r="B50" s="9"/>
      <c r="C50" s="18"/>
      <c r="D50" s="58">
        <v>1600</v>
      </c>
      <c r="E50" s="58" cm="1">
        <f t="array" ref="E50">(    (Tabella1242[Theta vib 1]/Tabella1141[[#This Row],[Temperatura]]) /(EXP(Tabella1242[Theta vib 1]/Tabella1141[[#This Row],[Temperatura]])-1) - LN(1-EXP(-Tabella1242[Theta vib 1]/Tabella1141[[#This Row],[Temperatura]]))    )</f>
        <v>0.86687104320515607</v>
      </c>
      <c r="F50" s="32" cm="1">
        <f t="array" ref="F50">(    (Tabella1242[Theta vib2]/Tabella1141[[#This Row],[Temperatura]]) /(EXP(Tabella1242[Theta vib2]/Tabella1141[[#This Row],[Temperatura]])-1) - LN(1-EXP(-Tabella1242[Theta vib2]/Tabella1141[[#This Row],[Temperatura]]))    )</f>
        <v>0.86687104320515607</v>
      </c>
      <c r="G50" s="32" cm="1">
        <f t="array" ref="G50">(    (Tabella1242[Theta vib3]/Tabella1141[[#This Row],[Temperatura]]) /(EXP(Tabella1242[Theta vib3]/Tabella1141[[#This Row],[Temperatura]])-1) - LN(1-EXP(-Tabella1242[Theta vib3]/Tabella1141[[#This Row],[Temperatura]]))    )</f>
        <v>0.86672938873553051</v>
      </c>
      <c r="H50" s="32" cm="1">
        <f t="array" ref="H50" xml:space="preserve">   (Tabella1242[Theta vib4]/Tabella1141[[#This Row],[Temperatura]]) /(EXP(Tabella1242[Theta vib4]/Tabella1141[[#This Row],[Temperatura]])-1) - LN(1-EXP(-Tabella1242[Theta vib4]/Tabella1141[[#This Row],[Temperatura]]))</f>
        <v>0.73758852366705696</v>
      </c>
      <c r="I50" s="32" cm="1">
        <f t="array" ref="I50">(    (Tabella1242[Theta vib5]/Tabella1141[[#This Row],[Temperatura]]) /(EXP(Tabella1242[Theta vib5]/Tabella1141[[#This Row],[Temperatura]])-1) - LN(1-EXP(-Tabella1242[Theta vib5]/Tabella1141[[#This Row],[Temperatura]]))    )</f>
        <v>0.73758852366705696</v>
      </c>
      <c r="J50" s="32" cm="1">
        <f t="array" ref="J50">(    (Tabella1242[Theta vib6]/Tabella1141[[#This Row],[Temperatura]]) /(EXP(Tabella1242[Theta vib6]/Tabella1141[[#This Row],[Temperatura]])-1) - LN(1-EXP(-Tabella1242[Theta vib6]/Tabella1141[[#This Row],[Temperatura]]))    )</f>
        <v>0.2578812498573001</v>
      </c>
      <c r="K50" s="32" cm="1">
        <f t="array" ref="K50">(    (Tabella1242[Theta vib7]/Tabella1141[[#This Row],[Temperatura]]) /(EXP(Tabella1242[Theta vib7]/Tabella1141[[#This Row],[Temperatura]])-1) - LN(1-EXP(-Tabella1242[Theta vib7]/Tabella1141[[#This Row],[Temperatura]]))    )</f>
        <v>0.23803126522737852</v>
      </c>
      <c r="L50" s="32" cm="1">
        <f t="array" ref="L50">(    (Tabella1242[Theta vib8]/Tabella1141[[#This Row],[Temperatura]]) /(EXP(Tabella1242[Theta vib8]/Tabella1141[[#This Row],[Temperatura]])-1) - LN(1-EXP(-Tabella1242[Theta vib8]/Tabella1141[[#This Row],[Temperatura]]))    )</f>
        <v>0.23803126522737852</v>
      </c>
      <c r="M50" s="32" cm="1">
        <f t="array" ref="M50">(    (Tabella1242[Theta vib9]/Tabella1141[[#This Row],[Temperatura]]) /(EXP(Tabella1242[Theta vib9]/Tabella1141[[#This Row],[Temperatura]])-1) - LN(1-EXP(-Tabella1242[Theta vib9]/Tabella1141[[#This Row],[Temperatura]]))    )</f>
        <v>0.23798887925201556</v>
      </c>
      <c r="N50" s="32" cm="1">
        <f t="array" ref="N50">Tabella3[Rydberg R]*SUM(Tabella1141[[#This Row],[S vib 1]:[S vib 9]])</f>
        <v>41.967925049425332</v>
      </c>
      <c r="O50" s="18"/>
    </row>
    <row r="51" spans="1:16" x14ac:dyDescent="0.35">
      <c r="A51" s="60"/>
      <c r="B51" s="9"/>
      <c r="C51" s="18"/>
      <c r="D51" s="58">
        <v>1700</v>
      </c>
      <c r="E51" s="58" cm="1">
        <f t="array" ref="E51">(    (Tabella1242[Theta vib 1]/Tabella1141[[#This Row],[Temperatura]]) /(EXP(Tabella1242[Theta vib 1]/Tabella1141[[#This Row],[Temperatura]])-1) - LN(1-EXP(-Tabella1242[Theta vib 1]/Tabella1141[[#This Row],[Temperatura]]))    )</f>
        <v>0.92096674037863657</v>
      </c>
      <c r="F51" s="32" cm="1">
        <f t="array" ref="F51">(    (Tabella1242[Theta vib2]/Tabella1141[[#This Row],[Temperatura]]) /(EXP(Tabella1242[Theta vib2]/Tabella1141[[#This Row],[Temperatura]])-1) - LN(1-EXP(-Tabella1242[Theta vib2]/Tabella1141[[#This Row],[Temperatura]]))    )</f>
        <v>0.92096674037863657</v>
      </c>
      <c r="G51" s="32" cm="1">
        <f t="array" ref="G51">(    (Tabella1242[Theta vib3]/Tabella1141[[#This Row],[Temperatura]]) /(EXP(Tabella1242[Theta vib3]/Tabella1141[[#This Row],[Temperatura]])-1) - LN(1-EXP(-Tabella1242[Theta vib3]/Tabella1141[[#This Row],[Temperatura]]))    )</f>
        <v>0.92082313697643914</v>
      </c>
      <c r="H51" s="32" cm="1">
        <f t="array" ref="H51" xml:space="preserve">   (Tabella1242[Theta vib4]/Tabella1141[[#This Row],[Temperatura]]) /(EXP(Tabella1242[Theta vib4]/Tabella1141[[#This Row],[Temperatura]])-1) - LN(1-EXP(-Tabella1242[Theta vib4]/Tabella1141[[#This Row],[Temperatura]]))</f>
        <v>0.78962044165114287</v>
      </c>
      <c r="I51" s="32" cm="1">
        <f t="array" ref="I51">(    (Tabella1242[Theta vib5]/Tabella1141[[#This Row],[Temperatura]]) /(EXP(Tabella1242[Theta vib5]/Tabella1141[[#This Row],[Temperatura]])-1) - LN(1-EXP(-Tabella1242[Theta vib5]/Tabella1141[[#This Row],[Temperatura]]))    )</f>
        <v>0.78962044165114287</v>
      </c>
      <c r="J51" s="32" cm="1">
        <f t="array" ref="J51">(    (Tabella1242[Theta vib6]/Tabella1141[[#This Row],[Temperatura]]) /(EXP(Tabella1242[Theta vib6]/Tabella1141[[#This Row],[Temperatura]])-1) - LN(1-EXP(-Tabella1242[Theta vib6]/Tabella1141[[#This Row],[Temperatura]]))    )</f>
        <v>0.29272168032764512</v>
      </c>
      <c r="K51" s="32" cm="1">
        <f t="array" ref="K51">(    (Tabella1242[Theta vib7]/Tabella1141[[#This Row],[Temperatura]]) /(EXP(Tabella1242[Theta vib7]/Tabella1141[[#This Row],[Temperatura]])-1) - LN(1-EXP(-Tabella1242[Theta vib7]/Tabella1141[[#This Row],[Temperatura]]))    )</f>
        <v>0.27151883590566744</v>
      </c>
      <c r="L51" s="32" cm="1">
        <f t="array" ref="L51">(    (Tabella1242[Theta vib8]/Tabella1141[[#This Row],[Temperatura]]) /(EXP(Tabella1242[Theta vib8]/Tabella1141[[#This Row],[Temperatura]])-1) - LN(1-EXP(-Tabella1242[Theta vib8]/Tabella1141[[#This Row],[Temperatura]]))    )</f>
        <v>0.27151883590566744</v>
      </c>
      <c r="M51" s="32" cm="1">
        <f t="array" ref="M51">(    (Tabella1242[Theta vib9]/Tabella1141[[#This Row],[Temperatura]]) /(EXP(Tabella1242[Theta vib9]/Tabella1141[[#This Row],[Temperatura]])-1) - LN(1-EXP(-Tabella1242[Theta vib9]/Tabella1141[[#This Row],[Temperatura]]))    )</f>
        <v>0.27147346117985305</v>
      </c>
      <c r="N51" s="32" cm="1">
        <f t="array" ref="N51">Tabella3[Rydberg R]*SUM(Tabella1141[[#This Row],[S vib 1]:[S vib 9]])</f>
        <v>45.307421745575631</v>
      </c>
      <c r="O51" s="18"/>
    </row>
    <row r="52" spans="1:16" x14ac:dyDescent="0.35">
      <c r="A52" s="60"/>
      <c r="B52" s="9"/>
      <c r="C52" s="18"/>
      <c r="D52" s="58">
        <v>1800</v>
      </c>
      <c r="E52" s="58" cm="1">
        <f t="array" ref="E52">(    (Tabella1242[Theta vib 1]/Tabella1141[[#This Row],[Temperatura]]) /(EXP(Tabella1242[Theta vib 1]/Tabella1141[[#This Row],[Temperatura]])-1) - LN(1-EXP(-Tabella1242[Theta vib 1]/Tabella1141[[#This Row],[Temperatura]]))    )</f>
        <v>0.97261311676873652</v>
      </c>
      <c r="F52" s="32" cm="1">
        <f t="array" ref="F52">(    (Tabella1242[Theta vib2]/Tabella1141[[#This Row],[Temperatura]]) /(EXP(Tabella1242[Theta vib2]/Tabella1141[[#This Row],[Temperatura]])-1) - LN(1-EXP(-Tabella1242[Theta vib2]/Tabella1141[[#This Row],[Temperatura]]))    )</f>
        <v>0.97261311676873652</v>
      </c>
      <c r="G52" s="32" cm="1">
        <f t="array" ref="G52">(    (Tabella1242[Theta vib3]/Tabella1141[[#This Row],[Temperatura]]) /(EXP(Tabella1242[Theta vib3]/Tabella1141[[#This Row],[Temperatura]])-1) - LN(1-EXP(-Tabella1242[Theta vib3]/Tabella1141[[#This Row],[Temperatura]]))    )</f>
        <v>0.97246785539590019</v>
      </c>
      <c r="H52" s="32" cm="1">
        <f t="array" ref="H52" xml:space="preserve">   (Tabella1242[Theta vib4]/Tabella1141[[#This Row],[Temperatura]]) /(EXP(Tabella1242[Theta vib4]/Tabella1141[[#This Row],[Temperatura]])-1) - LN(1-EXP(-Tabella1242[Theta vib4]/Tabella1141[[#This Row],[Temperatura]]))</f>
        <v>0.8395067384179522</v>
      </c>
      <c r="I52" s="32" cm="1">
        <f t="array" ref="I52">(    (Tabella1242[Theta vib5]/Tabella1141[[#This Row],[Temperatura]]) /(EXP(Tabella1242[Theta vib5]/Tabella1141[[#This Row],[Temperatura]])-1) - LN(1-EXP(-Tabella1242[Theta vib5]/Tabella1141[[#This Row],[Temperatura]]))    )</f>
        <v>0.8395067384179522</v>
      </c>
      <c r="J52" s="32" cm="1">
        <f t="array" ref="J52">(    (Tabella1242[Theta vib6]/Tabella1141[[#This Row],[Temperatura]]) /(EXP(Tabella1242[Theta vib6]/Tabella1141[[#This Row],[Temperatura]])-1) - LN(1-EXP(-Tabella1242[Theta vib6]/Tabella1141[[#This Row],[Temperatura]]))    )</f>
        <v>0.32755826443968306</v>
      </c>
      <c r="K52" s="32" cm="1">
        <f t="array" ref="K52">(    (Tabella1242[Theta vib7]/Tabella1141[[#This Row],[Temperatura]]) /(EXP(Tabella1242[Theta vib7]/Tabella1141[[#This Row],[Temperatura]])-1) - LN(1-EXP(-Tabella1242[Theta vib7]/Tabella1141[[#This Row],[Temperatura]]))    )</f>
        <v>0.30513709452611093</v>
      </c>
      <c r="L52" s="32" cm="1">
        <f t="array" ref="L52">(    (Tabella1242[Theta vib8]/Tabella1141[[#This Row],[Temperatura]]) /(EXP(Tabella1242[Theta vib8]/Tabella1141[[#This Row],[Temperatura]])-1) - LN(1-EXP(-Tabella1242[Theta vib8]/Tabella1141[[#This Row],[Temperatura]]))    )</f>
        <v>0.30513709452611093</v>
      </c>
      <c r="M52" s="32" cm="1">
        <f t="array" ref="M52">(    (Tabella1242[Theta vib9]/Tabella1141[[#This Row],[Temperatura]]) /(EXP(Tabella1242[Theta vib9]/Tabella1141[[#This Row],[Temperatura]])-1) - LN(1-EXP(-Tabella1242[Theta vib9]/Tabella1141[[#This Row],[Temperatura]]))    )</f>
        <v>0.30508902192139359</v>
      </c>
      <c r="N52" s="32" cm="1">
        <f t="array" ref="N52">Tabella3[Rydberg R]*SUM(Tabella1141[[#This Row],[S vib 1]:[S vib 9]])</f>
        <v>48.553377365899706</v>
      </c>
      <c r="O52" s="18"/>
    </row>
    <row r="53" spans="1:16" x14ac:dyDescent="0.35">
      <c r="A53" s="18"/>
      <c r="B53" s="18"/>
      <c r="C53" s="18"/>
      <c r="D53" s="58">
        <v>1900</v>
      </c>
      <c r="E53" s="58" cm="1">
        <f t="array" ref="E53">(    (Tabella1242[Theta vib 1]/Tabella1141[[#This Row],[Temperatura]]) /(EXP(Tabella1242[Theta vib 1]/Tabella1141[[#This Row],[Temperatura]])-1) - LN(1-EXP(-Tabella1242[Theta vib 1]/Tabella1141[[#This Row],[Temperatura]]))    )</f>
        <v>1.0219861615775543</v>
      </c>
      <c r="F53" s="32" cm="1">
        <f t="array" ref="F53">(    (Tabella1242[Theta vib2]/Tabella1141[[#This Row],[Temperatura]]) /(EXP(Tabella1242[Theta vib2]/Tabella1141[[#This Row],[Temperatura]])-1) - LN(1-EXP(-Tabella1242[Theta vib2]/Tabella1141[[#This Row],[Temperatura]]))    )</f>
        <v>1.0219861615775543</v>
      </c>
      <c r="G53" s="32" cm="1">
        <f t="array" ref="G53">(    (Tabella1242[Theta vib3]/Tabella1141[[#This Row],[Temperatura]]) /(EXP(Tabella1242[Theta vib3]/Tabella1141[[#This Row],[Temperatura]])-1) - LN(1-EXP(-Tabella1242[Theta vib3]/Tabella1141[[#This Row],[Temperatura]]))    )</f>
        <v>1.0218394791412724</v>
      </c>
      <c r="H53" s="32" cm="1">
        <f t="array" ref="H53" xml:space="preserve">   (Tabella1242[Theta vib4]/Tabella1141[[#This Row],[Temperatura]]) /(EXP(Tabella1242[Theta vib4]/Tabella1141[[#This Row],[Temperatura]])-1) - LN(1-EXP(-Tabella1242[Theta vib4]/Tabella1141[[#This Row],[Temperatura]]))</f>
        <v>0.88736799205970318</v>
      </c>
      <c r="I53" s="32" cm="1">
        <f t="array" ref="I53">(    (Tabella1242[Theta vib5]/Tabella1141[[#This Row],[Temperatura]]) /(EXP(Tabella1242[Theta vib5]/Tabella1141[[#This Row],[Temperatura]])-1) - LN(1-EXP(-Tabella1242[Theta vib5]/Tabella1141[[#This Row],[Temperatura]]))    )</f>
        <v>0.88736799205970318</v>
      </c>
      <c r="J53" s="32" cm="1">
        <f t="array" ref="J53">(    (Tabella1242[Theta vib6]/Tabella1141[[#This Row],[Temperatura]]) /(EXP(Tabella1242[Theta vib6]/Tabella1141[[#This Row],[Temperatura]])-1) - LN(1-EXP(-Tabella1242[Theta vib6]/Tabella1141[[#This Row],[Temperatura]]))    )</f>
        <v>0.36219987277920812</v>
      </c>
      <c r="K53" s="32" cm="1">
        <f t="array" ref="K53">(    (Tabella1242[Theta vib7]/Tabella1141[[#This Row],[Temperatura]]) /(EXP(Tabella1242[Theta vib7]/Tabella1141[[#This Row],[Temperatura]])-1) - LN(1-EXP(-Tabella1242[Theta vib7]/Tabella1141[[#This Row],[Temperatura]]))    )</f>
        <v>0.33868242135823223</v>
      </c>
      <c r="L53" s="32" cm="1">
        <f t="array" ref="L53">(    (Tabella1242[Theta vib8]/Tabella1141[[#This Row],[Temperatura]]) /(EXP(Tabella1242[Theta vib8]/Tabella1141[[#This Row],[Temperatura]])-1) - LN(1-EXP(-Tabella1242[Theta vib8]/Tabella1141[[#This Row],[Temperatura]]))    )</f>
        <v>0.33868242135823223</v>
      </c>
      <c r="M53" s="32" cm="1">
        <f t="array" ref="M53">(    (Tabella1242[Theta vib9]/Tabella1141[[#This Row],[Temperatura]]) /(EXP(Tabella1242[Theta vib9]/Tabella1141[[#This Row],[Temperatura]])-1) - LN(1-EXP(-Tabella1242[Theta vib9]/Tabella1141[[#This Row],[Temperatura]]))    )</f>
        <v>0.33863191620577837</v>
      </c>
      <c r="N53" s="32" cm="1">
        <f t="array" ref="N53">Tabella3[Rydberg R]*SUM(Tabella1141[[#This Row],[S vib 1]:[S vib 9]])</f>
        <v>51.705517995331945</v>
      </c>
      <c r="O53" s="18"/>
    </row>
    <row r="54" spans="1:16" x14ac:dyDescent="0.35">
      <c r="A54" s="18"/>
      <c r="B54" s="18"/>
      <c r="C54" s="18"/>
      <c r="D54" s="58">
        <v>2000</v>
      </c>
      <c r="E54" s="58" cm="1">
        <f t="array" ref="E54">(    (Tabella1242[Theta vib 1]/Tabella1141[[#This Row],[Temperatura]]) /(EXP(Tabella1242[Theta vib 1]/Tabella1141[[#This Row],[Temperatura]])-1) - LN(1-EXP(-Tabella1242[Theta vib 1]/Tabella1141[[#This Row],[Temperatura]]))    )</f>
        <v>1.0692501603931559</v>
      </c>
      <c r="F54" s="32" cm="1">
        <f t="array" ref="F54">(    (Tabella1242[Theta vib2]/Tabella1141[[#This Row],[Temperatura]]) /(EXP(Tabella1242[Theta vib2]/Tabella1141[[#This Row],[Temperatura]])-1) - LN(1-EXP(-Tabella1242[Theta vib2]/Tabella1141[[#This Row],[Temperatura]]))    )</f>
        <v>1.0692501603931559</v>
      </c>
      <c r="G54" s="32" cm="1">
        <f t="array" ref="G54">(    (Tabella1242[Theta vib3]/Tabella1141[[#This Row],[Temperatura]]) /(EXP(Tabella1242[Theta vib3]/Tabella1141[[#This Row],[Temperatura]])-1) - LN(1-EXP(-Tabella1242[Theta vib3]/Tabella1141[[#This Row],[Temperatura]]))    )</f>
        <v>1.0691022514897923</v>
      </c>
      <c r="H54" s="32" cm="1">
        <f t="array" ref="H54" xml:space="preserve">   (Tabella1242[Theta vib4]/Tabella1141[[#This Row],[Temperatura]]) /(EXP(Tabella1242[Theta vib4]/Tabella1141[[#This Row],[Temperatura]])-1) - LN(1-EXP(-Tabella1242[Theta vib4]/Tabella1141[[#This Row],[Temperatura]]))</f>
        <v>0.93332484869466847</v>
      </c>
      <c r="I54" s="32" cm="1">
        <f t="array" ref="I54">(    (Tabella1242[Theta vib5]/Tabella1141[[#This Row],[Temperatura]]) /(EXP(Tabella1242[Theta vib5]/Tabella1141[[#This Row],[Temperatura]])-1) - LN(1-EXP(-Tabella1242[Theta vib5]/Tabella1141[[#This Row],[Temperatura]]))    )</f>
        <v>0.93332484869466847</v>
      </c>
      <c r="J54" s="32" cm="1">
        <f t="array" ref="J54">(    (Tabella1242[Theta vib6]/Tabella1141[[#This Row],[Temperatura]]) /(EXP(Tabella1242[Theta vib6]/Tabella1141[[#This Row],[Temperatura]])-1) - LN(1-EXP(-Tabella1242[Theta vib6]/Tabella1141[[#This Row],[Temperatura]]))    )</f>
        <v>0.39650327067094904</v>
      </c>
      <c r="K54" s="32" cm="1">
        <f t="array" ref="K54">(    (Tabella1242[Theta vib7]/Tabella1141[[#This Row],[Temperatura]]) /(EXP(Tabella1242[Theta vib7]/Tabella1141[[#This Row],[Temperatura]])-1) - LN(1-EXP(-Tabella1242[Theta vib7]/Tabella1141[[#This Row],[Temperatura]]))    )</f>
        <v>0.37199922706266408</v>
      </c>
      <c r="L54" s="32" cm="1">
        <f t="array" ref="L54">(    (Tabella1242[Theta vib8]/Tabella1141[[#This Row],[Temperatura]]) /(EXP(Tabella1242[Theta vib8]/Tabella1141[[#This Row],[Temperatura]])-1) - LN(1-EXP(-Tabella1242[Theta vib8]/Tabella1141[[#This Row],[Temperatura]]))    )</f>
        <v>0.37199922706266408</v>
      </c>
      <c r="M54" s="32" cm="1">
        <f t="array" ref="M54">(    (Tabella1242[Theta vib9]/Tabella1141[[#This Row],[Temperatura]]) /(EXP(Tabella1242[Theta vib9]/Tabella1141[[#This Row],[Temperatura]])-1) - LN(1-EXP(-Tabella1242[Theta vib9]/Tabella1141[[#This Row],[Temperatura]]))    )</f>
        <v>0.37194652890542501</v>
      </c>
      <c r="N54" s="32" cm="1">
        <f t="array" ref="N54">Tabella3[Rydberg R]*SUM(Tabella1141[[#This Row],[S vib 1]:[S vib 9]])</f>
        <v>54.764875277497147</v>
      </c>
      <c r="O54" s="18"/>
    </row>
    <row r="55" spans="1:16" x14ac:dyDescent="0.35">
      <c r="A55" s="18"/>
      <c r="B55" s="18"/>
      <c r="C55" s="18"/>
      <c r="D55" s="52" t="s">
        <v>122</v>
      </c>
      <c r="E55" s="53">
        <f>E54-E37</f>
        <v>1.057991513435534</v>
      </c>
      <c r="F55" s="53">
        <f t="shared" ref="F55" si="1">F54-F37</f>
        <v>1.057991513435534</v>
      </c>
      <c r="G55" s="53">
        <f t="shared" ref="G55" si="2">G54-G37</f>
        <v>1.0578537622951791</v>
      </c>
      <c r="H55" s="53">
        <f t="shared" ref="H55" si="3">H54-H37</f>
        <v>0.92881098827688502</v>
      </c>
      <c r="I55" s="53">
        <f t="shared" ref="I55" si="4">I54-I37</f>
        <v>0.92881098827688502</v>
      </c>
      <c r="J55" s="53">
        <f t="shared" ref="J55" si="5">J54-J37</f>
        <v>0.3964964847925313</v>
      </c>
      <c r="K55" s="53">
        <f t="shared" ref="K55" si="6">K54-K37</f>
        <v>0.37199514990616406</v>
      </c>
      <c r="L55" s="53">
        <f t="shared" ref="L55" si="7">L54-L37</f>
        <v>0.37199514990616406</v>
      </c>
      <c r="M55" s="53">
        <f t="shared" ref="M55" si="8">M54-M37</f>
        <v>0.37194245636528489</v>
      </c>
      <c r="N55" s="53">
        <f t="shared" ref="N55" si="9">N54-N37</f>
        <v>54.408912208003883</v>
      </c>
      <c r="O55" s="18"/>
    </row>
    <row r="56" spans="1:16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6" x14ac:dyDescent="0.3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G57" s="18"/>
      <c r="H57" s="44" t="s">
        <v>6</v>
      </c>
      <c r="I57" s="44" t="s">
        <v>36</v>
      </c>
      <c r="J57" s="44" t="s">
        <v>33</v>
      </c>
      <c r="K57" s="44" t="s">
        <v>38</v>
      </c>
      <c r="L57" s="18"/>
      <c r="M57" s="44" t="s">
        <v>6</v>
      </c>
      <c r="N57" s="44" t="s">
        <v>59</v>
      </c>
    </row>
    <row r="58" spans="1:16" x14ac:dyDescent="0.35">
      <c r="A58" s="18">
        <v>298.14999999999998</v>
      </c>
      <c r="B58" s="32" cm="1">
        <f t="array" ref="B58">(Tabella333[Boltzmann k]*Tabella535[[#This Row],[Temperatura]])/101325</f>
        <v>4.0625758633111278E-26</v>
      </c>
      <c r="C58" s="32" cm="1">
        <f t="array" ref="C58">POWER((2*Tabella333[Pi Greco]*Tabella333[Massa '[kg']]*Tabella333[Boltzmann k]*Tabella535[[#This Row],[Temperatura]])/(POWER(Tabella333[Planck h],2)),1.5)*Tabella535[[#This Row],[Volume]]</f>
        <v>2521714.1772048417</v>
      </c>
      <c r="D58" s="32">
        <f t="shared" ref="D58:D75" si="10">K15</f>
        <v>2.5576421845920049E-21</v>
      </c>
      <c r="E58" s="32" cm="1">
        <f t="array" ref="E58">((SQRT(PI())/Tabella636[Simmetria]))*(SQRT(POWER(Tabella535[[#This Row],[Temperatura]],3)/PRODUCT($F$7,$G$7,$H$7)))</f>
        <v>146.45383245358968</v>
      </c>
      <c r="F58" s="18" cm="1">
        <f t="array" ref="F58">Tabella636[Gel]*EXP(0)</f>
        <v>1</v>
      </c>
      <c r="G58" s="18"/>
      <c r="H58" s="45">
        <v>298.14999999999998</v>
      </c>
      <c r="I58" s="18" cm="1">
        <f t="array" ref="I58">POWER((2*PI()*Tabella333[Massa '[kg']]*Tabella333[Boltzmann k]*Tabella139[[#This Row],[Temperatura]])/(POWER(Tabella333[Planck h],2)),1.5)</f>
        <v>6.2071805230230575E+31</v>
      </c>
      <c r="J58" s="32" cm="1">
        <f t="array" ref="J58">(Tabella139[[#This Row],[Temperatura]]*Tabella333[Boltzmann k])/101325</f>
        <v>4.0625758633111278E-26</v>
      </c>
      <c r="K58" s="32" cm="1">
        <f t="array" ref="K58">Tabella333[Rydberg R]*(2.5+LN(Tabella139[[#This Row],[Volume]]*Tabella139[[#This Row],[Translational Factor]]))</f>
        <v>143.34507253012478</v>
      </c>
      <c r="L58" s="18"/>
      <c r="M58" s="45">
        <v>298.14999999999998</v>
      </c>
      <c r="N58" s="18" cm="1">
        <f t="array" ref="N58">Tabella333[Rydberg R]*(1.5+LN(SQRT(PI()*POWER(Tabella1343[[#This Row],[Temperatura]],3)/(Tabella636[Simmetria]*Tabella636[Simmetria]*PRODUCT($F$7:$H$7)))))</f>
        <v>53.93350982053682</v>
      </c>
      <c r="P58" s="1"/>
    </row>
    <row r="59" spans="1:16" x14ac:dyDescent="0.35">
      <c r="A59" s="18">
        <v>400</v>
      </c>
      <c r="B59" s="32" cm="1">
        <f t="array" ref="B59">(Tabella333[Boltzmann k]*Tabella535[[#This Row],[Temperatura]])/101325</f>
        <v>5.4503784850727862E-26</v>
      </c>
      <c r="C59" s="32" cm="1">
        <f t="array" ref="C59">POWER((2*Tabella333[Pi Greco]*Tabella333[Massa '[kg']]*Tabella333[Boltzmann k]*Tabella535[[#This Row],[Temperatura]])/(POWER(Tabella333[Planck h],2)),1.5)*Tabella535[[#This Row],[Volume]]</f>
        <v>5257252.1124814758</v>
      </c>
      <c r="D59" s="32">
        <f t="shared" si="10"/>
        <v>4.5998667948851019E-16</v>
      </c>
      <c r="E59" s="32" cm="1">
        <f t="array" ref="E59">((SQRT(PI())/Tabella636[Simmetria]))*(SQRT(POWER(Tabella535[[#This Row],[Temperatura]],3)/PRODUCT($F$7,$G$7,$H$7)))</f>
        <v>227.58231321110347</v>
      </c>
      <c r="F59" s="18" cm="1">
        <f t="array" ref="F59">Tabella636[Gel]*EXP(0)</f>
        <v>1</v>
      </c>
      <c r="G59" s="18"/>
      <c r="H59" s="45">
        <v>400</v>
      </c>
      <c r="I59" s="18" cm="1">
        <f t="array" ref="I59">POWER((2*PI()*Tabella333[Massa '[kg']]*Tabella333[Boltzmann k]*Tabella139[[#This Row],[Temperatura]])/(POWER(Tabella333[Planck h],2)),1.5)</f>
        <v>9.645664290800658E+31</v>
      </c>
      <c r="J59" s="32" cm="1">
        <f t="array" ref="J59">(Tabella139[[#This Row],[Temperatura]]*Tabella333[Boltzmann k])/101325</f>
        <v>5.4503784850727862E-26</v>
      </c>
      <c r="K59" s="32" cm="1">
        <f t="array" ref="K59">Tabella333[Rydberg R]*(2.5+LN(Tabella139[[#This Row],[Volume]]*Tabella139[[#This Row],[Translational Factor]]))</f>
        <v>149.45345528003131</v>
      </c>
      <c r="L59" s="18"/>
      <c r="M59" s="45">
        <v>400</v>
      </c>
      <c r="N59" s="18" cm="1">
        <f t="array" ref="N59">Tabella333[Rydberg R]*(1.5+LN(SQRT(PI()*POWER(Tabella1343[[#This Row],[Temperatura]],3)/(Tabella636[Simmetria]*Tabella636[Simmetria]*PRODUCT($F$7:$H$7)))))</f>
        <v>57.598539470480773</v>
      </c>
    </row>
    <row r="60" spans="1:16" x14ac:dyDescent="0.35">
      <c r="A60" s="18">
        <v>500</v>
      </c>
      <c r="B60" s="32" cm="1">
        <f t="array" ref="B60">(Tabella333[Boltzmann k]*Tabella535[[#This Row],[Temperatura]])/101325</f>
        <v>6.8129731063409828E-26</v>
      </c>
      <c r="C60" s="32" cm="1">
        <f t="array" ref="C60">POWER((2*Tabella333[Pi Greco]*Tabella333[Massa '[kg']]*Tabella333[Boltzmann k]*Tabella535[[#This Row],[Temperatura]])/(POWER(Tabella333[Planck h],2)),1.5)*Tabella535[[#This Row],[Volume]]</f>
        <v>9184041.4830959775</v>
      </c>
      <c r="D60" s="32">
        <f t="shared" si="10"/>
        <v>5.7097546356402514E-13</v>
      </c>
      <c r="E60" s="32" cm="1">
        <f t="array" ref="E60">((SQRT(PI())/Tabella636[Simmetria]))*(SQRT(POWER(Tabella535[[#This Row],[Temperatura]],3)/PRODUCT($F$7,$G$7,$H$7)))</f>
        <v>318.05595176042237</v>
      </c>
      <c r="F60" s="18" cm="1">
        <f t="array" ref="F60">Tabella636[Gel]*EXP(0)</f>
        <v>1</v>
      </c>
      <c r="G60" s="18"/>
      <c r="H60" s="45">
        <v>500</v>
      </c>
      <c r="I60" s="18" cm="1">
        <f t="array" ref="I60">POWER((2*PI()*Tabella333[Massa '[kg']]*Tabella333[Boltzmann k]*Tabella139[[#This Row],[Temperatura]])/(POWER(Tabella333[Planck h],2)),1.5)</f>
        <v>1.3480225651482741E+32</v>
      </c>
      <c r="J60" s="32" cm="1">
        <f t="array" ref="J60">(Tabella139[[#This Row],[Temperatura]]*Tabella333[Boltzmann k])/101325</f>
        <v>6.8129731063409828E-26</v>
      </c>
      <c r="K60" s="32" cm="1">
        <f t="array" ref="K60">Tabella333[Rydberg R]*(2.5+LN(Tabella139[[#This Row],[Volume]]*Tabella139[[#This Row],[Translational Factor]]))</f>
        <v>154.09175206965566</v>
      </c>
      <c r="L60" s="18"/>
      <c r="M60" s="45">
        <v>500</v>
      </c>
      <c r="N60" s="18" cm="1">
        <f t="array" ref="N60">Tabella333[Rydberg R]*(1.5+LN(SQRT(PI()*POWER(Tabella1343[[#This Row],[Temperatura]],3)/(Tabella636[Simmetria]*Tabella636[Simmetria]*PRODUCT($F$7:$H$7)))))</f>
        <v>60.381517544255409</v>
      </c>
    </row>
    <row r="61" spans="1:16" x14ac:dyDescent="0.35">
      <c r="A61" s="18">
        <v>600</v>
      </c>
      <c r="B61" s="32" cm="1">
        <f t="array" ref="B61">(Tabella333[Boltzmann k]*Tabella535[[#This Row],[Temperatura]])/101325</f>
        <v>8.1755677276091782E-26</v>
      </c>
      <c r="C61" s="32" cm="1">
        <f t="array" ref="C61">POWER((2*Tabella333[Pi Greco]*Tabella333[Massa '[kg']]*Tabella333[Boltzmann k]*Tabella535[[#This Row],[Temperatura]])/(POWER(Tabella333[Planck h],2)),1.5)*Tabella535[[#This Row],[Volume]]</f>
        <v>14487283.265342049</v>
      </c>
      <c r="D61" s="32">
        <f t="shared" si="10"/>
        <v>6.9239956310949999E-11</v>
      </c>
      <c r="E61" s="32" cm="1">
        <f t="array" ref="E61">((SQRT(PI())/Tabella636[Simmetria]))*(SQRT(POWER(Tabella535[[#This Row],[Temperatura]],3)/PRODUCT($F$7,$G$7,$H$7)))</f>
        <v>418.09540638709984</v>
      </c>
      <c r="F61" s="18" cm="1">
        <f t="array" ref="F61">Tabella636[Gel]*EXP(0)</f>
        <v>1</v>
      </c>
      <c r="G61" s="18"/>
      <c r="H61" s="45">
        <v>600</v>
      </c>
      <c r="I61" s="18" cm="1">
        <f t="array" ref="I61">POWER((2*PI()*Tabella333[Massa '[kg']]*Tabella333[Boltzmann k]*Tabella139[[#This Row],[Temperatura]])/(POWER(Tabella333[Planck h],2)),1.5)</f>
        <v>1.7720216806984531E+32</v>
      </c>
      <c r="J61" s="32" cm="1">
        <f t="array" ref="J61">(Tabella139[[#This Row],[Temperatura]]*Tabella333[Boltzmann k])/101325</f>
        <v>8.1755677276091782E-26</v>
      </c>
      <c r="K61" s="32" cm="1">
        <f t="array" ref="K61">Tabella333[Rydberg R]*(2.5+LN(Tabella139[[#This Row],[Volume]]*Tabella139[[#This Row],[Translational Factor]]))</f>
        <v>157.88151649070292</v>
      </c>
      <c r="L61" s="18"/>
      <c r="M61" s="45">
        <v>600</v>
      </c>
      <c r="N61" s="18" cm="1">
        <f t="array" ref="N61">Tabella333[Rydberg R]*(1.5+LN(SQRT(PI()*POWER(Tabella1343[[#This Row],[Temperatura]],3)/(Tabella636[Simmetria]*Tabella636[Simmetria]*PRODUCT($F$7:$H$7)))))</f>
        <v>62.655376196883765</v>
      </c>
    </row>
    <row r="62" spans="1:16" x14ac:dyDescent="0.35">
      <c r="A62" s="18">
        <v>700</v>
      </c>
      <c r="B62" s="32" cm="1">
        <f t="array" ref="B62">(Tabella333[Boltzmann k]*Tabella535[[#This Row],[Temperatura]])/101325</f>
        <v>9.5381623488773759E-26</v>
      </c>
      <c r="C62" s="32" cm="1">
        <f t="array" ref="C62">POWER((2*Tabella333[Pi Greco]*Tabella333[Massa '[kg']]*Tabella333[Boltzmann k]*Tabella535[[#This Row],[Temperatura]])/(POWER(Tabella333[Planck h],2)),1.5)*Tabella535[[#This Row],[Volume]]</f>
        <v>21298740.680954941</v>
      </c>
      <c r="D62" s="32">
        <f t="shared" si="10"/>
        <v>2.2437206866005261E-9</v>
      </c>
      <c r="E62" s="32" cm="1">
        <f t="array" ref="E62">((SQRT(PI())/Tabella636[Simmetria]))*(SQRT(POWER(Tabella535[[#This Row],[Temperatura]],3)/PRODUCT($F$7,$G$7,$H$7)))</f>
        <v>526.8604281092156</v>
      </c>
      <c r="F62" s="18" cm="1">
        <f t="array" ref="F62">Tabella636[Gel]*EXP(0)</f>
        <v>1</v>
      </c>
      <c r="G62" s="18"/>
      <c r="H62" s="45">
        <v>700</v>
      </c>
      <c r="I62" s="18" cm="1">
        <f t="array" ref="I62">POWER((2*PI()*Tabella333[Massa '[kg']]*Tabella333[Boltzmann k]*Tabella139[[#This Row],[Temperatura]])/(POWER(Tabella333[Planck h],2)),1.5)</f>
        <v>2.233002532554058E+32</v>
      </c>
      <c r="J62" s="32" cm="1">
        <f t="array" ref="J62">(Tabella139[[#This Row],[Temperatura]]*Tabella333[Boltzmann k])/101325</f>
        <v>9.5381623488773759E-26</v>
      </c>
      <c r="K62" s="32" cm="1">
        <f t="array" ref="K62">Tabella333[Rydberg R]*(2.5+LN(Tabella139[[#This Row],[Volume]]*Tabella139[[#This Row],[Translational Factor]]))</f>
        <v>161.08571665311058</v>
      </c>
      <c r="L62" s="18"/>
      <c r="M62" s="45">
        <v>700</v>
      </c>
      <c r="N62" s="18" cm="1">
        <f t="array" ref="N62">Tabella333[Rydberg R]*(1.5+LN(SQRT(PI()*POWER(Tabella1343[[#This Row],[Temperatura]],3)/(Tabella636[Simmetria]*Tabella636[Simmetria]*PRODUCT($F$7:$H$7)))))</f>
        <v>64.577896294328298</v>
      </c>
    </row>
    <row r="63" spans="1:16" x14ac:dyDescent="0.35">
      <c r="A63" s="18">
        <v>800</v>
      </c>
      <c r="B63" s="32" cm="1">
        <f t="array" ref="B63">(Tabella333[Boltzmann k]*Tabella535[[#This Row],[Temperatura]])/101325</f>
        <v>1.0900756970145572E-25</v>
      </c>
      <c r="C63" s="32" cm="1">
        <f t="array" ref="C63">POWER((2*Tabella333[Pi Greco]*Tabella333[Massa '[kg']]*Tabella333[Boltzmann k]*Tabella535[[#This Row],[Temperatura]])/(POWER(Tabella333[Planck h],2)),1.5)*Tabella535[[#This Row],[Volume]]</f>
        <v>29739508.953143712</v>
      </c>
      <c r="D63" s="32">
        <f t="shared" si="10"/>
        <v>3.2038877144918474E-8</v>
      </c>
      <c r="E63" s="32" cm="1">
        <f t="array" ref="E63">((SQRT(PI())/Tabella636[Simmetria]))*(SQRT(POWER(Tabella535[[#This Row],[Temperatura]],3)/PRODUCT($F$7,$G$7,$H$7)))</f>
        <v>643.69998779876835</v>
      </c>
      <c r="F63" s="18" cm="1">
        <f t="array" ref="F63">Tabella636[Gel]*EXP(0)</f>
        <v>1</v>
      </c>
      <c r="G63" s="18"/>
      <c r="H63" s="45">
        <v>800</v>
      </c>
      <c r="I63" s="18" cm="1">
        <f t="array" ref="I63">POWER((2*PI()*Tabella333[Massa '[kg']]*Tabella333[Boltzmann k]*Tabella139[[#This Row],[Temperatura]])/(POWER(Tabella333[Planck h],2)),1.5)</f>
        <v>2.7282058516296379E+32</v>
      </c>
      <c r="J63" s="32" cm="1">
        <f t="array" ref="J63">(Tabella139[[#This Row],[Temperatura]]*Tabella333[Boltzmann k])/101325</f>
        <v>1.0900756970145572E-25</v>
      </c>
      <c r="K63" s="32" cm="1">
        <f t="array" ref="K63">Tabella333[Rydberg R]*(2.5+LN(Tabella139[[#This Row],[Volume]]*Tabella139[[#This Row],[Translational Factor]]))</f>
        <v>163.86132108387574</v>
      </c>
      <c r="L63" s="18"/>
      <c r="M63" s="45">
        <v>800</v>
      </c>
      <c r="N63" s="18" cm="1">
        <f t="array" ref="N63">Tabella333[Rydberg R]*(1.5+LN(SQRT(PI()*POWER(Tabella1343[[#This Row],[Temperatura]],3)/(Tabella636[Simmetria]*Tabella636[Simmetria]*PRODUCT($F$7:$H$7)))))</f>
        <v>66.243258952787414</v>
      </c>
    </row>
    <row r="64" spans="1:16" x14ac:dyDescent="0.35">
      <c r="A64" s="18">
        <v>900</v>
      </c>
      <c r="B64" s="32" cm="1">
        <f t="array" ref="B64">(Tabella333[Boltzmann k]*Tabella535[[#This Row],[Temperatura]])/101325</f>
        <v>1.2263351591413768E-25</v>
      </c>
      <c r="C64" s="32" cm="1">
        <f t="array" ref="C64">POWER((2*Tabella333[Pi Greco]*Tabella333[Massa '[kg']]*Tabella333[Boltzmann k]*Tabella535[[#This Row],[Temperatura]])/(POWER(Tabella333[Planck h],2)),1.5)*Tabella535[[#This Row],[Volume]]</f>
        <v>39922258.229156271</v>
      </c>
      <c r="D64" s="32">
        <f t="shared" si="10"/>
        <v>2.6568159232273447E-7</v>
      </c>
      <c r="E64" s="32" cm="1">
        <f t="array" ref="E64">((SQRT(PI())/Tabella636[Simmetria]))*(SQRT(POWER(Tabella535[[#This Row],[Temperatura]],3)/PRODUCT($F$7,$G$7,$H$7)))</f>
        <v>768.09030708747423</v>
      </c>
      <c r="F64" s="18" cm="1">
        <f t="array" ref="F64">Tabella636[Gel]*EXP(0)</f>
        <v>1</v>
      </c>
      <c r="G64" s="18"/>
      <c r="H64" s="45">
        <v>900</v>
      </c>
      <c r="I64" s="18" cm="1">
        <f t="array" ref="I64">POWER((2*PI()*Tabella333[Massa '[kg']]*Tabella333[Boltzmann k]*Tabella139[[#This Row],[Temperatura]])/(POWER(Tabella333[Planck h],2)),1.5)</f>
        <v>3.2554116981452272E+32</v>
      </c>
      <c r="J64" s="32" cm="1">
        <f t="array" ref="J64">(Tabella139[[#This Row],[Temperatura]]*Tabella333[Boltzmann k])/101325</f>
        <v>1.2263351591413768E-25</v>
      </c>
      <c r="K64" s="32" cm="1">
        <f t="array" ref="K64">Tabella333[Rydberg R]*(2.5+LN(Tabella139[[#This Row],[Volume]]*Tabella139[[#This Row],[Translational Factor]]))</f>
        <v>166.30957770137462</v>
      </c>
      <c r="L64" s="18"/>
      <c r="M64" s="45">
        <v>900</v>
      </c>
      <c r="N64" s="18" cm="1">
        <f t="array" ref="N64">Tabella333[Rydberg R]*(1.5+LN(SQRT(PI()*POWER(Tabella1343[[#This Row],[Temperatura]],3)/(Tabella636[Simmetria]*Tabella636[Simmetria]*PRODUCT($F$7:$H$7)))))</f>
        <v>67.712212923286756</v>
      </c>
    </row>
    <row r="65" spans="1:24" x14ac:dyDescent="0.35">
      <c r="A65" s="18">
        <v>1000</v>
      </c>
      <c r="B65" s="32" cm="1">
        <f t="array" ref="B65">(Tabella333[Boltzmann k]*Tabella535[[#This Row],[Temperatura]])/101325</f>
        <v>1.3625946212681966E-25</v>
      </c>
      <c r="C65" s="32" cm="1">
        <f t="array" ref="C65">POWER((2*Tabella333[Pi Greco]*Tabella333[Massa '[kg']]*Tabella333[Boltzmann k]*Tabella535[[#This Row],[Temperatura]])/(POWER(Tabella333[Planck h],2)),1.5)*Tabella535[[#This Row],[Volume]]</f>
        <v>51952784.09116593</v>
      </c>
      <c r="D65" s="32">
        <f t="shared" si="10"/>
        <v>1.5081627057128131E-6</v>
      </c>
      <c r="E65" s="32" cm="1">
        <f t="array" ref="E65">((SQRT(PI())/Tabella636[Simmetria]))*(SQRT(POWER(Tabella535[[#This Row],[Temperatura]],3)/PRODUCT($F$7,$G$7,$H$7)))</f>
        <v>899.5980811461443</v>
      </c>
      <c r="F65" s="18" cm="1">
        <f t="array" ref="F65">Tabella636[Gel]*EXP(0)</f>
        <v>1</v>
      </c>
      <c r="G65" s="18"/>
      <c r="H65" s="45">
        <v>1000</v>
      </c>
      <c r="I65" s="18" cm="1">
        <f t="array" ref="I65">POWER((2*PI()*Tabella333[Massa '[kg']]*Tabella333[Boltzmann k]*Tabella139[[#This Row],[Temperatura]])/(POWER(Tabella333[Planck h],2)),1.5)</f>
        <v>3.8127835880353278E+32</v>
      </c>
      <c r="J65" s="32" cm="1">
        <f t="array" ref="J65">(Tabella139[[#This Row],[Temperatura]]*Tabella333[Boltzmann k])/101325</f>
        <v>1.3625946212681966E-25</v>
      </c>
      <c r="K65" s="32" cm="1">
        <f t="array" ref="K65">Tabella333[Rydberg R]*(2.5+LN(Tabella139[[#This Row],[Volume]]*Tabella139[[#This Row],[Translational Factor]]))</f>
        <v>168.49961787350009</v>
      </c>
      <c r="L65" s="18"/>
      <c r="M65" s="45">
        <v>1000</v>
      </c>
      <c r="N65" s="18" cm="1">
        <f t="array" ref="N65">Tabella333[Rydberg R]*(1.5+LN(SQRT(PI()*POWER(Tabella1343[[#This Row],[Temperatura]],3)/(Tabella636[Simmetria]*Tabella636[Simmetria]*PRODUCT($F$7:$H$7)))))</f>
        <v>69.026237026562058</v>
      </c>
    </row>
    <row r="66" spans="1:24" x14ac:dyDescent="0.35">
      <c r="A66" s="18">
        <v>1100</v>
      </c>
      <c r="B66" s="32" cm="1">
        <f t="array" ref="B66">(Tabella333[Boltzmann k]*Tabella535[[#This Row],[Temperatura]])/101325</f>
        <v>1.4988540833950161E-25</v>
      </c>
      <c r="C66" s="32" cm="1">
        <f t="array" ref="C66">POWER((2*Tabella333[Pi Greco]*Tabella333[Massa '[kg']]*Tabella333[Boltzmann k]*Tabella535[[#This Row],[Temperatura]])/(POWER(Tabella333[Planck h],2)),1.5)*Tabella535[[#This Row],[Volume]]</f>
        <v>65931132.96668528</v>
      </c>
      <c r="D66" s="32">
        <f t="shared" si="10"/>
        <v>6.5023344887821072E-6</v>
      </c>
      <c r="E66" s="32" cm="1">
        <f t="array" ref="E66">((SQRT(PI())/Tabella636[Simmetria]))*(SQRT(POWER(Tabella535[[#This Row],[Temperatura]],3)/PRODUCT($F$7,$G$7,$H$7)))</f>
        <v>1037.857070033263</v>
      </c>
      <c r="F66" s="18" cm="1">
        <f t="array" ref="F66">Tabella636[Gel]*EXP(0)</f>
        <v>1</v>
      </c>
      <c r="G66" s="18"/>
      <c r="H66" s="45">
        <v>1100</v>
      </c>
      <c r="I66" s="18" cm="1">
        <f t="array" ref="I66">POWER((2*PI()*Tabella333[Massa '[kg']]*Tabella333[Boltzmann k]*Tabella139[[#This Row],[Temperatura]])/(POWER(Tabella333[Planck h],2)),1.5)</f>
        <v>4.3987692796183573E+32</v>
      </c>
      <c r="J66" s="32" cm="1">
        <f t="array" ref="J66">(Tabella139[[#This Row],[Temperatura]]*Tabella333[Boltzmann k])/101325</f>
        <v>1.4988540833950161E-25</v>
      </c>
      <c r="K66" s="32" cm="1">
        <f t="array" ref="K66">Tabella333[Rydberg R]*(2.5+LN(Tabella139[[#This Row],[Volume]]*Tabella139[[#This Row],[Translational Factor]]))</f>
        <v>170.48075019124491</v>
      </c>
      <c r="L66" s="18"/>
      <c r="M66" s="45">
        <v>1100</v>
      </c>
      <c r="N66" s="18" cm="1">
        <f t="array" ref="N66">Tabella333[Rydberg R]*(1.5+LN(SQRT(PI()*POWER(Tabella1343[[#This Row],[Temperatura]],3)/(Tabella636[Simmetria]*Tabella636[Simmetria]*PRODUCT($F$7:$H$7)))))</f>
        <v>70.214916417208926</v>
      </c>
    </row>
    <row r="67" spans="1:24" x14ac:dyDescent="0.35">
      <c r="A67" s="18">
        <v>1200</v>
      </c>
      <c r="B67" s="32" cm="1">
        <f t="array" ref="B67">(Tabella333[Boltzmann k]*Tabella535[[#This Row],[Temperatura]])/101325</f>
        <v>1.6351135455218356E-25</v>
      </c>
      <c r="C67" s="32" cm="1">
        <f t="array" ref="C67">POWER((2*Tabella333[Pi Greco]*Tabella333[Massa '[kg']]*Tabella333[Boltzmann k]*Tabella535[[#This Row],[Temperatura]])/(POWER(Tabella333[Planck h],2)),1.5)*Tabella535[[#This Row],[Volume]]</f>
        <v>81952449.903150246</v>
      </c>
      <c r="D67" s="32">
        <f t="shared" si="10"/>
        <v>2.2808788742003601E-5</v>
      </c>
      <c r="E67" s="32" cm="1">
        <f t="array" ref="E67">((SQRT(PI())/Tabella636[Simmetria]))*(SQRT(POWER(Tabella535[[#This Row],[Temperatura]],3)/PRODUCT($F$7,$G$7,$H$7)))</f>
        <v>1182.5523881570548</v>
      </c>
      <c r="F67" s="18" cm="1">
        <f t="array" ref="F67">Tabella636[Gel]*EXP(0)</f>
        <v>1</v>
      </c>
      <c r="G67" s="18"/>
      <c r="H67" s="45">
        <v>1200</v>
      </c>
      <c r="I67" s="18" cm="1">
        <f t="array" ref="I67">POWER((2*PI()*Tabella333[Massa '[kg']]*Tabella333[Boltzmann k]*Tabella139[[#This Row],[Temperatura]])/(POWER(Tabella333[Planck h],2)),1.5)</f>
        <v>5.0120341873258507E+32</v>
      </c>
      <c r="J67" s="32" cm="1">
        <f t="array" ref="J67">(Tabella139[[#This Row],[Temperatura]]*Tabella333[Boltzmann k])/101325</f>
        <v>1.6351135455218356E-25</v>
      </c>
      <c r="K67" s="32" cm="1">
        <f t="array" ref="K67">Tabella333[Rydberg R]*(2.5+LN(Tabella139[[#This Row],[Volume]]*Tabella139[[#This Row],[Translational Factor]]))</f>
        <v>172.28938229454735</v>
      </c>
      <c r="L67" s="18"/>
      <c r="M67" s="45">
        <v>1200</v>
      </c>
      <c r="N67" s="18" cm="1">
        <f t="array" ref="N67">Tabella333[Rydberg R]*(1.5+LN(SQRT(PI()*POWER(Tabella1343[[#This Row],[Temperatura]],3)/(Tabella636[Simmetria]*Tabella636[Simmetria]*PRODUCT($F$7:$H$7)))))</f>
        <v>71.300095679190406</v>
      </c>
    </row>
    <row r="68" spans="1:24" x14ac:dyDescent="0.35">
      <c r="A68" s="18">
        <v>1300</v>
      </c>
      <c r="B68" s="32" cm="1">
        <f t="array" ref="B68">(Tabella333[Boltzmann k]*Tabella535[[#This Row],[Temperatura]])/101325</f>
        <v>1.7713730076486554E-25</v>
      </c>
      <c r="C68" s="32" cm="1">
        <f t="array" ref="C68">POWER((2*Tabella333[Pi Greco]*Tabella333[Massa '[kg']]*Tabella333[Boltzmann k]*Tabella535[[#This Row],[Temperatura]])/(POWER(Tabella333[Planck h],2)),1.5)*Tabella535[[#This Row],[Volume]]</f>
        <v>100107636.18972704</v>
      </c>
      <c r="D68" s="32">
        <f t="shared" si="10"/>
        <v>6.8248514373173179E-5</v>
      </c>
      <c r="E68" s="32" cm="1">
        <f t="array" ref="E68">((SQRT(PI())/Tabella636[Simmetria]))*(SQRT(POWER(Tabella535[[#This Row],[Temperatura]],3)/PRODUCT($F$7,$G$7,$H$7)))</f>
        <v>1333.4095119659262</v>
      </c>
      <c r="F68" s="18" cm="1">
        <f t="array" ref="F68">Tabella636[Gel]*EXP(0)</f>
        <v>1</v>
      </c>
      <c r="G68" s="18"/>
      <c r="H68" s="45">
        <v>1300</v>
      </c>
      <c r="I68" s="18" cm="1">
        <f t="array" ref="I68">POWER((2*PI()*Tabella333[Massa '[kg']]*Tabella333[Boltzmann k]*Tabella139[[#This Row],[Temperatura]])/(POWER(Tabella333[Planck h],2)),1.5)</f>
        <v>5.651414792788972E+32</v>
      </c>
      <c r="J68" s="32" cm="1">
        <f t="array" ref="J68">(Tabella139[[#This Row],[Temperatura]]*Tabella333[Boltzmann k])/101325</f>
        <v>1.7713730076486554E-25</v>
      </c>
      <c r="K68" s="32" cm="1">
        <f t="array" ref="K68">Tabella333[Rydberg R]*(2.5+LN(Tabella139[[#This Row],[Volume]]*Tabella139[[#This Row],[Translational Factor]]))</f>
        <v>173.95316254653514</v>
      </c>
      <c r="L68" s="18"/>
      <c r="M68" s="45">
        <v>1300</v>
      </c>
      <c r="N68" s="18" cm="1">
        <f t="array" ref="N68">Tabella333[Rydberg R]*(1.5+LN(SQRT(PI()*POWER(Tabella1343[[#This Row],[Temperatura]],3)/(Tabella636[Simmetria]*Tabella636[Simmetria]*PRODUCT($F$7:$H$7)))))</f>
        <v>72.298363830383082</v>
      </c>
    </row>
    <row r="69" spans="1:24" x14ac:dyDescent="0.35">
      <c r="A69" s="18">
        <v>1400</v>
      </c>
      <c r="B69" s="32" cm="1">
        <f t="array" ref="B69">(Tabella333[Boltzmann k]*Tabella535[[#This Row],[Temperatura]])/101325</f>
        <v>1.9076324697754752E-25</v>
      </c>
      <c r="C69" s="32" cm="1">
        <f t="array" ref="C69">POWER((2*Tabella333[Pi Greco]*Tabella333[Massa '[kg']]*Tabella333[Boltzmann k]*Tabella535[[#This Row],[Temperatura]])/(POWER(Tabella333[Planck h],2)),1.5)*Tabella535[[#This Row],[Volume]]</f>
        <v>120483871.72989482</v>
      </c>
      <c r="D69" s="32">
        <f t="shared" si="10"/>
        <v>1.8014758099602551E-4</v>
      </c>
      <c r="E69" s="32" cm="1">
        <f t="array" ref="E69">((SQRT(PI())/Tabella636[Simmetria]))*(SQRT(POWER(Tabella535[[#This Row],[Temperatura]],3)/PRODUCT($F$7,$G$7,$H$7)))</f>
        <v>1490.1863258194956</v>
      </c>
      <c r="F69" s="18" cm="1">
        <f t="array" ref="F69">Tabella636[Gel]*EXP(0)</f>
        <v>1</v>
      </c>
      <c r="G69" s="18"/>
      <c r="H69" s="45">
        <v>1400</v>
      </c>
      <c r="I69" s="18" cm="1">
        <f t="array" ref="I69">POWER((2*PI()*Tabella333[Massa '[kg']]*Tabella333[Boltzmann k]*Tabella139[[#This Row],[Temperatura]])/(POWER(Tabella333[Planck h],2)),1.5)</f>
        <v>6.3158849327027626E+32</v>
      </c>
      <c r="J69" s="32" cm="1">
        <f t="array" ref="J69">(Tabella139[[#This Row],[Temperatura]]*Tabella333[Boltzmann k])/101325</f>
        <v>1.9076324697754752E-25</v>
      </c>
      <c r="K69" s="32" cm="1">
        <f t="array" ref="K69">Tabella333[Rydberg R]*(2.5+LN(Tabella139[[#This Row],[Volume]]*Tabella139[[#This Row],[Translational Factor]]))</f>
        <v>175.49358245695493</v>
      </c>
      <c r="L69" s="18"/>
      <c r="M69" s="45">
        <v>1400</v>
      </c>
      <c r="N69" s="18" cm="1">
        <f t="array" ref="N69">Tabella333[Rydberg R]*(1.5+LN(SQRT(PI()*POWER(Tabella1343[[#This Row],[Temperatura]],3)/(Tabella636[Simmetria]*Tabella636[Simmetria]*PRODUCT($F$7:$H$7)))))</f>
        <v>73.222615776634939</v>
      </c>
    </row>
    <row r="70" spans="1:24" x14ac:dyDescent="0.35">
      <c r="A70" s="18">
        <v>1500</v>
      </c>
      <c r="B70" s="32" cm="1">
        <f t="array" ref="B70">(Tabella333[Boltzmann k]*Tabella535[[#This Row],[Temperatura]])/101325</f>
        <v>2.0438919319022949E-25</v>
      </c>
      <c r="C70" s="32" cm="1">
        <f t="array" ref="C70">POWER((2*Tabella333[Pi Greco]*Tabella333[Massa '[kg']]*Tabella333[Boltzmann k]*Tabella535[[#This Row],[Temperatura]])/(POWER(Tabella333[Planck h],2)),1.5)*Tabella535[[#This Row],[Volume]]</f>
        <v>143165038.20788366</v>
      </c>
      <c r="D70" s="32">
        <f t="shared" si="10"/>
        <v>4.2988028519908911E-4</v>
      </c>
      <c r="E70" s="32" cm="1">
        <f t="array" ref="E70">((SQRT(PI())/Tabella636[Simmetria]))*(SQRT(POWER(Tabella535[[#This Row],[Temperatura]],3)/PRODUCT($F$7,$G$7,$H$7)))</f>
        <v>1652.6672042961823</v>
      </c>
      <c r="F70" s="18" cm="1">
        <f t="array" ref="F70">Tabella636[Gel]*EXP(0)</f>
        <v>1</v>
      </c>
      <c r="G70" s="18"/>
      <c r="H70" s="45">
        <v>1500</v>
      </c>
      <c r="I70" s="18" cm="1">
        <f t="array" ref="I70">POWER((2*PI()*Tabella333[Massa '[kg']]*Tabella333[Boltzmann k]*Tabella139[[#This Row],[Temperatura]])/(POWER(Tabella333[Planck h],2)),1.5)</f>
        <v>7.0045307177584887E+32</v>
      </c>
      <c r="J70" s="32" cm="1">
        <f t="array" ref="J70">(Tabella139[[#This Row],[Temperatura]]*Tabella333[Boltzmann k])/101325</f>
        <v>2.0438919319022949E-25</v>
      </c>
      <c r="K70" s="32" cm="1">
        <f t="array" ref="K70">Tabella333[Rydberg R]*(2.5+LN(Tabella139[[#This Row],[Volume]]*Tabella139[[#This Row],[Translational Factor]]))</f>
        <v>176.92767908417181</v>
      </c>
      <c r="L70" s="18"/>
      <c r="M70" s="45">
        <v>1500</v>
      </c>
      <c r="N70" s="18" cm="1">
        <f t="array" ref="N70">Tabella333[Rydberg R]*(1.5+LN(SQRT(PI()*POWER(Tabella1343[[#This Row],[Temperatura]],3)/(Tabella636[Simmetria]*Tabella636[Simmetria]*PRODUCT($F$7:$H$7)))))</f>
        <v>74.083073752965049</v>
      </c>
    </row>
    <row r="71" spans="1:24" x14ac:dyDescent="0.35">
      <c r="A71" s="18">
        <v>1600</v>
      </c>
      <c r="B71" s="32" cm="1">
        <f t="array" ref="B71">(Tabella333[Boltzmann k]*Tabella535[[#This Row],[Temperatura]])/101325</f>
        <v>2.1801513940291145E-25</v>
      </c>
      <c r="C71" s="32" cm="1">
        <f t="array" ref="C71">POWER((2*Tabella333[Pi Greco]*Tabella333[Massa '[kg']]*Tabella333[Boltzmann k]*Tabella535[[#This Row],[Temperatura]])/(POWER(Tabella333[Planck h],2)),1.5)*Tabella535[[#This Row],[Volume]]</f>
        <v>168232067.59940818</v>
      </c>
      <c r="D71" s="32">
        <f t="shared" si="10"/>
        <v>9.4448587359395521E-4</v>
      </c>
      <c r="E71" s="32" cm="1">
        <f t="array" ref="E71">((SQRT(PI())/Tabella636[Simmetria]))*(SQRT(POWER(Tabella535[[#This Row],[Temperatura]],3)/PRODUCT($F$7,$G$7,$H$7)))</f>
        <v>1820.6585056888277</v>
      </c>
      <c r="F71" s="18" cm="1">
        <f t="array" ref="F71">Tabella636[Gel]*EXP(0)</f>
        <v>1</v>
      </c>
      <c r="G71" s="18"/>
      <c r="H71" s="45">
        <v>1600</v>
      </c>
      <c r="I71" s="18" cm="1">
        <f t="array" ref="I71">POWER((2*PI()*Tabella333[Massa '[kg']]*Tabella333[Boltzmann k]*Tabella139[[#This Row],[Temperatura]])/(POWER(Tabella333[Planck h],2)),1.5)</f>
        <v>7.7165314326405696E+32</v>
      </c>
      <c r="J71" s="32" cm="1">
        <f t="array" ref="J71">(Tabella139[[#This Row],[Temperatura]]*Tabella333[Boltzmann k])/101325</f>
        <v>2.1801513940291145E-25</v>
      </c>
      <c r="K71" s="32" cm="1">
        <f t="array" ref="K71">Tabella333[Rydberg R]*(2.5+LN(Tabella139[[#This Row],[Volume]]*Tabella139[[#This Row],[Translational Factor]]))</f>
        <v>178.26918688772017</v>
      </c>
      <c r="L71" s="18"/>
      <c r="M71" s="45">
        <v>1600</v>
      </c>
      <c r="N71" s="18" cm="1">
        <f t="array" ref="N71">Tabella333[Rydberg R]*(1.5+LN(SQRT(PI()*POWER(Tabella1343[[#This Row],[Temperatura]],3)/(Tabella636[Simmetria]*Tabella636[Simmetria]*PRODUCT($F$7:$H$7)))))</f>
        <v>74.88797843509407</v>
      </c>
    </row>
    <row r="72" spans="1:24" x14ac:dyDescent="0.35">
      <c r="A72" s="18">
        <v>1700</v>
      </c>
      <c r="B72" s="32" cm="1">
        <f t="array" ref="B72">(Tabella333[Boltzmann k]*Tabella535[[#This Row],[Temperatura]])/101325</f>
        <v>2.316410856155934E-25</v>
      </c>
      <c r="C72" s="32" cm="1">
        <f t="array" ref="C72">POWER((2*Tabella333[Pi Greco]*Tabella333[Massa '[kg']]*Tabella333[Boltzmann k]*Tabella535[[#This Row],[Temperatura]])/(POWER(Tabella333[Planck h],2)),1.5)*Tabella535[[#This Row],[Volume]]</f>
        <v>195763233.27237222</v>
      </c>
      <c r="D72" s="32">
        <f t="shared" si="10"/>
        <v>1.9374391814561563E-3</v>
      </c>
      <c r="E72" s="32" cm="1">
        <f t="array" ref="E72">((SQRT(PI())/Tabella636[Simmetria]))*(SQRT(POWER(Tabella535[[#This Row],[Temperatura]],3)/PRODUCT($F$7,$G$7,$H$7)))</f>
        <v>1993.985071270035</v>
      </c>
      <c r="F72" s="18" cm="1">
        <f t="array" ref="F72">Tabella636[Gel]*EXP(0)</f>
        <v>1</v>
      </c>
      <c r="G72" s="18"/>
      <c r="H72" s="45">
        <v>1700</v>
      </c>
      <c r="I72" s="18" cm="1">
        <f t="array" ref="I72">POWER((2*PI()*Tabella333[Massa '[kg']]*Tabella333[Boltzmann k]*Tabella139[[#This Row],[Temperatura]])/(POWER(Tabella333[Planck h],2)),1.5)</f>
        <v>8.4511446987966465E+32</v>
      </c>
      <c r="J72" s="32" cm="1">
        <f t="array" ref="J72">(Tabella139[[#This Row],[Temperatura]]*Tabella333[Boltzmann k])/101325</f>
        <v>2.316410856155934E-25</v>
      </c>
      <c r="K72" s="32" cm="1">
        <f t="array" ref="K72">Tabella333[Rydberg R]*(2.5+LN(Tabella139[[#This Row],[Volume]]*Tabella139[[#This Row],[Translational Factor]]))</f>
        <v>179.52933976727795</v>
      </c>
      <c r="L72" s="18"/>
      <c r="M72" s="45">
        <v>1700</v>
      </c>
      <c r="N72" s="18" cm="1">
        <f t="array" ref="N72">Tabella333[Rydberg R]*(1.5+LN(SQRT(PI()*POWER(Tabella1343[[#This Row],[Temperatura]],3)/(Tabella636[Simmetria]*Tabella636[Simmetria]*PRODUCT($F$7:$H$7)))))</f>
        <v>75.644070162828754</v>
      </c>
    </row>
    <row r="73" spans="1:24" x14ac:dyDescent="0.35">
      <c r="A73" s="18">
        <v>1800</v>
      </c>
      <c r="B73" s="32" cm="1">
        <f t="array" ref="B73">(Tabella333[Boltzmann k]*Tabella535[[#This Row],[Temperatura]])/101325</f>
        <v>2.4526703182827536E-25</v>
      </c>
      <c r="C73" s="32" cm="1">
        <f t="array" ref="C73">POWER((2*Tabella333[Pi Greco]*Tabella333[Massa '[kg']]*Tabella333[Boltzmann k]*Tabella535[[#This Row],[Temperatura]])/(POWER(Tabella333[Planck h],2)),1.5)*Tabella535[[#This Row],[Volume]]</f>
        <v>225834396.11293221</v>
      </c>
      <c r="D73" s="32">
        <f t="shared" si="10"/>
        <v>3.7509882625330797E-3</v>
      </c>
      <c r="E73" s="32" cm="1">
        <f t="array" ref="E73">((SQRT(PI())/Tabella636[Simmetria]))*(SQRT(POWER(Tabella535[[#This Row],[Temperatura]],3)/PRODUCT($F$7,$G$7,$H$7)))</f>
        <v>2172.4874588208427</v>
      </c>
      <c r="F73" s="18" cm="1">
        <f t="array" ref="F73">Tabella636[Gel]*EXP(0)</f>
        <v>1</v>
      </c>
      <c r="G73" s="18"/>
      <c r="H73" s="45">
        <v>1800</v>
      </c>
      <c r="I73" s="18" cm="1">
        <f t="array" ref="I73">POWER((2*PI()*Tabella333[Massa '[kg']]*Tabella333[Boltzmann k]*Tabella139[[#This Row],[Temperatura]])/(POWER(Tabella333[Planck h],2)),1.5)</f>
        <v>9.207694749249912E+32</v>
      </c>
      <c r="J73" s="32" cm="1">
        <f t="array" ref="J73">(Tabella139[[#This Row],[Temperatura]]*Tabella333[Boltzmann k])/101325</f>
        <v>2.4526703182827536E-25</v>
      </c>
      <c r="K73" s="32" cm="1">
        <f t="array" ref="K73">Tabella333[Rydberg R]*(2.5+LN(Tabella139[[#This Row],[Volume]]*Tabella139[[#This Row],[Translational Factor]]))</f>
        <v>180.71744350521897</v>
      </c>
      <c r="L73" s="18"/>
      <c r="M73" s="45">
        <v>1800</v>
      </c>
      <c r="N73" s="18" cm="1">
        <f t="array" ref="N73">Tabella333[Rydberg R]*(1.5+LN(SQRT(PI()*POWER(Tabella1343[[#This Row],[Temperatura]],3)/(Tabella636[Simmetria]*Tabella636[Simmetria]*PRODUCT($F$7:$H$7)))))</f>
        <v>76.356932405593398</v>
      </c>
    </row>
    <row r="74" spans="1:24" x14ac:dyDescent="0.35">
      <c r="A74" s="18">
        <v>1900</v>
      </c>
      <c r="B74" s="32" cm="1">
        <f t="array" ref="B74">(Tabella333[Boltzmann k]*Tabella535[[#This Row],[Temperatura]])/101325</f>
        <v>2.5889297804095731E-25</v>
      </c>
      <c r="C74" s="32" cm="1">
        <f t="array" ref="C74">POWER((2*Tabella333[Pi Greco]*Tabella333[Massa '[kg']]*Tabella333[Boltzmann k]*Tabella535[[#This Row],[Temperatura]])/(POWER(Tabella333[Planck h],2)),1.5)*Tabella535[[#This Row],[Volume]]</f>
        <v>258519214.84772423</v>
      </c>
      <c r="D74" s="32">
        <f t="shared" si="10"/>
        <v>6.9128316936421137E-3</v>
      </c>
      <c r="E74" s="32" cm="1">
        <f t="array" ref="E74">((SQRT(PI())/Tabella636[Simmetria]))*(SQRT(POWER(Tabella535[[#This Row],[Temperatura]],3)/PRODUCT($F$7,$G$7,$H$7)))</f>
        <v>2356.0197234830011</v>
      </c>
      <c r="F74" s="18" cm="1">
        <f t="array" ref="F74">Tabella636[Gel]*EXP(0)</f>
        <v>1</v>
      </c>
      <c r="G74" s="18"/>
      <c r="H74" s="45">
        <v>1900</v>
      </c>
      <c r="I74" s="18" cm="1">
        <f t="array" ref="I74">POWER((2*PI()*Tabella333[Massa '[kg']]*Tabella333[Boltzmann k]*Tabella139[[#This Row],[Temperatura]])/(POWER(Tabella333[Planck h],2)),1.5)</f>
        <v>9.9855630231433334E+32</v>
      </c>
      <c r="J74" s="32" cm="1">
        <f t="array" ref="J74">(Tabella139[[#This Row],[Temperatura]]*Tabella333[Boltzmann k])/101325</f>
        <v>2.5889297804095731E-25</v>
      </c>
      <c r="K74" s="32" cm="1">
        <f t="array" ref="K74">Tabella333[Rydberg R]*(2.5+LN(Tabella139[[#This Row],[Volume]]*Tabella139[[#This Row],[Translational Factor]]))</f>
        <v>181.84129323049618</v>
      </c>
      <c r="L74" s="18"/>
      <c r="M74" s="45">
        <v>1900</v>
      </c>
      <c r="N74" s="18" cm="1">
        <f t="array" ref="N74">Tabella333[Rydberg R]*(1.5+LN(SQRT(PI()*POWER(Tabella1343[[#This Row],[Temperatura]],3)/(Tabella636[Simmetria]*Tabella636[Simmetria]*PRODUCT($F$7:$H$7)))))</f>
        <v>77.031242240759653</v>
      </c>
    </row>
    <row r="75" spans="1:24" x14ac:dyDescent="0.35">
      <c r="A75" s="18">
        <v>2000</v>
      </c>
      <c r="B75" s="32" cm="1">
        <f t="array" ref="B75">(Tabella333[Boltzmann k]*Tabella535[[#This Row],[Temperatura]])/101325</f>
        <v>2.7251892425363931E-25</v>
      </c>
      <c r="C75" s="32" cm="1">
        <f t="array" ref="C75">POWER((2*Tabella333[Pi Greco]*Tabella333[Massa '[kg']]*Tabella333[Boltzmann k]*Tabella535[[#This Row],[Temperatura]])/(POWER(Tabella333[Planck h],2)),1.5)*Tabella535[[#This Row],[Volume]]</f>
        <v>293889327.45907289</v>
      </c>
      <c r="D75" s="32">
        <f t="shared" si="10"/>
        <v>1.2210293792595596E-2</v>
      </c>
      <c r="E75" s="32" cm="1">
        <f t="array" ref="E75">((SQRT(PI())/Tabella636[Simmetria]))*(SQRT(POWER(Tabella535[[#This Row],[Temperatura]],3)/PRODUCT($F$7,$G$7,$H$7)))</f>
        <v>2544.447614083379</v>
      </c>
      <c r="F75" s="18" cm="1">
        <f t="array" ref="F75">Tabella636[Gel]*EXP(0)</f>
        <v>1</v>
      </c>
      <c r="G75" s="18"/>
      <c r="H75" s="45">
        <v>2000</v>
      </c>
      <c r="I75" s="45" cm="1">
        <f t="array" ref="I75">POWER((2*PI()*Tabella333[Massa '[kg']]*Tabella333[Boltzmann k]*Tabella139[[#This Row],[Temperatura]])/(POWER(Tabella333[Planck h],2)),1.5)</f>
        <v>1.0784180521186253E+33</v>
      </c>
      <c r="J75" s="32" cm="1">
        <f t="array" ref="J75">(Tabella139[[#This Row],[Temperatura]]*Tabella333[Boltzmann k])/101325</f>
        <v>2.7251892425363931E-25</v>
      </c>
      <c r="K75" s="32" cm="1">
        <f t="array" ref="K75">Tabella333[Rydberg R]*(2.5+LN(Tabella139[[#This Row],[Volume]]*Tabella139[[#This Row],[Translational Factor]]))</f>
        <v>182.90748367734452</v>
      </c>
      <c r="L75" s="18"/>
      <c r="M75" s="45">
        <v>2000</v>
      </c>
      <c r="N75" s="18" cm="1">
        <f t="array" ref="N75">Tabella333[Rydberg R]*(1.5+LN(SQRT(PI()*POWER(Tabella1343[[#This Row],[Temperatura]],3)/(Tabella636[Simmetria]*Tabella636[Simmetria]*PRODUCT($F$7:$H$7)))))</f>
        <v>77.670956508868699</v>
      </c>
    </row>
    <row r="76" spans="1:24" x14ac:dyDescent="0.35">
      <c r="A76" s="46" t="s">
        <v>122</v>
      </c>
      <c r="B76" s="32"/>
      <c r="C76" s="32">
        <f>C75-C58</f>
        <v>291367613.28186804</v>
      </c>
      <c r="D76" s="32">
        <f>D75-D58</f>
        <v>1.2210293792595596E-2</v>
      </c>
      <c r="E76" s="32">
        <f>E75-E58</f>
        <v>2397.9937816297893</v>
      </c>
      <c r="F76" s="18"/>
      <c r="G76" s="18"/>
      <c r="H76" s="46" t="s">
        <v>122</v>
      </c>
      <c r="I76" s="45">
        <f>I75-I58</f>
        <v>1.0163462468883947E+33</v>
      </c>
      <c r="J76" s="45">
        <f>J75-J58</f>
        <v>2.3189316562052802E-25</v>
      </c>
      <c r="K76" s="45">
        <f>K75-K58</f>
        <v>39.562411147219734</v>
      </c>
      <c r="L76" s="18"/>
      <c r="M76" s="45"/>
      <c r="N76" s="45">
        <f>N75-N58</f>
        <v>23.737446688331879</v>
      </c>
    </row>
    <row r="77" spans="1:24" x14ac:dyDescent="0.35">
      <c r="A77" s="18"/>
      <c r="B77" s="18"/>
      <c r="C77" s="18"/>
      <c r="D77" s="18"/>
      <c r="E77" s="32" cm="1">
        <f t="array" ref="E77">(D6*POWER(PI(),7/2)*POWER(8*Tabella333[Boltzmann k]*298.15,1.5)/(Tabella636[Simmetria]*POWER(Tabella333[Planck h],3)))</f>
        <v>0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24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24" x14ac:dyDescent="0.3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F79" s="18"/>
      <c r="G79" s="18"/>
      <c r="H79" s="47"/>
      <c r="I79" s="47"/>
      <c r="J79" s="47"/>
      <c r="K79" s="18"/>
      <c r="L79" s="18"/>
      <c r="M79" s="18"/>
      <c r="N79" s="18"/>
      <c r="O79" s="18"/>
    </row>
    <row r="80" spans="1:24" x14ac:dyDescent="0.35">
      <c r="A80" s="45">
        <v>298.14999999999998</v>
      </c>
      <c r="B80" s="32" cm="1">
        <f t="array" ref="B80">(3/2)*Tabella333[Rydberg R]</f>
        <v>12.471693927</v>
      </c>
      <c r="C80" s="32" cm="1">
        <f t="array" ref="C80">(3/2)*Tabella333[Rydberg R]</f>
        <v>12.471693927</v>
      </c>
      <c r="D80" s="32" cm="1">
        <f t="array" ref="D8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2.0877639096025939</v>
      </c>
      <c r="E80" s="18">
        <f>SUM(Tabella1545[[#This Row],[CvRot]:[Cv Vib]])</f>
        <v>27.031151763602594</v>
      </c>
      <c r="F80" s="18"/>
      <c r="G80" s="32"/>
      <c r="H80" s="32"/>
      <c r="I80" s="32"/>
      <c r="J80" s="32"/>
      <c r="K80" s="32"/>
      <c r="L80" s="32"/>
      <c r="M80" s="32"/>
      <c r="N80" s="32"/>
      <c r="O80" s="32"/>
      <c r="P80" s="1"/>
      <c r="Q80" s="1"/>
      <c r="R80" s="1"/>
      <c r="S80" s="1"/>
      <c r="T80" s="1"/>
      <c r="U80" s="1"/>
      <c r="V80" s="1"/>
      <c r="W80" s="1"/>
      <c r="X80" s="1"/>
    </row>
    <row r="81" spans="1:15" x14ac:dyDescent="0.35">
      <c r="A81" s="45">
        <v>400</v>
      </c>
      <c r="B81" s="32" cm="1">
        <f t="array" ref="B81">(3/2)*Tabella333[Rydberg R]</f>
        <v>12.471693927</v>
      </c>
      <c r="C81" s="32" cm="1">
        <f t="array" ref="C81">(3/2)*Tabella333[Rydberg R]</f>
        <v>12.471693927</v>
      </c>
      <c r="D81" s="32" cm="1">
        <f t="array" ref="D8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6.6401337956586106</v>
      </c>
      <c r="E81" s="18">
        <f>SUM(Tabella1545[[#This Row],[CvRot]:[Cv Vib]])</f>
        <v>31.583521649658611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x14ac:dyDescent="0.35">
      <c r="A82" s="45">
        <v>500</v>
      </c>
      <c r="B82" s="32" cm="1">
        <f t="array" ref="B82">(3/2)*Tabella333[Rydberg R]</f>
        <v>12.471693927</v>
      </c>
      <c r="C82" s="32" cm="1">
        <f t="array" ref="C82">(3/2)*Tabella333[Rydberg R]</f>
        <v>12.471693927</v>
      </c>
      <c r="D82" s="32" cm="1">
        <f t="array" ref="D8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12.257821408421151</v>
      </c>
      <c r="E82" s="18">
        <f>SUM(Tabella1545[[#This Row],[CvRot]:[Cv Vib]])</f>
        <v>37.201209262421152</v>
      </c>
      <c r="F82" s="18"/>
      <c r="G82" s="18"/>
      <c r="H82" s="47"/>
      <c r="I82" s="18"/>
      <c r="J82" s="18"/>
      <c r="K82" s="18"/>
      <c r="L82" s="18"/>
      <c r="M82" s="18"/>
      <c r="N82" s="18"/>
      <c r="O82" s="18"/>
    </row>
    <row r="83" spans="1:15" x14ac:dyDescent="0.35">
      <c r="A83" s="45">
        <v>600</v>
      </c>
      <c r="B83" s="32" cm="1">
        <f t="array" ref="B83">(3/2)*Tabella333[Rydberg R]</f>
        <v>12.471693927</v>
      </c>
      <c r="C83" s="32" cm="1">
        <f t="array" ref="C83">(3/2)*Tabella333[Rydberg R]</f>
        <v>12.471693927</v>
      </c>
      <c r="D83" s="32" cm="1">
        <f t="array" ref="D8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17.970080453222611</v>
      </c>
      <c r="E83" s="18">
        <f>SUM(Tabella1545[[#This Row],[CvRot]:[Cv Vib]])</f>
        <v>42.913468307222615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x14ac:dyDescent="0.35">
      <c r="A84" s="45">
        <v>700</v>
      </c>
      <c r="B84" s="32" cm="1">
        <f t="array" ref="B84">(3/2)*Tabella333[Rydberg R]</f>
        <v>12.471693927</v>
      </c>
      <c r="C84" s="32" cm="1">
        <f t="array" ref="C84">(3/2)*Tabella333[Rydberg R]</f>
        <v>12.471693927</v>
      </c>
      <c r="D84" s="32" cm="1">
        <f t="array" ref="D8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23.396832359641461</v>
      </c>
      <c r="E84" s="18">
        <f>SUM(Tabella1545[[#This Row],[CvRot]:[Cv Vib]])</f>
        <v>48.340220213641459</v>
      </c>
      <c r="F84" s="18"/>
      <c r="G84" s="18"/>
      <c r="H84" s="47"/>
      <c r="I84" s="18"/>
      <c r="J84" s="18"/>
      <c r="K84" s="18"/>
      <c r="L84" s="18"/>
      <c r="M84" s="18"/>
      <c r="N84" s="18"/>
      <c r="O84" s="18"/>
    </row>
    <row r="85" spans="1:15" x14ac:dyDescent="0.35">
      <c r="A85" s="45">
        <v>800</v>
      </c>
      <c r="B85" s="32" cm="1">
        <f t="array" ref="B85">(3/2)*Tabella333[Rydberg R]</f>
        <v>12.471693927</v>
      </c>
      <c r="C85" s="32" cm="1">
        <f t="array" ref="C85">(3/2)*Tabella333[Rydberg R]</f>
        <v>12.471693927</v>
      </c>
      <c r="D85" s="32" cm="1">
        <f t="array" ref="D8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28.427353204915832</v>
      </c>
      <c r="E85" s="18">
        <f>SUM(Tabella1545[[#This Row],[CvRot]:[Cv Vib]])</f>
        <v>53.370741058915833</v>
      </c>
      <c r="F85" s="18"/>
      <c r="G85" s="18" t="s">
        <v>149</v>
      </c>
      <c r="H85" s="18"/>
      <c r="I85" s="18"/>
      <c r="J85" s="18"/>
      <c r="K85" s="18"/>
      <c r="L85" s="18"/>
      <c r="M85" s="18"/>
      <c r="N85" s="18"/>
      <c r="O85" s="18"/>
    </row>
    <row r="86" spans="1:15" x14ac:dyDescent="0.35">
      <c r="A86" s="45">
        <v>900</v>
      </c>
      <c r="B86" s="32" cm="1">
        <f t="array" ref="B86">(3/2)*Tabella333[Rydberg R]</f>
        <v>12.471693927</v>
      </c>
      <c r="C86" s="32" cm="1">
        <f t="array" ref="C86">(3/2)*Tabella333[Rydberg R]</f>
        <v>12.471693927</v>
      </c>
      <c r="D86" s="32" cm="1">
        <f t="array" ref="D8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33.027785950494007</v>
      </c>
      <c r="E86" s="18">
        <f>SUM(Tabella1545[[#This Row],[CvRot]:[Cv Vib]])</f>
        <v>57.971173804494008</v>
      </c>
      <c r="F86" s="18"/>
      <c r="G86" s="18"/>
      <c r="H86" s="47"/>
      <c r="I86" s="18"/>
      <c r="J86" s="18"/>
      <c r="K86" s="18"/>
      <c r="L86" s="18"/>
      <c r="M86" s="18"/>
      <c r="N86" s="18"/>
      <c r="O86" s="18"/>
    </row>
    <row r="87" spans="1:15" x14ac:dyDescent="0.35">
      <c r="A87" s="45">
        <v>1000</v>
      </c>
      <c r="B87" s="32" cm="1">
        <f t="array" ref="B87">(3/2)*Tabella333[Rydberg R]</f>
        <v>12.471693927</v>
      </c>
      <c r="C87" s="32" cm="1">
        <f t="array" ref="C87">(3/2)*Tabella333[Rydberg R]</f>
        <v>12.471693927</v>
      </c>
      <c r="D87" s="32" cm="1">
        <f t="array" ref="D8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37.190536812980987</v>
      </c>
      <c r="E87" s="18">
        <f>SUM(Tabella1545[[#This Row],[CvRot]:[Cv Vib]])</f>
        <v>62.133924666980988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x14ac:dyDescent="0.35">
      <c r="A88" s="45">
        <v>1100</v>
      </c>
      <c r="B88" s="32" cm="1">
        <f t="array" ref="B88">(3/2)*Tabella333[Rydberg R]</f>
        <v>12.471693927</v>
      </c>
      <c r="C88" s="32" cm="1">
        <f t="array" ref="C88">(3/2)*Tabella333[Rydberg R]</f>
        <v>12.471693927</v>
      </c>
      <c r="D88" s="32" cm="1">
        <f t="array" ref="D88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40.924826863906922</v>
      </c>
      <c r="E88" s="18">
        <f>SUM(Tabella1545[[#This Row],[CvRot]:[Cv Vib]])</f>
        <v>65.868214717906923</v>
      </c>
      <c r="F88" s="18"/>
      <c r="G88" s="18"/>
      <c r="H88" s="47"/>
      <c r="I88" s="18"/>
      <c r="J88" s="18"/>
      <c r="K88" s="18"/>
      <c r="L88" s="18"/>
      <c r="M88" s="18"/>
      <c r="N88" s="18"/>
      <c r="O88" s="18"/>
    </row>
    <row r="89" spans="1:15" x14ac:dyDescent="0.35">
      <c r="A89" s="45">
        <v>1200</v>
      </c>
      <c r="B89" s="32" cm="1">
        <f t="array" ref="B89">(3/2)*Tabella333[Rydberg R]</f>
        <v>12.471693927</v>
      </c>
      <c r="C89" s="32" cm="1">
        <f t="array" ref="C89">(3/2)*Tabella333[Rydberg R]</f>
        <v>12.471693927</v>
      </c>
      <c r="D89" s="32" cm="1">
        <f t="array" ref="D89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44.252936466074438</v>
      </c>
      <c r="E89" s="18">
        <f>SUM(Tabella1545[[#This Row],[CvRot]:[Cv Vib]])</f>
        <v>69.196324320074439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x14ac:dyDescent="0.35">
      <c r="A90" s="45">
        <v>1300</v>
      </c>
      <c r="B90" s="32" cm="1">
        <f t="array" ref="B90">(3/2)*Tabella333[Rydberg R]</f>
        <v>12.471693927</v>
      </c>
      <c r="C90" s="32" cm="1">
        <f t="array" ref="C90">(3/2)*Tabella333[Rydberg R]</f>
        <v>12.471693927</v>
      </c>
      <c r="D90" s="32" cm="1">
        <f t="array" ref="D9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47.205900530379431</v>
      </c>
      <c r="E90" s="18">
        <f>SUM(Tabella1545[[#This Row],[CvRot]:[Cv Vib]])</f>
        <v>72.149288384379432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35">
      <c r="A91" s="45">
        <v>1400</v>
      </c>
      <c r="B91" s="32" cm="1">
        <f t="array" ref="B91">(3/2)*Tabella333[Rydberg R]</f>
        <v>12.471693927</v>
      </c>
      <c r="C91" s="32" cm="1">
        <f t="array" ref="C91">(3/2)*Tabella333[Rydberg R]</f>
        <v>12.471693927</v>
      </c>
      <c r="D91" s="32" cm="1">
        <f t="array" ref="D9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49.819219518848492</v>
      </c>
      <c r="E91" s="18">
        <f>SUM(Tabella1545[[#This Row],[CvRot]:[Cv Vib]])</f>
        <v>74.762607372848493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35">
      <c r="A92" s="45">
        <v>1500</v>
      </c>
      <c r="B92" s="32" cm="1">
        <f t="array" ref="B92">(3/2)*Tabella333[Rydberg R]</f>
        <v>12.471693927</v>
      </c>
      <c r="C92" s="32" cm="1">
        <f t="array" ref="C92">(3/2)*Tabella333[Rydberg R]</f>
        <v>12.471693927</v>
      </c>
      <c r="D92" s="32" cm="1">
        <f t="array" ref="D9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52.129451616229119</v>
      </c>
      <c r="E92" s="18">
        <f>SUM(Tabella1545[[#This Row],[CvRot]:[Cv Vib]])</f>
        <v>77.072839470229127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x14ac:dyDescent="0.35">
      <c r="A93" s="45">
        <v>1600</v>
      </c>
      <c r="B93" s="32" cm="1">
        <f t="array" ref="B93">(3/2)*Tabella333[Rydberg R]</f>
        <v>12.471693927</v>
      </c>
      <c r="C93" s="32" cm="1">
        <f t="array" ref="C93">(3/2)*Tabella333[Rydberg R]</f>
        <v>12.471693927</v>
      </c>
      <c r="D93" s="32" cm="1">
        <f t="array" ref="D9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54.171920803357203</v>
      </c>
      <c r="E93" s="18">
        <f>SUM(Tabella1545[[#This Row],[CvRot]:[Cv Vib]])</f>
        <v>79.115308657357204</v>
      </c>
      <c r="F93" s="18"/>
      <c r="G93" s="18"/>
      <c r="H93" s="18" t="s">
        <v>150</v>
      </c>
      <c r="I93" s="18"/>
      <c r="J93" s="18"/>
      <c r="K93" s="18"/>
      <c r="L93" s="18"/>
      <c r="M93" s="18"/>
      <c r="N93" s="18"/>
      <c r="O93" s="18"/>
    </row>
    <row r="94" spans="1:15" x14ac:dyDescent="0.35">
      <c r="A94" s="45">
        <v>1700</v>
      </c>
      <c r="B94" s="32" cm="1">
        <f t="array" ref="B94">(3/2)*Tabella333[Rydberg R]</f>
        <v>12.471693927</v>
      </c>
      <c r="C94" s="32" cm="1">
        <f t="array" ref="C94">(3/2)*Tabella333[Rydberg R]</f>
        <v>12.471693927</v>
      </c>
      <c r="D94" s="32" cm="1">
        <f t="array" ref="D9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55.979391675995103</v>
      </c>
      <c r="E94" s="18">
        <f>SUM(Tabella1545[[#This Row],[CvRot]:[Cv Vib]])</f>
        <v>80.922779529995097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x14ac:dyDescent="0.35">
      <c r="A95" s="45">
        <v>1800</v>
      </c>
      <c r="B95" s="32" cm="1">
        <f t="array" ref="B95">(3/2)*Tabella333[Rydberg R]</f>
        <v>12.471693927</v>
      </c>
      <c r="C95" s="32" cm="1">
        <f t="array" ref="C95">(3/2)*Tabella333[Rydberg R]</f>
        <v>12.471693927</v>
      </c>
      <c r="D95" s="32" cm="1">
        <f t="array" ref="D9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57.581447019772511</v>
      </c>
      <c r="E95" s="18">
        <f>SUM(Tabella1545[[#This Row],[CvRot]:[Cv Vib]])</f>
        <v>82.524834873772505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x14ac:dyDescent="0.35">
      <c r="A96" s="45">
        <v>1900</v>
      </c>
      <c r="B96" s="32" cm="1">
        <f t="array" ref="B96">(3/2)*Tabella333[Rydberg R]</f>
        <v>12.471693927</v>
      </c>
      <c r="C96" s="32" cm="1">
        <f t="array" ref="C96">(3/2)*Tabella333[Rydberg R]</f>
        <v>12.471693927</v>
      </c>
      <c r="D96" s="32" cm="1">
        <f t="array" ref="D9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59.004322049481196</v>
      </c>
      <c r="E96" s="18">
        <f>SUM(Tabella1545[[#This Row],[CvRot]:[Cv Vib]])</f>
        <v>83.947709903481197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x14ac:dyDescent="0.35">
      <c r="A97" s="45">
        <v>2000</v>
      </c>
      <c r="B97" s="32" cm="1">
        <f t="array" ref="B97">(3/2)*Tabella333[Rydberg R]</f>
        <v>12.471693927</v>
      </c>
      <c r="C97" s="32" cm="1">
        <f t="array" ref="C97">(3/2)*Tabella333[Rydberg R]</f>
        <v>12.471693927</v>
      </c>
      <c r="D97" s="32" cm="1">
        <f t="array" ref="D9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60.271008416952441</v>
      </c>
      <c r="E97" s="18">
        <f>SUM(Tabella1545[[#This Row],[CvRot]:[Cv Vib]])</f>
        <v>85.214396270952449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x14ac:dyDescent="0.35">
      <c r="A98" s="46" t="s">
        <v>122</v>
      </c>
      <c r="B98" s="61"/>
      <c r="C98" s="32"/>
      <c r="D98" s="45">
        <f>D97-D80</f>
        <v>58.183244507349848</v>
      </c>
      <c r="E98" s="45">
        <f>E97-E80</f>
        <v>58.183244507349855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x14ac:dyDescent="0.35">
      <c r="A99" s="18"/>
      <c r="B99" s="18"/>
      <c r="C99" s="18"/>
      <c r="D99" s="18"/>
      <c r="E99" s="18"/>
      <c r="F99" s="18"/>
      <c r="G99" s="62"/>
      <c r="H99" s="18"/>
      <c r="I99" s="18"/>
      <c r="J99" s="18"/>
      <c r="K99" s="18"/>
      <c r="L99" s="18"/>
      <c r="M99" s="18"/>
      <c r="N99" s="18"/>
      <c r="O99" s="18"/>
    </row>
    <row r="100" spans="1:15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34.5" customHeight="1" thickBot="1" x14ac:dyDescent="0.4">
      <c r="A103" s="164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x14ac:dyDescent="0.35">
      <c r="A104" s="64" t="s">
        <v>109</v>
      </c>
      <c r="B104" s="65">
        <v>298.14999999999998</v>
      </c>
      <c r="C104" s="66"/>
      <c r="D104" s="66"/>
      <c r="E104" s="67" t="s">
        <v>109</v>
      </c>
      <c r="F104" s="68">
        <v>1000</v>
      </c>
      <c r="G104" s="69"/>
      <c r="H104" s="18"/>
      <c r="I104" s="18"/>
      <c r="J104" s="18"/>
      <c r="K104" s="18"/>
      <c r="L104" s="18"/>
      <c r="M104" s="18"/>
      <c r="N104" s="18"/>
      <c r="O104" s="18"/>
    </row>
    <row r="105" spans="1:15" x14ac:dyDescent="0.35">
      <c r="A105" s="70"/>
      <c r="B105" s="71" t="s">
        <v>110</v>
      </c>
      <c r="C105" s="71" t="s">
        <v>111</v>
      </c>
      <c r="D105" s="72" t="s">
        <v>117</v>
      </c>
      <c r="E105" s="73" t="s">
        <v>110</v>
      </c>
      <c r="F105" s="71" t="s">
        <v>111</v>
      </c>
      <c r="G105" s="74" t="s">
        <v>117</v>
      </c>
      <c r="H105" s="18"/>
      <c r="I105" s="18"/>
      <c r="J105" s="18"/>
      <c r="K105" s="18"/>
      <c r="L105" s="18"/>
      <c r="M105" s="18"/>
      <c r="N105" s="18"/>
      <c r="O105" s="18"/>
    </row>
    <row r="106" spans="1:15" x14ac:dyDescent="0.35">
      <c r="A106" s="70" t="s">
        <v>8</v>
      </c>
      <c r="B106" s="75">
        <f>K15</f>
        <v>2.5576421845920049E-21</v>
      </c>
      <c r="C106" s="75">
        <v>2.5579799999999999E-21</v>
      </c>
      <c r="D106" s="76">
        <f>ABS(B106-C106)/C106</f>
        <v>1.3206334998515704E-4</v>
      </c>
      <c r="E106" s="77">
        <f>K22</f>
        <v>1.5081627057128131E-6</v>
      </c>
      <c r="F106" s="75">
        <v>1.50823E-6</v>
      </c>
      <c r="G106" s="78">
        <f>ABS(E106-F106)/F106</f>
        <v>4.4618053736429855E-5</v>
      </c>
      <c r="H106" s="18"/>
      <c r="I106" s="18"/>
      <c r="J106" s="18"/>
      <c r="K106" s="18"/>
      <c r="L106" s="18"/>
      <c r="M106" s="18"/>
      <c r="N106" s="18"/>
      <c r="O106" s="18"/>
    </row>
    <row r="107" spans="1:15" x14ac:dyDescent="0.35">
      <c r="A107" s="70" t="s">
        <v>9</v>
      </c>
      <c r="B107" s="75">
        <f>E58</f>
        <v>146.45383245358968</v>
      </c>
      <c r="C107" s="75">
        <v>146.45400000000001</v>
      </c>
      <c r="D107" s="76">
        <f t="shared" ref="D107:D108" si="11">ABS(B107-C107)/C107</f>
        <v>1.144020718617098E-6</v>
      </c>
      <c r="E107" s="77">
        <f>E65</f>
        <v>899.5980811461443</v>
      </c>
      <c r="F107" s="75">
        <v>899.59799999999996</v>
      </c>
      <c r="G107" s="78">
        <f t="shared" ref="G107:G108" si="12">ABS(E107-F107)/F107</f>
        <v>9.0202673126299344E-8</v>
      </c>
      <c r="H107" s="18"/>
      <c r="I107" s="18"/>
      <c r="J107" s="18"/>
      <c r="K107" s="18"/>
      <c r="L107" s="18"/>
      <c r="M107" s="18"/>
      <c r="N107" s="18"/>
      <c r="O107" s="18"/>
    </row>
    <row r="108" spans="1:15" x14ac:dyDescent="0.35">
      <c r="A108" s="70" t="s">
        <v>7</v>
      </c>
      <c r="B108" s="75">
        <f>C58</f>
        <v>2521714.1772048417</v>
      </c>
      <c r="C108" s="75">
        <v>2522950</v>
      </c>
      <c r="D108" s="76">
        <f t="shared" si="11"/>
        <v>4.8983245611615455E-4</v>
      </c>
      <c r="E108" s="77">
        <f>C65</f>
        <v>51952784.09116593</v>
      </c>
      <c r="F108" s="75">
        <v>51978200</v>
      </c>
      <c r="G108" s="78">
        <f t="shared" si="12"/>
        <v>4.8897246988295032E-4</v>
      </c>
      <c r="H108" s="18"/>
      <c r="I108" s="18"/>
      <c r="J108" s="18"/>
      <c r="K108" s="18"/>
      <c r="L108" s="18"/>
      <c r="M108" s="18"/>
      <c r="N108" s="18"/>
      <c r="O108" s="18"/>
    </row>
    <row r="109" spans="1:15" ht="15" thickBot="1" x14ac:dyDescent="0.4">
      <c r="A109" s="79" t="s">
        <v>10</v>
      </c>
      <c r="B109" s="75">
        <f>F58</f>
        <v>1</v>
      </c>
      <c r="C109" s="80">
        <v>1</v>
      </c>
      <c r="D109" s="81">
        <v>0</v>
      </c>
      <c r="E109" s="79">
        <v>1</v>
      </c>
      <c r="F109" s="80">
        <v>1</v>
      </c>
      <c r="G109" s="82">
        <v>0</v>
      </c>
      <c r="H109" s="18"/>
      <c r="I109" s="18"/>
      <c r="J109" s="18"/>
      <c r="K109" s="18"/>
      <c r="L109" s="18"/>
      <c r="M109" s="18"/>
      <c r="N109" s="18"/>
      <c r="O109" s="18"/>
    </row>
    <row r="110" spans="1:15" ht="15" thickBot="1" x14ac:dyDescent="0.4">
      <c r="A110" s="34" t="s">
        <v>125</v>
      </c>
      <c r="B110" s="83">
        <f>PRODUCT(B106:B108)</f>
        <v>9.4457487044347829E-13</v>
      </c>
      <c r="C110" s="38">
        <f>PRODUCT(C106:C108)</f>
        <v>9.4516368324701402E-13</v>
      </c>
      <c r="D110" s="84">
        <f>ABS(B110-C110)/C110</f>
        <v>6.2297442651723352E-4</v>
      </c>
      <c r="E110" s="85">
        <f>PRODUCT(E106:E108)</f>
        <v>70486.434632813471</v>
      </c>
      <c r="F110" s="86">
        <f>PRODUCT(F106:F108)</f>
        <v>70524.057705004423</v>
      </c>
      <c r="G110" s="87">
        <f>ABS(E110-F110)/F110</f>
        <v>5.3347855207546595E-4</v>
      </c>
      <c r="H110" s="18"/>
      <c r="I110" s="18"/>
      <c r="J110" s="18"/>
      <c r="K110" s="18"/>
      <c r="L110" s="18"/>
      <c r="M110" s="18"/>
      <c r="N110" s="18"/>
      <c r="O110" s="18"/>
    </row>
    <row r="111" spans="1:15" x14ac:dyDescent="0.35">
      <c r="A111" s="36"/>
      <c r="B111" s="71"/>
      <c r="C111" s="71"/>
      <c r="D111" s="72"/>
      <c r="E111" s="88"/>
      <c r="F111" s="89"/>
      <c r="G111" s="90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35">
      <c r="A112" s="70" t="s">
        <v>112</v>
      </c>
      <c r="B112" s="75">
        <f>N37/4.184</f>
        <v>8.5077215462061706E-2</v>
      </c>
      <c r="C112" s="17">
        <v>8.5000000000000006E-2</v>
      </c>
      <c r="D112" s="76">
        <f>ABS(B112-C112)/C112</f>
        <v>9.0841720072588157E-4</v>
      </c>
      <c r="E112" s="77">
        <f>N44/4.184</f>
        <v>4.8596559586709356</v>
      </c>
      <c r="F112" s="17">
        <v>4.8600000000000003</v>
      </c>
      <c r="G112" s="78">
        <f>ABS(E112-F112)/F112</f>
        <v>7.0790396926900627E-5</v>
      </c>
      <c r="H112" s="18"/>
      <c r="I112" s="18"/>
      <c r="J112" s="18"/>
      <c r="K112" s="18"/>
      <c r="L112" s="18"/>
      <c r="M112" s="18"/>
      <c r="N112" s="18"/>
      <c r="O112" s="18"/>
    </row>
    <row r="113" spans="1:15" x14ac:dyDescent="0.35">
      <c r="A113" s="70" t="s">
        <v>113</v>
      </c>
      <c r="B113" s="17">
        <f>N58/4.184</f>
        <v>12.890418217145511</v>
      </c>
      <c r="C113" s="17">
        <v>12.89</v>
      </c>
      <c r="D113" s="76">
        <f t="shared" ref="D113:D114" si="13">ABS(B113-C113)/C113</f>
        <v>3.2445084989159738E-5</v>
      </c>
      <c r="E113" s="70">
        <f>N65/4.184</f>
        <v>16.497666593346572</v>
      </c>
      <c r="F113" s="17">
        <v>16.498000000000001</v>
      </c>
      <c r="G113" s="78">
        <f>ABS(E113-F113)/F113</f>
        <v>2.0208913409420844E-5</v>
      </c>
      <c r="H113" s="18"/>
      <c r="I113" s="18"/>
      <c r="J113" s="18"/>
      <c r="K113" s="18"/>
      <c r="L113" s="18"/>
      <c r="M113" s="18"/>
      <c r="N113" s="18"/>
      <c r="O113" s="18"/>
    </row>
    <row r="114" spans="1:15" x14ac:dyDescent="0.35">
      <c r="A114" s="70" t="s">
        <v>114</v>
      </c>
      <c r="B114" s="75">
        <f>K58/4.184</f>
        <v>34.260294581769784</v>
      </c>
      <c r="C114" s="17">
        <v>34.261000000000003</v>
      </c>
      <c r="D114" s="76">
        <f t="shared" si="13"/>
        <v>2.0589540008126237E-5</v>
      </c>
      <c r="E114" s="77">
        <f>K65/4.184</f>
        <v>40.272375208771528</v>
      </c>
      <c r="F114" s="17">
        <v>40.273000000000003</v>
      </c>
      <c r="G114" s="78">
        <f>ABS(E114-F114)/F114</f>
        <v>1.5513898355596034E-5</v>
      </c>
      <c r="H114" s="18"/>
      <c r="I114" s="18"/>
      <c r="J114" s="18"/>
      <c r="K114" s="18"/>
      <c r="L114" s="18"/>
      <c r="M114" s="18"/>
      <c r="N114" s="18"/>
      <c r="O114" s="18"/>
    </row>
    <row r="115" spans="1:15" ht="15" thickBot="1" x14ac:dyDescent="0.4">
      <c r="A115" s="79" t="s">
        <v>115</v>
      </c>
      <c r="B115" s="80">
        <v>0</v>
      </c>
      <c r="C115" s="80">
        <v>0</v>
      </c>
      <c r="D115" s="91">
        <v>0</v>
      </c>
      <c r="E115" s="79">
        <v>0</v>
      </c>
      <c r="F115" s="80">
        <v>0</v>
      </c>
      <c r="G115" s="82">
        <v>0</v>
      </c>
      <c r="H115" s="18"/>
      <c r="I115" s="18"/>
      <c r="J115" s="18"/>
      <c r="K115" s="18"/>
      <c r="L115" s="18"/>
      <c r="M115" s="18"/>
      <c r="N115" s="18"/>
      <c r="O115" s="18"/>
    </row>
    <row r="116" spans="1:15" ht="15" thickBot="1" x14ac:dyDescent="0.4">
      <c r="A116" s="34" t="s">
        <v>126</v>
      </c>
      <c r="B116" s="83">
        <f>SUM(B112:B115)</f>
        <v>47.235790014377358</v>
      </c>
      <c r="C116" s="38">
        <f>SUM(C112:C115)</f>
        <v>47.236000000000004</v>
      </c>
      <c r="D116" s="84">
        <f>ABS(B116-C116)/C116</f>
        <v>4.4454573343744924E-6</v>
      </c>
      <c r="E116" s="85">
        <f>SUM(E112:E115)</f>
        <v>61.629697760789035</v>
      </c>
      <c r="F116" s="86">
        <f>SUM(F112:F114)</f>
        <v>61.631</v>
      </c>
      <c r="G116" s="87">
        <f>ABS(E116-F116)/F116</f>
        <v>2.1129613521843366E-5</v>
      </c>
      <c r="H116" s="18"/>
      <c r="I116" s="18"/>
      <c r="J116" s="18"/>
      <c r="K116" s="18"/>
      <c r="L116" s="18"/>
      <c r="M116" s="18"/>
      <c r="N116" s="18"/>
      <c r="O116" s="18"/>
    </row>
    <row r="117" spans="1:15" x14ac:dyDescent="0.35">
      <c r="A117" s="36"/>
      <c r="B117" s="18"/>
      <c r="C117" s="18"/>
      <c r="D117" s="18"/>
      <c r="E117" s="88"/>
      <c r="F117" s="89"/>
      <c r="G117" s="90"/>
      <c r="H117" s="18"/>
      <c r="I117" s="18"/>
      <c r="J117" s="18"/>
      <c r="K117" s="18"/>
      <c r="L117" s="18"/>
      <c r="M117" s="18"/>
      <c r="N117" s="18"/>
      <c r="O117" s="18"/>
    </row>
    <row r="118" spans="1:15" x14ac:dyDescent="0.35">
      <c r="A118" s="70" t="s">
        <v>105</v>
      </c>
      <c r="B118" s="75">
        <f>D80/4.184</f>
        <v>0.49898755009622225</v>
      </c>
      <c r="C118" s="17">
        <v>0.499</v>
      </c>
      <c r="D118" s="76">
        <f>ABS(B118-C118)/C118</f>
        <v>2.4949706969428452E-5</v>
      </c>
      <c r="E118" s="77">
        <f>D87/4.184</f>
        <v>8.8887516283415362</v>
      </c>
      <c r="F118" s="17">
        <v>8.8889999999999993</v>
      </c>
      <c r="G118" s="78">
        <f>ABS(E118-F118)/F118</f>
        <v>2.7941462308824658E-5</v>
      </c>
      <c r="H118" s="18"/>
      <c r="I118" s="18"/>
      <c r="J118" s="18"/>
      <c r="K118" s="18"/>
      <c r="L118" s="18"/>
      <c r="M118" s="18"/>
      <c r="N118" s="18"/>
      <c r="O118" s="18"/>
    </row>
    <row r="119" spans="1:15" x14ac:dyDescent="0.35">
      <c r="A119" s="70" t="s">
        <v>118</v>
      </c>
      <c r="B119" s="75">
        <f>B80/4.184</f>
        <v>2.9808063879063096</v>
      </c>
      <c r="C119" s="17">
        <v>2.9809999999999999</v>
      </c>
      <c r="D119" s="76">
        <f t="shared" ref="D119:D120" si="14">ABS(B119-C119)/C119</f>
        <v>6.4948706370441945E-5</v>
      </c>
      <c r="E119" s="77">
        <f>B87/4.184</f>
        <v>2.9808063879063096</v>
      </c>
      <c r="F119" s="17">
        <v>2.9809999999999999</v>
      </c>
      <c r="G119" s="78">
        <f>ABS(E119-F119)/F119</f>
        <v>6.4948706370441945E-5</v>
      </c>
      <c r="H119" s="18"/>
      <c r="I119" s="92"/>
      <c r="J119" s="18"/>
      <c r="K119" s="18"/>
      <c r="L119" s="18"/>
      <c r="M119" s="18"/>
      <c r="N119" s="18"/>
      <c r="O119" s="18"/>
    </row>
    <row r="120" spans="1:15" x14ac:dyDescent="0.35">
      <c r="A120" s="70" t="s">
        <v>119</v>
      </c>
      <c r="B120" s="75">
        <f>C80/4.184</f>
        <v>2.9808063879063096</v>
      </c>
      <c r="C120" s="17">
        <v>2.9809999999999999</v>
      </c>
      <c r="D120" s="76">
        <f t="shared" si="14"/>
        <v>6.4948706370441945E-5</v>
      </c>
      <c r="E120" s="77">
        <f>C87/4.184</f>
        <v>2.9808063879063096</v>
      </c>
      <c r="F120" s="17">
        <v>2.9809999999999999</v>
      </c>
      <c r="G120" s="78">
        <f>ABS(E120-F120)/F120</f>
        <v>6.4948706370441945E-5</v>
      </c>
      <c r="H120" s="18"/>
      <c r="I120" s="18"/>
      <c r="J120" s="18"/>
      <c r="K120" s="18"/>
      <c r="L120" s="18"/>
      <c r="M120" s="18"/>
      <c r="N120" s="18"/>
      <c r="O120" s="18"/>
    </row>
    <row r="121" spans="1:15" ht="15" thickBot="1" x14ac:dyDescent="0.4">
      <c r="A121" s="79" t="s">
        <v>120</v>
      </c>
      <c r="B121" s="80">
        <v>0</v>
      </c>
      <c r="C121" s="80">
        <v>0</v>
      </c>
      <c r="D121" s="91">
        <v>0</v>
      </c>
      <c r="E121" s="93">
        <v>0</v>
      </c>
      <c r="F121" s="22">
        <v>0</v>
      </c>
      <c r="G121" s="94">
        <v>0</v>
      </c>
      <c r="H121" s="18"/>
      <c r="I121" s="18"/>
      <c r="J121" s="18"/>
      <c r="K121" s="18"/>
      <c r="L121" s="18"/>
      <c r="M121" s="18"/>
      <c r="N121" s="18"/>
      <c r="O121" s="18"/>
    </row>
    <row r="122" spans="1:15" ht="15" thickBot="1" x14ac:dyDescent="0.4">
      <c r="A122" s="34" t="s">
        <v>127</v>
      </c>
      <c r="B122" s="83">
        <f>SUM(B118:B121)</f>
        <v>6.4606003259088416</v>
      </c>
      <c r="C122" s="38">
        <f>SUM(C118:C120)</f>
        <v>6.4610000000000003</v>
      </c>
      <c r="D122" s="84">
        <f>ABS(B122-C122)/C122</f>
        <v>6.1859478588253858E-5</v>
      </c>
      <c r="E122" s="85">
        <f>SUM(E118:E121)</f>
        <v>14.850364404154154</v>
      </c>
      <c r="F122" s="86">
        <f>SUM(F118:F120)</f>
        <v>14.850999999999999</v>
      </c>
      <c r="G122" s="87">
        <f>ABS(E122-F122)/F122</f>
        <v>4.2798185027580997E-5</v>
      </c>
      <c r="H122" s="18"/>
      <c r="I122" s="18"/>
      <c r="J122" s="18"/>
      <c r="K122" s="18"/>
      <c r="L122" s="18"/>
      <c r="M122" s="18"/>
      <c r="N122" s="18"/>
      <c r="O122" s="18"/>
    </row>
    <row r="123" spans="1:15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ht="37" x14ac:dyDescent="0.35">
      <c r="A125" s="6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x14ac:dyDescent="0.35">
      <c r="A127" s="18"/>
      <c r="B127" s="18"/>
      <c r="C127" s="18"/>
      <c r="D127" s="18"/>
      <c r="E127" s="18"/>
      <c r="F127" s="18"/>
      <c r="G127" s="18"/>
      <c r="H127" s="47"/>
      <c r="I127" s="18"/>
      <c r="J127" s="18"/>
      <c r="K127" s="18"/>
      <c r="L127" s="18"/>
      <c r="M127" s="18"/>
      <c r="N127" s="18"/>
      <c r="O127" s="18"/>
    </row>
    <row r="128" spans="1:15" x14ac:dyDescent="0.35">
      <c r="A128" s="18"/>
      <c r="B128" s="18"/>
      <c r="C128" s="18"/>
      <c r="D128" s="18"/>
      <c r="E128" s="18"/>
      <c r="F128" s="95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x14ac:dyDescent="0.35">
      <c r="A129" s="18"/>
      <c r="B129" s="18"/>
      <c r="C129" s="18"/>
      <c r="D129" s="18"/>
      <c r="E129" s="18"/>
      <c r="F129" s="95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x14ac:dyDescent="0.35">
      <c r="A130" s="18"/>
      <c r="B130" s="18"/>
      <c r="C130" s="18"/>
      <c r="D130" s="18"/>
      <c r="E130" s="18"/>
      <c r="F130" s="18"/>
      <c r="G130" s="47"/>
      <c r="H130" s="18"/>
      <c r="I130" s="18"/>
      <c r="J130" s="18"/>
      <c r="K130" s="18"/>
      <c r="L130" s="18"/>
      <c r="M130" s="18"/>
      <c r="N130" s="18"/>
      <c r="O130" s="18"/>
    </row>
    <row r="131" spans="1:15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x14ac:dyDescent="0.35">
      <c r="H133" s="3"/>
    </row>
    <row r="134" spans="1:15" x14ac:dyDescent="0.35">
      <c r="F134" s="10"/>
    </row>
    <row r="136" spans="1:15" x14ac:dyDescent="0.35">
      <c r="G136" s="3"/>
    </row>
    <row r="140" spans="1:15" x14ac:dyDescent="0.35">
      <c r="H140" s="3"/>
    </row>
    <row r="143" spans="1:15" x14ac:dyDescent="0.35">
      <c r="G143" s="3"/>
    </row>
    <row r="147" spans="1:8" ht="41.5" customHeight="1" x14ac:dyDescent="0.35">
      <c r="A147" s="2"/>
    </row>
    <row r="149" spans="1:8" x14ac:dyDescent="0.35">
      <c r="E149" s="3"/>
      <c r="G149" s="3"/>
      <c r="H149" s="3"/>
    </row>
    <row r="150" spans="1:8" x14ac:dyDescent="0.35">
      <c r="B150" s="1"/>
      <c r="C150" s="1"/>
      <c r="E150" s="11"/>
      <c r="F150" s="10"/>
      <c r="G150" s="1"/>
    </row>
    <row r="151" spans="1:8" x14ac:dyDescent="0.35">
      <c r="E151" s="11"/>
      <c r="F151" s="10"/>
    </row>
    <row r="152" spans="1:8" x14ac:dyDescent="0.35">
      <c r="A152" s="1"/>
      <c r="B152" s="1"/>
      <c r="C152" s="1"/>
      <c r="E152" s="11"/>
      <c r="G152" s="3"/>
    </row>
    <row r="153" spans="1:8" x14ac:dyDescent="0.35">
      <c r="E153" s="12"/>
      <c r="G153" s="13"/>
    </row>
    <row r="155" spans="1:8" x14ac:dyDescent="0.35">
      <c r="G155" s="3"/>
      <c r="H155" s="3"/>
    </row>
    <row r="156" spans="1:8" x14ac:dyDescent="0.35">
      <c r="B156" s="1"/>
      <c r="E156" s="11"/>
      <c r="F156" s="10"/>
      <c r="G156" s="1"/>
    </row>
    <row r="157" spans="1:8" x14ac:dyDescent="0.35">
      <c r="E157" s="11"/>
    </row>
    <row r="158" spans="1:8" x14ac:dyDescent="0.35">
      <c r="B158" s="1"/>
      <c r="E158" s="11"/>
      <c r="G158" s="3"/>
    </row>
    <row r="159" spans="1:8" x14ac:dyDescent="0.35">
      <c r="E159" s="12"/>
      <c r="G159" s="13"/>
    </row>
    <row r="161" spans="2:5" x14ac:dyDescent="0.35">
      <c r="B161" s="1"/>
    </row>
    <row r="162" spans="2:5" x14ac:dyDescent="0.35">
      <c r="B162" s="1"/>
      <c r="D162" s="3"/>
      <c r="E162" s="3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3"/>
    </row>
    <row r="166" spans="2:5" x14ac:dyDescent="0.35">
      <c r="B166" s="1"/>
      <c r="D166" s="13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4" spans="2:5" x14ac:dyDescent="0.35">
      <c r="B174" s="1"/>
    </row>
    <row r="175" spans="2:5" x14ac:dyDescent="0.35">
      <c r="B175" s="1"/>
    </row>
    <row r="176" spans="2:5" x14ac:dyDescent="0.35">
      <c r="B176" s="1"/>
    </row>
    <row r="177" spans="1:2" x14ac:dyDescent="0.35">
      <c r="B177" s="1"/>
    </row>
    <row r="178" spans="1:2" x14ac:dyDescent="0.35">
      <c r="A178" s="14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435-8E5F-4ECB-A87D-2F27BF820E94}">
  <dimension ref="A1:X178"/>
  <sheetViews>
    <sheetView zoomScale="85" zoomScaleNormal="85" workbookViewId="0">
      <selection activeCell="C58" sqref="C58:C75"/>
    </sheetView>
  </sheetViews>
  <sheetFormatPr defaultColWidth="9.1796875" defaultRowHeight="14.5" x14ac:dyDescent="0.35"/>
  <cols>
    <col min="1" max="1" width="15.81640625" style="18" customWidth="1"/>
    <col min="2" max="2" width="21.54296875" style="18" bestFit="1" customWidth="1"/>
    <col min="3" max="3" width="15.7265625" style="18" customWidth="1"/>
    <col min="4" max="4" width="19.453125" style="18" customWidth="1"/>
    <col min="5" max="5" width="20.1796875" style="18" bestFit="1" customWidth="1"/>
    <col min="6" max="6" width="14.7265625" style="18" customWidth="1"/>
    <col min="7" max="8" width="24.81640625" style="18" bestFit="1" customWidth="1"/>
    <col min="9" max="9" width="24.7265625" style="18" bestFit="1" customWidth="1"/>
    <col min="10" max="10" width="13.7265625" style="18" customWidth="1"/>
    <col min="11" max="11" width="14.26953125" style="18" customWidth="1"/>
    <col min="12" max="13" width="13.7265625" style="18" customWidth="1"/>
    <col min="14" max="14" width="14.54296875" style="18" bestFit="1" customWidth="1"/>
    <col min="15" max="15" width="13.7265625" style="18" customWidth="1"/>
    <col min="16" max="16" width="13.453125" style="18" customWidth="1"/>
    <col min="17" max="19" width="14.54296875" style="18" bestFit="1" customWidth="1"/>
    <col min="20" max="24" width="13.453125" style="18" bestFit="1" customWidth="1"/>
    <col min="25" max="16384" width="9.1796875" style="18"/>
  </cols>
  <sheetData>
    <row r="1" spans="1:11" x14ac:dyDescent="0.3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11" x14ac:dyDescent="0.35">
      <c r="A2" s="18">
        <f>PI()</f>
        <v>3.1415926535897931</v>
      </c>
      <c r="B2" s="32">
        <f>1.66E-27*Tabella348[[#This Row],[Massa '[g/mol']]]</f>
        <v>2.9897529599999999E-26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18.010560000000002</v>
      </c>
      <c r="H2" s="18">
        <v>3</v>
      </c>
    </row>
    <row r="6" spans="1:11" x14ac:dyDescent="0.35">
      <c r="G6" s="48" t="s">
        <v>103</v>
      </c>
      <c r="H6" s="48" t="s">
        <v>103</v>
      </c>
      <c r="I6" s="48" t="s">
        <v>104</v>
      </c>
    </row>
    <row r="7" spans="1:11" x14ac:dyDescent="0.35">
      <c r="G7" s="18">
        <v>39.946860000000001</v>
      </c>
      <c r="H7" s="18">
        <v>20.304500000000001</v>
      </c>
      <c r="I7" s="18">
        <v>13.46195</v>
      </c>
    </row>
    <row r="8" spans="1:11" x14ac:dyDescent="0.35">
      <c r="A8" s="18" t="s">
        <v>11</v>
      </c>
      <c r="B8" s="18" t="s">
        <v>12</v>
      </c>
      <c r="C8" s="18" t="s">
        <v>13</v>
      </c>
      <c r="G8" s="32"/>
      <c r="H8" s="32"/>
      <c r="I8" s="32"/>
    </row>
    <row r="9" spans="1:11" x14ac:dyDescent="0.35">
      <c r="A9" s="18">
        <v>2</v>
      </c>
      <c r="B9" s="18">
        <v>1</v>
      </c>
      <c r="C9" s="18">
        <v>0</v>
      </c>
    </row>
    <row r="10" spans="1:11" x14ac:dyDescent="0.35">
      <c r="B10" s="18" t="s">
        <v>22</v>
      </c>
      <c r="C10" s="18" t="s">
        <v>23</v>
      </c>
      <c r="D10" s="18" t="s">
        <v>24</v>
      </c>
    </row>
    <row r="11" spans="1:11" x14ac:dyDescent="0.35">
      <c r="B11" s="18">
        <v>1603.5082</v>
      </c>
      <c r="C11" s="18">
        <v>3806.1278000000002</v>
      </c>
      <c r="D11" s="18">
        <v>3928.4319</v>
      </c>
    </row>
    <row r="12" spans="1:11" x14ac:dyDescent="0.35">
      <c r="B12" s="18" t="s">
        <v>22</v>
      </c>
      <c r="C12" s="18" t="s">
        <v>23</v>
      </c>
      <c r="D12" s="18" t="s">
        <v>24</v>
      </c>
    </row>
    <row r="13" spans="1:11" x14ac:dyDescent="0.35">
      <c r="B13" s="18" cm="1">
        <f t="array" ref="B13">Tabella93162[Frequenza1]*29979300000</f>
        <v>48072053380260</v>
      </c>
      <c r="C13" s="18" cm="1">
        <f t="array" ref="C13">Tabella93162[Frequenza2]*29979300000</f>
        <v>114105047154540</v>
      </c>
      <c r="D13" s="18" cm="1">
        <f t="array" ref="D13">Tabella93162[Frequenza3]*29979300000</f>
        <v>117771638459670</v>
      </c>
    </row>
    <row r="14" spans="1:11" x14ac:dyDescent="0.35">
      <c r="A14" s="18" t="s">
        <v>6</v>
      </c>
      <c r="B14" s="18" t="s">
        <v>31</v>
      </c>
      <c r="C14" s="18" t="s">
        <v>14</v>
      </c>
      <c r="D14" s="18" t="s">
        <v>15</v>
      </c>
      <c r="E14" s="50" t="s">
        <v>32</v>
      </c>
      <c r="G14" s="18" t="s">
        <v>6</v>
      </c>
      <c r="H14" s="18" t="s">
        <v>31</v>
      </c>
      <c r="I14" s="18" t="s">
        <v>14</v>
      </c>
      <c r="J14" s="18" t="s">
        <v>15</v>
      </c>
      <c r="K14" s="50" t="s">
        <v>32</v>
      </c>
    </row>
    <row r="15" spans="1:11" x14ac:dyDescent="0.35">
      <c r="A15" s="18">
        <v>298.14999999999998</v>
      </c>
      <c r="B15" s="32" cm="1">
        <f t="array" ref="B15">(EXP(-(Tabella333[Planck h]*Tabella953[Frequenza1])/(2*Tabella348[Boltzmann k]*Tabella852[[#This Row],[Temperatura]])))/(1-EXP(-(Tabella348[Planck h]*Tabella953[Frequenza1])/(Tabella348[Boltzmann k]*Tabella852[[#This Row],[Temperatura]])))</f>
        <v>2.0888010990302873E-2</v>
      </c>
      <c r="C15" s="32" cm="1">
        <f t="array" ref="C15">(EXP(-(Tabella333[Planck h]*Tabella953[Frequenza2])/(2*Tabella348[Boltzmann k]*Tabella852[[#This Row],[Temperatura]])))/(1-EXP(-(Tabella348[Planck h]*Tabella953[Frequenza2])/(Tabella348[Boltzmann k]*Tabella852[[#This Row],[Temperatura]])))</f>
        <v>1.0271067245541517E-4</v>
      </c>
      <c r="D15" s="32" cm="1">
        <f t="array" ref="D15">(EXP(-(Tabella348[Planck h]*Tabella953[Frequenza3])/(2*Tabella348[Boltzmann k]*Tabella852[[#This Row],[Temperatura]])))/(1-EXP(-(Tabella348[Planck h]*Tabella953[Frequenza3])/(Tabella348[Boltzmann k]*Tabella852[[#This Row],[Temperatura]])))</f>
        <v>7.646363361753835E-5</v>
      </c>
      <c r="E15" s="51">
        <f>PRODUCT(B15,C15,D15)</f>
        <v>1.6404673538841369E-10</v>
      </c>
      <c r="G15" s="18">
        <v>298.14999999999998</v>
      </c>
      <c r="H15" s="32" cm="1">
        <f t="array" ref="H15">(EXP(-(Tabella333[Planck h]*Tabella953[Frequenza1])/(2*Tabella348[Boltzmann k]*Tabella85218[[#This Row],[Temperatura]])))/(1-EXP(-(Tabella348[Planck h]*Tabella953[Frequenza1])/(Tabella348[Boltzmann k]*Tabella85218[[#This Row],[Temperatura]])))</f>
        <v>2.0888010990302873E-2</v>
      </c>
      <c r="I15" s="32" cm="1">
        <f t="array" ref="I15">(EXP(-(Tabella333[Planck h]*Tabella953[Frequenza2])/(2*Tabella348[Boltzmann k]*Tabella85218[[#This Row],[Temperatura]])))/(1-EXP(-(Tabella348[Planck h]*Tabella953[Frequenza2])/(Tabella348[Boltzmann k]*Tabella85218[[#This Row],[Temperatura]])))</f>
        <v>1.0271067245541517E-4</v>
      </c>
      <c r="J15" s="32" cm="1">
        <f t="array" ref="J15">(EXP(-(Tabella348[Planck h]*Tabella953[Frequenza3])/(2*Tabella348[Boltzmann k]*Tabella85218[[#This Row],[Temperatura]])))/(1-EXP(-(Tabella348[Planck h]*Tabella953[Frequenza3])/(Tabella348[Boltzmann k]*Tabella85218[[#This Row],[Temperatura]])))</f>
        <v>7.646363361753835E-5</v>
      </c>
      <c r="K15" s="51">
        <f>PRODUCT(H15,I15,J15)</f>
        <v>1.6404673538841369E-10</v>
      </c>
    </row>
    <row r="16" spans="1:11" x14ac:dyDescent="0.35">
      <c r="A16" s="18">
        <v>400</v>
      </c>
      <c r="B16" s="32" cm="1">
        <f t="array" ref="B16">(EXP(-(Tabella333[Planck h]*Tabella953[Frequenza1])/(2*Tabella348[Boltzmann k]*Tabella852[[#This Row],[Temperatura]])))/(1-EXP(-(Tabella348[Planck h]*Tabella953[Frequenza1])/(Tabella348[Boltzmann k]*Tabella852[[#This Row],[Temperatura]])))</f>
        <v>5.6093461097076552E-2</v>
      </c>
      <c r="C16" s="32" cm="1">
        <f t="array" ref="C16">(EXP(-(Tabella333[Planck h]*Tabella953[Frequenza2])/(2*Tabella348[Boltzmann k]*Tabella852[[#This Row],[Temperatura]])))/(1-EXP(-(Tabella348[Planck h]*Tabella953[Frequenza2])/(Tabella348[Boltzmann k]*Tabella852[[#This Row],[Temperatura]])))</f>
        <v>1.0645313264841436E-3</v>
      </c>
      <c r="D16" s="32" cm="1">
        <f t="array" ref="D16">(EXP(-(Tabella348[Planck h]*Tabella953[Frequenza3])/(2*Tabella348[Boltzmann k]*Tabella852[[#This Row],[Temperatura]])))/(1-EXP(-(Tabella348[Planck h]*Tabella953[Frequenza3])/(Tabella348[Boltzmann k]*Tabella852[[#This Row],[Temperatura]])))</f>
        <v>8.5433959632257852E-4</v>
      </c>
      <c r="E16" s="51">
        <f t="shared" ref="E16:E32" si="0">PRODUCT(B16,C16,D16)</f>
        <v>5.1015390951576178E-8</v>
      </c>
      <c r="G16" s="18">
        <v>300</v>
      </c>
      <c r="H16" s="32" cm="1">
        <f t="array" ref="H16">(EXP(-(Tabella333[Planck h]*Tabella953[Frequenza1])/(2*Tabella348[Boltzmann k]*Tabella85218[[#This Row],[Temperatura]])))/(1-EXP(-(Tabella348[Planck h]*Tabella953[Frequenza1])/(Tabella348[Boltzmann k]*Tabella85218[[#This Row],[Temperatura]])))</f>
        <v>2.1392825410205818E-2</v>
      </c>
      <c r="I16" s="32" cm="1">
        <f t="array" ref="I16">(EXP(-(Tabella333[Planck h]*Tabella953[Frequenza2])/(2*Tabella348[Boltzmann k]*Tabella85218[[#This Row],[Temperatura]])))/(1-EXP(-(Tabella348[Planck h]*Tabella953[Frequenza2])/(Tabella348[Boltzmann k]*Tabella85218[[#This Row],[Temperatura]])))</f>
        <v>1.0869526118987846E-4</v>
      </c>
      <c r="J16" s="32" cm="1">
        <f t="array" ref="J16">(EXP(-(Tabella348[Planck h]*Tabella953[Frequenza3])/(2*Tabella348[Boltzmann k]*Tabella85218[[#This Row],[Temperatura]])))/(1-EXP(-(Tabella348[Planck h]*Tabella953[Frequenza3])/(Tabella348[Boltzmann k]*Tabella85218[[#This Row],[Temperatura]])))</f>
        <v>8.1066289220414382E-5</v>
      </c>
      <c r="K16" s="51">
        <f t="shared" ref="K16:K32" si="1">PRODUCT(H16,I16,J16)</f>
        <v>1.8850334063076819E-10</v>
      </c>
    </row>
    <row r="17" spans="1:11" x14ac:dyDescent="0.35">
      <c r="A17" s="18">
        <v>500</v>
      </c>
      <c r="B17" s="32" cm="1">
        <f t="array" ref="B17">(EXP(-(Tabella333[Planck h]*Tabella953[Frequenza1])/(2*Tabella348[Boltzmann k]*Tabella852[[#This Row],[Temperatura]])))/(1-EXP(-(Tabella348[Planck h]*Tabella953[Frequenza1])/(Tabella348[Boltzmann k]*Tabella852[[#This Row],[Temperatura]])))</f>
        <v>0.10054654223658623</v>
      </c>
      <c r="C17" s="32" cm="1">
        <f t="array" ref="C17">(EXP(-(Tabella333[Planck h]*Tabella953[Frequenza2])/(2*Tabella348[Boltzmann k]*Tabella852[[#This Row],[Temperatura]])))/(1-EXP(-(Tabella348[Planck h]*Tabella953[Frequenza2])/(Tabella348[Boltzmann k]*Tabella852[[#This Row],[Temperatura]])))</f>
        <v>4.1853710952327611E-3</v>
      </c>
      <c r="D17" s="32" cm="1">
        <f t="array" ref="D17">(EXP(-(Tabella348[Planck h]*Tabella953[Frequenza3])/(2*Tabella348[Boltzmann k]*Tabella852[[#This Row],[Temperatura]])))/(1-EXP(-(Tabella348[Planck h]*Tabella953[Frequenza3])/(Tabella348[Boltzmann k]*Tabella852[[#This Row],[Temperatura]])))</f>
        <v>3.5100194666567133E-3</v>
      </c>
      <c r="E17" s="51">
        <f t="shared" si="0"/>
        <v>1.4771025085730153E-6</v>
      </c>
      <c r="G17" s="18">
        <v>310</v>
      </c>
      <c r="H17" s="32" cm="1">
        <f t="array" ref="H17">(EXP(-(Tabella333[Planck h]*Tabella953[Frequenza1])/(2*Tabella348[Boltzmann k]*Tabella85218[[#This Row],[Temperatura]])))/(1-EXP(-(Tabella348[Planck h]*Tabella953[Frequenza1])/(Tabella348[Boltzmann k]*Tabella85218[[#This Row],[Temperatura]])))</f>
        <v>2.4221041328210763E-2</v>
      </c>
      <c r="I17" s="32" cm="1">
        <f t="array" ref="I17">(EXP(-(Tabella333[Planck h]*Tabella953[Frequenza2])/(2*Tabella348[Boltzmann k]*Tabella85218[[#This Row],[Temperatura]])))/(1-EXP(-(Tabella348[Planck h]*Tabella953[Frequenza2])/(Tabella348[Boltzmann k]*Tabella85218[[#This Row],[Temperatura]])))</f>
        <v>1.4590655001271133E-4</v>
      </c>
      <c r="J17" s="32" cm="1">
        <f t="array" ref="J17">(EXP(-(Tabella348[Planck h]*Tabella953[Frequenza3])/(2*Tabella348[Boltzmann k]*Tabella85218[[#This Row],[Temperatura]])))/(1-EXP(-(Tabella348[Planck h]*Tabella953[Frequenza3])/(Tabella348[Boltzmann k]*Tabella85218[[#This Row],[Temperatura]])))</f>
        <v>1.0985332082848527E-4</v>
      </c>
      <c r="K17" s="51">
        <f t="shared" si="1"/>
        <v>3.8822257812026405E-10</v>
      </c>
    </row>
    <row r="18" spans="1:11" x14ac:dyDescent="0.35">
      <c r="A18" s="18">
        <v>600</v>
      </c>
      <c r="B18" s="32" cm="1">
        <f t="array" ref="B18">(EXP(-(Tabella333[Planck h]*Tabella953[Frequenza1])/(2*Tabella348[Boltzmann k]*Tabella852[[#This Row],[Temperatura]])))/(1-EXP(-(Tabella348[Planck h]*Tabella953[Frequenza1])/(Tabella348[Boltzmann k]*Tabella852[[#This Row],[Temperatura]])))</f>
        <v>0.14942457426984876</v>
      </c>
      <c r="C18" s="32" cm="1">
        <f t="array" ref="C18">(EXP(-(Tabella333[Planck h]*Tabella953[Frequenza2])/(2*Tabella348[Boltzmann k]*Tabella852[[#This Row],[Temperatura]])))/(1-EXP(-(Tabella348[Planck h]*Tabella953[Frequenza2])/(Tabella348[Boltzmann k]*Tabella852[[#This Row],[Temperatura]])))</f>
        <v>1.0426835237879409E-2</v>
      </c>
      <c r="D18" s="32" cm="1">
        <f t="array" ref="D18">(EXP(-(Tabella348[Planck h]*Tabella953[Frequenza3])/(2*Tabella348[Boltzmann k]*Tabella852[[#This Row],[Temperatura]])))/(1-EXP(-(Tabella348[Planck h]*Tabella953[Frequenza3])/(Tabella348[Boltzmann k]*Tabella852[[#This Row],[Temperatura]])))</f>
        <v>9.0044119059716488E-3</v>
      </c>
      <c r="E18" s="51">
        <f t="shared" si="0"/>
        <v>1.4029102609256496E-5</v>
      </c>
      <c r="G18" s="18">
        <v>320</v>
      </c>
      <c r="H18" s="32" cm="1">
        <f t="array" ref="H18">(EXP(-(Tabella333[Planck h]*Tabella953[Frequenza1])/(2*Tabella348[Boltzmann k]*Tabella85218[[#This Row],[Temperatura]])))/(1-EXP(-(Tabella348[Planck h]*Tabella953[Frequenza1])/(Tabella348[Boltzmann k]*Tabella85218[[#This Row],[Temperatura]])))</f>
        <v>2.7212059904432751E-2</v>
      </c>
      <c r="I18" s="32" cm="1">
        <f t="array" ref="I18">(EXP(-(Tabella333[Planck h]*Tabella953[Frequenza2])/(2*Tabella348[Boltzmann k]*Tabella85218[[#This Row],[Temperatura]])))/(1-EXP(-(Tabella348[Planck h]*Tabella953[Frequenza2])/(Tabella348[Boltzmann k]*Tabella85218[[#This Row],[Temperatura]])))</f>
        <v>1.9228590851781688E-4</v>
      </c>
      <c r="J18" s="32" cm="1">
        <f t="array" ref="J18">(EXP(-(Tabella348[Planck h]*Tabella953[Frequenza3])/(2*Tabella348[Boltzmann k]*Tabella85218[[#This Row],[Temperatura]])))/(1-EXP(-(Tabella348[Planck h]*Tabella953[Frequenza3])/(Tabella348[Boltzmann k]*Tabella85218[[#This Row],[Temperatura]])))</f>
        <v>1.4606218126616308E-4</v>
      </c>
      <c r="K18" s="51">
        <f t="shared" si="1"/>
        <v>7.6426972976472236E-10</v>
      </c>
    </row>
    <row r="19" spans="1:11" x14ac:dyDescent="0.35">
      <c r="A19" s="18">
        <v>700</v>
      </c>
      <c r="B19" s="32" cm="1">
        <f t="array" ref="B19">(EXP(-(Tabella333[Planck h]*Tabella953[Frequenza1])/(2*Tabella348[Boltzmann k]*Tabella852[[#This Row],[Temperatura]])))/(1-EXP(-(Tabella348[Planck h]*Tabella953[Frequenza1])/(Tabella348[Boltzmann k]*Tabella852[[#This Row],[Temperatura]])))</f>
        <v>0.19985072461948372</v>
      </c>
      <c r="C19" s="32" cm="1">
        <f t="array" ref="C19">(EXP(-(Tabella333[Planck h]*Tabella953[Frequenza2])/(2*Tabella348[Boltzmann k]*Tabella852[[#This Row],[Temperatura]])))/(1-EXP(-(Tabella348[Planck h]*Tabella953[Frequenza2])/(Tabella348[Boltzmann k]*Tabella852[[#This Row],[Temperatura]])))</f>
        <v>2.0017370692943581E-2</v>
      </c>
      <c r="D19" s="32" cm="1">
        <f t="array" ref="D19">(EXP(-(Tabella348[Planck h]*Tabella953[Frequenza3])/(2*Tabella348[Boltzmann k]*Tabella852[[#This Row],[Temperatura]])))/(1-EXP(-(Tabella348[Planck h]*Tabella953[Frequenza3])/(Tabella348[Boltzmann k]*Tabella852[[#This Row],[Temperatura]])))</f>
        <v>1.7651478617852948E-2</v>
      </c>
      <c r="E19" s="51">
        <f t="shared" si="0"/>
        <v>7.061449376009829E-5</v>
      </c>
      <c r="G19" s="18">
        <v>330</v>
      </c>
      <c r="H19" s="32" cm="1">
        <f t="array" ref="H19">(EXP(-(Tabella333[Planck h]*Tabella953[Frequenza1])/(2*Tabella348[Boltzmann k]*Tabella85218[[#This Row],[Temperatura]])))/(1-EXP(-(Tabella348[Planck h]*Tabella953[Frequenza1])/(Tabella348[Boltzmann k]*Tabella85218[[#This Row],[Temperatura]])))</f>
        <v>3.0358555256583427E-2</v>
      </c>
      <c r="I19" s="32" cm="1">
        <f t="array" ref="I19">(EXP(-(Tabella333[Planck h]*Tabella953[Frequenza2])/(2*Tabella348[Boltzmann k]*Tabella85218[[#This Row],[Temperatura]])))/(1-EXP(-(Tabella348[Planck h]*Tabella953[Frequenza2])/(Tabella348[Boltzmann k]*Tabella85218[[#This Row],[Temperatura]])))</f>
        <v>2.4920406529112217E-4</v>
      </c>
      <c r="J19" s="32" cm="1">
        <f t="array" ref="J19">(EXP(-(Tabella348[Planck h]*Tabella953[Frequenza3])/(2*Tabella348[Boltzmann k]*Tabella85218[[#This Row],[Temperatura]])))/(1-EXP(-(Tabella348[Planck h]*Tabella953[Frequenza3])/(Tabella348[Boltzmann k]*Tabella85218[[#This Row],[Temperatura]])))</f>
        <v>1.9088153407997787E-4</v>
      </c>
      <c r="K19" s="51">
        <f t="shared" si="1"/>
        <v>1.4441095477823558E-9</v>
      </c>
    </row>
    <row r="20" spans="1:11" x14ac:dyDescent="0.35">
      <c r="A20" s="18">
        <v>800</v>
      </c>
      <c r="B20" s="32" cm="1">
        <f t="array" ref="B20">(EXP(-(Tabella333[Planck h]*Tabella953[Frequenza1])/(2*Tabella348[Boltzmann k]*Tabella852[[#This Row],[Temperatura]])))/(1-EXP(-(Tabella348[Planck h]*Tabella953[Frequenza1])/(Tabella348[Boltzmann k]*Tabella852[[#This Row],[Temperatura]])))</f>
        <v>0.25047615376047938</v>
      </c>
      <c r="C20" s="32" cm="1">
        <f t="array" ref="C20">(EXP(-(Tabella333[Planck h]*Tabella953[Frequenza2])/(2*Tabella348[Boltzmann k]*Tabella852[[#This Row],[Temperatura]])))/(1-EXP(-(Tabella348[Planck h]*Tabella953[Frequenza2])/(Tabella348[Boltzmann k]*Tabella852[[#This Row],[Temperatura]])))</f>
        <v>3.2661907370554882E-2</v>
      </c>
      <c r="D20" s="32" cm="1">
        <f t="array" ref="D20">(EXP(-(Tabella348[Planck h]*Tabella953[Frequenza3])/(2*Tabella348[Boltzmann k]*Tabella852[[#This Row],[Temperatura]])))/(1-EXP(-(Tabella348[Planck h]*Tabella953[Frequenza3])/(Tabella348[Boltzmann k]*Tabella852[[#This Row],[Temperatura]])))</f>
        <v>2.925407041373413E-2</v>
      </c>
      <c r="E20" s="51">
        <f t="shared" si="0"/>
        <v>2.3932839645276279E-4</v>
      </c>
      <c r="G20" s="18">
        <v>340</v>
      </c>
      <c r="H20" s="32" cm="1">
        <f t="array" ref="H20">(EXP(-(Tabella333[Planck h]*Tabella953[Frequenza1])/(2*Tabella348[Boltzmann k]*Tabella85218[[#This Row],[Temperatura]])))/(1-EXP(-(Tabella348[Planck h]*Tabella953[Frequenza1])/(Tabella348[Boltzmann k]*Tabella85218[[#This Row],[Temperatura]])))</f>
        <v>3.3652935206066971E-2</v>
      </c>
      <c r="I20" s="32" cm="1">
        <f t="array" ref="I20">(EXP(-(Tabella333[Planck h]*Tabella953[Frequenza2])/(2*Tabella348[Boltzmann k]*Tabella85218[[#This Row],[Temperatura]])))/(1-EXP(-(Tabella348[Planck h]*Tabella953[Frequenza2])/(Tabella348[Boltzmann k]*Tabella85218[[#This Row],[Temperatura]])))</f>
        <v>3.1808179486978187E-4</v>
      </c>
      <c r="J20" s="32" cm="1">
        <f t="array" ref="J20">(EXP(-(Tabella348[Planck h]*Tabella953[Frequenza3])/(2*Tabella348[Boltzmann k]*Tabella85218[[#This Row],[Temperatura]])))/(1-EXP(-(Tabella348[Planck h]*Tabella953[Frequenza3])/(Tabella348[Boltzmann k]*Tabella85218[[#This Row],[Temperatura]])))</f>
        <v>2.4555751179851078E-4</v>
      </c>
      <c r="K20" s="51">
        <f t="shared" si="1"/>
        <v>2.6285423995898541E-9</v>
      </c>
    </row>
    <row r="21" spans="1:11" x14ac:dyDescent="0.35">
      <c r="A21" s="18">
        <v>900</v>
      </c>
      <c r="B21" s="32" cm="1">
        <f t="array" ref="B21">(EXP(-(Tabella333[Planck h]*Tabella953[Frequenza1])/(2*Tabella348[Boltzmann k]*Tabella852[[#This Row],[Temperatura]])))/(1-EXP(-(Tabella348[Planck h]*Tabella953[Frequenza1])/(Tabella348[Boltzmann k]*Tabella852[[#This Row],[Temperatura]])))</f>
        <v>0.30072764793917917</v>
      </c>
      <c r="C21" s="32" cm="1">
        <f t="array" ref="C21">(EXP(-(Tabella333[Planck h]*Tabella953[Frequenza2])/(2*Tabella348[Boltzmann k]*Tabella852[[#This Row],[Temperatura]])))/(1-EXP(-(Tabella348[Planck h]*Tabella953[Frequenza2])/(Tabella348[Boltzmann k]*Tabella852[[#This Row],[Temperatura]])))</f>
        <v>4.7832946839187242E-2</v>
      </c>
      <c r="D21" s="32" cm="1">
        <f t="array" ref="D21">(EXP(-(Tabella348[Planck h]*Tabella953[Frequenza3])/(2*Tabella348[Boltzmann k]*Tabella852[[#This Row],[Temperatura]])))/(1-EXP(-(Tabella348[Planck h]*Tabella953[Frequenza3])/(Tabella348[Boltzmann k]*Tabella852[[#This Row],[Temperatura]])))</f>
        <v>4.336050537512335E-2</v>
      </c>
      <c r="E21" s="51">
        <f t="shared" si="0"/>
        <v>6.2372741058796958E-4</v>
      </c>
      <c r="G21" s="18">
        <v>350</v>
      </c>
      <c r="H21" s="32" cm="1">
        <f t="array" ref="H21">(EXP(-(Tabella333[Planck h]*Tabella953[Frequenza1])/(2*Tabella348[Boltzmann k]*Tabella85218[[#This Row],[Temperatura]])))/(1-EXP(-(Tabella348[Planck h]*Tabella953[Frequenza1])/(Tabella348[Boltzmann k]*Tabella85218[[#This Row],[Temperatura]])))</f>
        <v>3.708746571217314E-2</v>
      </c>
      <c r="I21" s="32" cm="1">
        <f t="array" ref="I21">(EXP(-(Tabella333[Planck h]*Tabella953[Frequenza2])/(2*Tabella348[Boltzmann k]*Tabella85218[[#This Row],[Temperatura]])))/(1-EXP(-(Tabella348[Planck h]*Tabella953[Frequenza2])/(Tabella348[Boltzmann k]*Tabella85218[[#This Row],[Temperatura]])))</f>
        <v>4.0037440177578018E-4</v>
      </c>
      <c r="J21" s="32" cm="1">
        <f t="array" ref="J21">(EXP(-(Tabella348[Planck h]*Tabella953[Frequenza3])/(2*Tabella348[Boltzmann k]*Tabella85218[[#This Row],[Temperatura]])))/(1-EXP(-(Tabella348[Planck h]*Tabella953[Frequenza3])/(Tabella348[Boltzmann k]*Tabella85218[[#This Row],[Temperatura]])))</f>
        <v>3.1138072110789539E-4</v>
      </c>
      <c r="K21" s="51">
        <f t="shared" si="1"/>
        <v>4.6236524392040876E-9</v>
      </c>
    </row>
    <row r="22" spans="1:11" x14ac:dyDescent="0.35">
      <c r="A22" s="18">
        <v>1000</v>
      </c>
      <c r="B22" s="32" cm="1">
        <f t="array" ref="B22">(EXP(-(Tabella333[Planck h]*Tabella953[Frequenza1])/(2*Tabella348[Boltzmann k]*Tabella852[[#This Row],[Temperatura]])))/(1-EXP(-(Tabella348[Planck h]*Tabella953[Frequenza1])/(Tabella348[Boltzmann k]*Tabella852[[#This Row],[Temperatura]])))</f>
        <v>0.35039774746257168</v>
      </c>
      <c r="C22" s="32" cm="1">
        <f t="array" ref="C22">(EXP(-(Tabella333[Planck h]*Tabella953[Frequenza2])/(2*Tabella348[Boltzmann k]*Tabella852[[#This Row],[Temperatura]])))/(1-EXP(-(Tabella348[Planck h]*Tabella953[Frequenza2])/(Tabella348[Boltzmann k]*Tabella852[[#This Row],[Temperatura]])))</f>
        <v>6.4965778592557727E-2</v>
      </c>
      <c r="D22" s="32" cm="1">
        <f t="array" ref="D22">(EXP(-(Tabella348[Planck h]*Tabella953[Frequenza3])/(2*Tabella348[Boltzmann k]*Tabella852[[#This Row],[Temperatura]])))/(1-EXP(-(Tabella348[Planck h]*Tabella953[Frequenza3])/(Tabella348[Boltzmann k]*Tabella852[[#This Row],[Temperatura]])))</f>
        <v>5.9453733502992004E-2</v>
      </c>
      <c r="E22" s="51">
        <f t="shared" si="0"/>
        <v>1.3533966134432042E-3</v>
      </c>
      <c r="G22" s="18">
        <v>360</v>
      </c>
      <c r="H22" s="32" cm="1">
        <f t="array" ref="H22">(EXP(-(Tabella333[Planck h]*Tabella953[Frequenza1])/(2*Tabella348[Boltzmann k]*Tabella85218[[#This Row],[Temperatura]])))/(1-EXP(-(Tabella348[Planck h]*Tabella953[Frequenza1])/(Tabella348[Boltzmann k]*Tabella85218[[#This Row],[Temperatura]])))</f>
        <v>4.0654375290818938E-2</v>
      </c>
      <c r="I22" s="32" cm="1">
        <f t="array" ref="I22">(EXP(-(Tabella333[Planck h]*Tabella953[Frequenza2])/(2*Tabella348[Boltzmann k]*Tabella85218[[#This Row],[Temperatura]])))/(1-EXP(-(Tabella348[Planck h]*Tabella953[Frequenza2])/(Tabella348[Boltzmann k]*Tabella85218[[#This Row],[Temperatura]])))</f>
        <v>4.9755635617842369E-4</v>
      </c>
      <c r="J22" s="32" cm="1">
        <f t="array" ref="J22">(EXP(-(Tabella348[Planck h]*Tabella953[Frequenza3])/(2*Tabella348[Boltzmann k]*Tabella85218[[#This Row],[Temperatura]])))/(1-EXP(-(Tabella348[Planck h]*Tabella953[Frequenza3])/(Tabella348[Boltzmann k]*Tabella85218[[#This Row],[Temperatura]])))</f>
        <v>3.8967299402316644E-4</v>
      </c>
      <c r="K22" s="51">
        <f t="shared" si="1"/>
        <v>7.8822440791352582E-9</v>
      </c>
    </row>
    <row r="23" spans="1:11" x14ac:dyDescent="0.35">
      <c r="A23" s="18">
        <v>1100</v>
      </c>
      <c r="B23" s="32" cm="1">
        <f t="array" ref="B23">(EXP(-(Tabella333[Planck h]*Tabella953[Frequenza1])/(2*Tabella348[Boltzmann k]*Tabella852[[#This Row],[Temperatura]])))/(1-EXP(-(Tabella348[Planck h]*Tabella953[Frequenza1])/(Tabella348[Boltzmann k]*Tabella852[[#This Row],[Temperatura]])))</f>
        <v>0.39944414547014873</v>
      </c>
      <c r="C23" s="32" cm="1">
        <f t="array" ref="C23">(EXP(-(Tabella333[Planck h]*Tabella953[Frequenza2])/(2*Tabella348[Boltzmann k]*Tabella852[[#This Row],[Temperatura]])))/(1-EXP(-(Tabella348[Planck h]*Tabella953[Frequenza2])/(Tabella348[Boltzmann k]*Tabella852[[#This Row],[Temperatura]])))</f>
        <v>8.3553989079941243E-2</v>
      </c>
      <c r="D23" s="32" cm="1">
        <f t="array" ref="D23">(EXP(-(Tabella348[Planck h]*Tabella953[Frequenza3])/(2*Tabella348[Boltzmann k]*Tabella852[[#This Row],[Temperatura]])))/(1-EXP(-(Tabella348[Planck h]*Tabella953[Frequenza3])/(Tabella348[Boltzmann k]*Tabella852[[#This Row],[Temperatura]])))</f>
        <v>7.7052179783769548E-2</v>
      </c>
      <c r="E23" s="51">
        <f t="shared" si="0"/>
        <v>2.5716281943893278E-3</v>
      </c>
      <c r="G23" s="18">
        <v>370</v>
      </c>
      <c r="H23" s="32" cm="1">
        <f t="array" ref="H23">(EXP(-(Tabella333[Planck h]*Tabella953[Frequenza1])/(2*Tabella348[Boltzmann k]*Tabella85218[[#This Row],[Temperatura]])))/(1-EXP(-(Tabella348[Planck h]*Tabella953[Frequenza1])/(Tabella348[Boltzmann k]*Tabella85218[[#This Row],[Temperatura]])))</f>
        <v>4.4345941322322051E-2</v>
      </c>
      <c r="I23" s="32" cm="1">
        <f t="array" ref="I23">(EXP(-(Tabella333[Planck h]*Tabella953[Frequenza2])/(2*Tabella348[Boltzmann k]*Tabella85218[[#This Row],[Temperatura]])))/(1-EXP(-(Tabella348[Planck h]*Tabella953[Frequenza2])/(Tabella348[Boltzmann k]*Tabella85218[[#This Row],[Temperatura]])))</f>
        <v>6.1110645233650911E-4</v>
      </c>
      <c r="J23" s="32" cm="1">
        <f t="array" ref="J23">(EXP(-(Tabella348[Planck h]*Tabella953[Frequenza3])/(2*Tabella348[Boltzmann k]*Tabella85218[[#This Row],[Temperatura]])))/(1-EXP(-(Tabella348[Planck h]*Tabella953[Frequenza3])/(Tabella348[Boltzmann k]*Tabella85218[[#This Row],[Temperatura]])))</f>
        <v>4.817742455132255E-4</v>
      </c>
      <c r="K23" s="51">
        <f t="shared" si="1"/>
        <v>1.3056125835610005E-8</v>
      </c>
    </row>
    <row r="24" spans="1:11" x14ac:dyDescent="0.35">
      <c r="A24" s="18">
        <v>1200</v>
      </c>
      <c r="B24" s="32" cm="1">
        <f t="array" ref="B24">(EXP(-(Tabella333[Planck h]*Tabella953[Frequenza1])/(2*Tabella348[Boltzmann k]*Tabella852[[#This Row],[Temperatura]])))/(1-EXP(-(Tabella348[Planck h]*Tabella953[Frequenza1])/(Tabella348[Boltzmann k]*Tabella852[[#This Row],[Temperatura]])))</f>
        <v>0.44789498254334287</v>
      </c>
      <c r="C24" s="32" cm="1">
        <f t="array" ref="C24">(EXP(-(Tabella333[Planck h]*Tabella953[Frequenza2])/(2*Tabella348[Boltzmann k]*Tabella852[[#This Row],[Temperatura]])))/(1-EXP(-(Tabella348[Planck h]*Tabella953[Frequenza2])/(Tabella348[Boltzmann k]*Tabella852[[#This Row],[Temperatura]])))</f>
        <v>0.10318207191936653</v>
      </c>
      <c r="D24" s="32" cm="1">
        <f t="array" ref="D24">(EXP(-(Tabella348[Planck h]*Tabella953[Frequenza3])/(2*Tabella348[Boltzmann k]*Tabella852[[#This Row],[Temperatura]])))/(1-EXP(-(Tabella348[Planck h]*Tabella953[Frequenza3])/(Tabella348[Boltzmann k]*Tabella852[[#This Row],[Temperatura]])))</f>
        <v>9.574983446662183E-2</v>
      </c>
      <c r="E24" s="51">
        <f t="shared" si="0"/>
        <v>4.4250529677505824E-3</v>
      </c>
      <c r="G24" s="18">
        <v>380</v>
      </c>
      <c r="H24" s="32" cm="1">
        <f t="array" ref="H24">(EXP(-(Tabella333[Planck h]*Tabella953[Frequenza1])/(2*Tabella348[Boltzmann k]*Tabella85218[[#This Row],[Temperatura]])))/(1-EXP(-(Tabella348[Planck h]*Tabella953[Frequenza1])/(Tabella348[Boltzmann k]*Tabella85218[[#This Row],[Temperatura]])))</f>
        <v>4.8154560224315877E-2</v>
      </c>
      <c r="I24" s="32" cm="1">
        <f t="array" ref="I24">(EXP(-(Tabella333[Planck h]*Tabella953[Frequenza2])/(2*Tabella348[Boltzmann k]*Tabella85218[[#This Row],[Temperatura]])))/(1-EXP(-(Tabella348[Planck h]*Tabella953[Frequenza2])/(Tabella348[Boltzmann k]*Tabella85218[[#This Row],[Temperatura]])))</f>
        <v>7.424937846923598E-4</v>
      </c>
      <c r="J24" s="32" cm="1">
        <f t="array" ref="J24">(EXP(-(Tabella348[Planck h]*Tabella953[Frequenza3])/(2*Tabella348[Boltzmann k]*Tabella85218[[#This Row],[Temperatura]])))/(1-EXP(-(Tabella348[Planck h]*Tabella953[Frequenza3])/(Tabella348[Boltzmann k]*Tabella85218[[#This Row],[Temperatura]])))</f>
        <v>5.8902973958661984E-4</v>
      </c>
      <c r="K24" s="51">
        <f t="shared" si="1"/>
        <v>2.1060441247216359E-8</v>
      </c>
    </row>
    <row r="25" spans="1:11" x14ac:dyDescent="0.35">
      <c r="A25" s="18">
        <v>1300</v>
      </c>
      <c r="B25" s="32" cm="1">
        <f t="array" ref="B25">(EXP(-(Tabella333[Planck h]*Tabella953[Frequenza1])/(2*Tabella348[Boltzmann k]*Tabella852[[#This Row],[Temperatura]])))/(1-EXP(-(Tabella348[Planck h]*Tabella953[Frequenza1])/(Tabella348[Boltzmann k]*Tabella852[[#This Row],[Temperatura]])))</f>
        <v>0.4958048920189726</v>
      </c>
      <c r="C25" s="32" cm="1">
        <f t="array" ref="C25">(EXP(-(Tabella333[Planck h]*Tabella953[Frequenza2])/(2*Tabella348[Boltzmann k]*Tabella852[[#This Row],[Temperatura]])))/(1-EXP(-(Tabella348[Planck h]*Tabella953[Frequenza2])/(Tabella348[Boltzmann k]*Tabella852[[#This Row],[Temperatura]])))</f>
        <v>0.12352629935373487</v>
      </c>
      <c r="D25" s="32" cm="1">
        <f t="array" ref="D25">(EXP(-(Tabella348[Planck h]*Tabella953[Frequenza3])/(2*Tabella348[Boltzmann k]*Tabella852[[#This Row],[Temperatura]])))/(1-EXP(-(Tabella348[Planck h]*Tabella953[Frequenza3])/(Tabella348[Boltzmann k]*Tabella852[[#This Row],[Temperatura]])))</f>
        <v>0.11522336308328893</v>
      </c>
      <c r="E25" s="51">
        <f t="shared" si="0"/>
        <v>7.0568483633657334E-3</v>
      </c>
      <c r="G25" s="18">
        <v>390</v>
      </c>
      <c r="H25" s="32" cm="1">
        <f t="array" ref="H25">(EXP(-(Tabella333[Planck h]*Tabella953[Frequenza1])/(2*Tabella348[Boltzmann k]*Tabella85218[[#This Row],[Temperatura]])))/(1-EXP(-(Tabella348[Planck h]*Tabella953[Frequenza1])/(Tabella348[Boltzmann k]*Tabella85218[[#This Row],[Temperatura]])))</f>
        <v>5.2072803439469004E-2</v>
      </c>
      <c r="I25" s="32" cm="1">
        <f t="array" ref="I25">(EXP(-(Tabella333[Planck h]*Tabella953[Frequenza2])/(2*Tabella348[Boltzmann k]*Tabella85218[[#This Row],[Temperatura]])))/(1-EXP(-(Tabella348[Planck h]*Tabella953[Frequenza2])/(Tabella348[Boltzmann k]*Tabella85218[[#This Row],[Temperatura]])))</f>
        <v>8.9316476364683707E-4</v>
      </c>
      <c r="J25" s="32" cm="1">
        <f t="array" ref="J25">(EXP(-(Tabella348[Planck h]*Tabella953[Frequenza3])/(2*Tabella348[Boltzmann k]*Tabella85218[[#This Row],[Temperatura]])))/(1-EXP(-(Tabella348[Planck h]*Tabella953[Frequenza3])/(Tabella348[Boltzmann k]*Tabella85218[[#This Row],[Temperatura]])))</f>
        <v>7.1277800645478979E-4</v>
      </c>
      <c r="K25" s="51">
        <f t="shared" si="1"/>
        <v>3.3151015105327295E-8</v>
      </c>
    </row>
    <row r="26" spans="1:11" x14ac:dyDescent="0.35">
      <c r="A26" s="18">
        <v>1400</v>
      </c>
      <c r="B26" s="32" cm="1">
        <f t="array" ref="B26">(EXP(-(Tabella333[Planck h]*Tabella953[Frequenza1])/(2*Tabella348[Boltzmann k]*Tabella852[[#This Row],[Temperatura]])))/(1-EXP(-(Tabella348[Planck h]*Tabella953[Frequenza1])/(Tabella348[Boltzmann k]*Tabella852[[#This Row],[Temperatura]])))</f>
        <v>0.54323502273828361</v>
      </c>
      <c r="C26" s="32" cm="1">
        <f t="array" ref="C26">(EXP(-(Tabella333[Planck h]*Tabella953[Frequenza2])/(2*Tabella348[Boltzmann k]*Tabella852[[#This Row],[Temperatura]])))/(1-EXP(-(Tabella348[Planck h]*Tabella953[Frequenza2])/(Tabella348[Boltzmann k]*Tabella852[[#This Row],[Temperatura]])))</f>
        <v>0.14434263491792057</v>
      </c>
      <c r="D26" s="32" cm="1">
        <f t="array" ref="D26">(EXP(-(Tabella348[Planck h]*Tabella953[Frequenza3])/(2*Tabella348[Boltzmann k]*Tabella852[[#This Row],[Temperatura]])))/(1-EXP(-(Tabella348[Planck h]*Tabella953[Frequenza3])/(Tabella348[Boltzmann k]*Tabella852[[#This Row],[Temperatura]])))</f>
        <v>0.13522434727455493</v>
      </c>
      <c r="E26" s="51">
        <f t="shared" si="0"/>
        <v>1.0603208078620346E-2</v>
      </c>
      <c r="G26" s="18">
        <v>400</v>
      </c>
      <c r="H26" s="32" cm="1">
        <f t="array" ref="H26">(EXP(-(Tabella333[Planck h]*Tabella953[Frequenza1])/(2*Tabella348[Boltzmann k]*Tabella85218[[#This Row],[Temperatura]])))/(1-EXP(-(Tabella348[Planck h]*Tabella953[Frequenza1])/(Tabella348[Boltzmann k]*Tabella85218[[#This Row],[Temperatura]])))</f>
        <v>5.6093461097076552E-2</v>
      </c>
      <c r="I26" s="32" cm="1">
        <f t="array" ref="I26">(EXP(-(Tabella333[Planck h]*Tabella953[Frequenza2])/(2*Tabella348[Boltzmann k]*Tabella85218[[#This Row],[Temperatura]])))/(1-EXP(-(Tabella348[Planck h]*Tabella953[Frequenza2])/(Tabella348[Boltzmann k]*Tabella85218[[#This Row],[Temperatura]])))</f>
        <v>1.0645313264841436E-3</v>
      </c>
      <c r="J26" s="32" cm="1">
        <f t="array" ref="J26">(EXP(-(Tabella348[Planck h]*Tabella953[Frequenza3])/(2*Tabella348[Boltzmann k]*Tabella85218[[#This Row],[Temperatura]])))/(1-EXP(-(Tabella348[Planck h]*Tabella953[Frequenza3])/(Tabella348[Boltzmann k]*Tabella85218[[#This Row],[Temperatura]])))</f>
        <v>8.5433959632257852E-4</v>
      </c>
      <c r="K26" s="51">
        <f t="shared" si="1"/>
        <v>5.1015390951576178E-8</v>
      </c>
    </row>
    <row r="27" spans="1:11" x14ac:dyDescent="0.35">
      <c r="A27" s="18">
        <v>1500</v>
      </c>
      <c r="B27" s="32" cm="1">
        <f t="array" ref="B27">(EXP(-(Tabella333[Planck h]*Tabella953[Frequenza1])/(2*Tabella348[Boltzmann k]*Tabella852[[#This Row],[Temperatura]])))/(1-EXP(-(Tabella348[Planck h]*Tabella953[Frequenza1])/(Tabella348[Boltzmann k]*Tabella852[[#This Row],[Temperatura]])))</f>
        <v>0.59024435952261589</v>
      </c>
      <c r="C27" s="32" cm="1">
        <f t="array" ref="C27">(EXP(-(Tabella333[Planck h]*Tabella953[Frequenza2])/(2*Tabella348[Boltzmann k]*Tabella852[[#This Row],[Temperatura]])))/(1-EXP(-(Tabella348[Planck h]*Tabella953[Frequenza2])/(Tabella348[Boltzmann k]*Tabella852[[#This Row],[Temperatura]])))</f>
        <v>0.16545127395393672</v>
      </c>
      <c r="D27" s="32" cm="1">
        <f t="array" ref="D27">(EXP(-(Tabella348[Planck h]*Tabella953[Frequenza3])/(2*Tabella348[Boltzmann k]*Tabella852[[#This Row],[Temperatura]])))/(1-EXP(-(Tabella348[Planck h]*Tabella953[Frequenza3])/(Tabella348[Boltzmann k]*Tabella852[[#This Row],[Temperatura]])))</f>
        <v>0.15556652649926578</v>
      </c>
      <c r="E27" s="51">
        <f t="shared" si="0"/>
        <v>1.5192110687952575E-2</v>
      </c>
      <c r="G27" s="18">
        <v>410</v>
      </c>
      <c r="H27" s="32" cm="1">
        <f t="array" ref="H27">(EXP(-(Tabella333[Planck h]*Tabella953[Frequenza1])/(2*Tabella348[Boltzmann k]*Tabella85218[[#This Row],[Temperatura]])))/(1-EXP(-(Tabella348[Planck h]*Tabella953[Frequenza1])/(Tabella348[Boltzmann k]*Tabella85218[[#This Row],[Temperatura]])))</f>
        <v>6.0209575077822659E-2</v>
      </c>
      <c r="I27" s="32" cm="1">
        <f t="array" ref="I27">(EXP(-(Tabella333[Planck h]*Tabella953[Frequenza2])/(2*Tabella348[Boltzmann k]*Tabella85218[[#This Row],[Temperatura]])))/(1-EXP(-(Tabella348[Planck h]*Tabella953[Frequenza2])/(Tabella348[Boltzmann k]*Tabella85218[[#This Row],[Temperatura]])))</f>
        <v>1.2579604402778361E-3</v>
      </c>
      <c r="J27" s="32" cm="1">
        <f t="array" ref="J27">(EXP(-(Tabella348[Planck h]*Tabella953[Frequenza3])/(2*Tabella348[Boltzmann k]*Tabella85218[[#This Row],[Temperatura]])))/(1-EXP(-(Tabella348[Planck h]*Tabella953[Frequenza3])/(Tabella348[Boltzmann k]*Tabella85218[[#This Row],[Temperatura]])))</f>
        <v>1.0150068028032262E-3</v>
      </c>
      <c r="K27" s="51">
        <f t="shared" si="1"/>
        <v>7.6877897780359006E-8</v>
      </c>
    </row>
    <row r="28" spans="1:11" x14ac:dyDescent="0.35">
      <c r="A28" s="18">
        <v>1600</v>
      </c>
      <c r="B28" s="32" cm="1">
        <f t="array" ref="B28">(EXP(-(Tabella333[Planck h]*Tabella953[Frequenza1])/(2*Tabella348[Boltzmann k]*Tabella852[[#This Row],[Temperatura]])))/(1-EXP(-(Tabella348[Planck h]*Tabella953[Frequenza1])/(Tabella348[Boltzmann k]*Tabella852[[#This Row],[Temperatura]])))</f>
        <v>0.63688634443152836</v>
      </c>
      <c r="C28" s="32" cm="1">
        <f t="array" ref="C28">(EXP(-(Tabella333[Planck h]*Tabella953[Frequenza2])/(2*Tabella348[Boltzmann k]*Tabella852[[#This Row],[Temperatura]])))/(1-EXP(-(Tabella348[Planck h]*Tabella953[Frequenza2])/(Tabella348[Boltzmann k]*Tabella852[[#This Row],[Temperatura]])))</f>
        <v>0.18672204216562327</v>
      </c>
      <c r="D28" s="32" cm="1">
        <f t="array" ref="D28">(EXP(-(Tabella348[Planck h]*Tabella953[Frequenza3])/(2*Tabella348[Boltzmann k]*Tabella852[[#This Row],[Temperatura]])))/(1-EXP(-(Tabella348[Planck h]*Tabella953[Frequenza3])/(Tabella348[Boltzmann k]*Tabella852[[#This Row],[Temperatura]])))</f>
        <v>0.17611274857752066</v>
      </c>
      <c r="E28" s="51">
        <f t="shared" si="0"/>
        <v>2.0943454661188177E-2</v>
      </c>
      <c r="G28" s="18">
        <v>420</v>
      </c>
      <c r="H28" s="32" cm="1">
        <f t="array" ref="H28">(EXP(-(Tabella333[Planck h]*Tabella953[Frequenza1])/(2*Tabella348[Boltzmann k]*Tabella85218[[#This Row],[Temperatura]])))/(1-EXP(-(Tabella348[Planck h]*Tabella953[Frequenza1])/(Tabella348[Boltzmann k]*Tabella85218[[#This Row],[Temperatura]])))</f>
        <v>6.4414463060101054E-2</v>
      </c>
      <c r="I28" s="32" cm="1">
        <f t="array" ref="I28">(EXP(-(Tabella333[Planck h]*Tabella953[Frequenza2])/(2*Tabella348[Boltzmann k]*Tabella85218[[#This Row],[Temperatura]])))/(1-EXP(-(Tabella348[Planck h]*Tabella953[Frequenza2])/(Tabella348[Boltzmann k]*Tabella85218[[#This Row],[Temperatura]])))</f>
        <v>1.4747649436084435E-3</v>
      </c>
      <c r="J28" s="32" cm="1">
        <f t="array" ref="J28">(EXP(-(Tabella348[Planck h]*Tabella953[Frequenza3])/(2*Tabella348[Boltzmann k]*Tabella85218[[#This Row],[Temperatura]])))/(1-EXP(-(Tabella348[Planck h]*Tabella953[Frequenza3])/(Tabella348[Boltzmann k]*Tabella85218[[#This Row],[Temperatura]])))</f>
        <v>1.1960344422268911E-3</v>
      </c>
      <c r="K28" s="51">
        <f t="shared" si="1"/>
        <v>1.1361871749134617E-7</v>
      </c>
    </row>
    <row r="29" spans="1:11" x14ac:dyDescent="0.35">
      <c r="A29" s="18">
        <v>1700</v>
      </c>
      <c r="B29" s="32" cm="1">
        <f t="array" ref="B29">(EXP(-(Tabella333[Planck h]*Tabella953[Frequenza1])/(2*Tabella348[Boltzmann k]*Tabella852[[#This Row],[Temperatura]])))/(1-EXP(-(Tabella348[Planck h]*Tabella953[Frequenza1])/(Tabella348[Boltzmann k]*Tabella852[[#This Row],[Temperatura]])))</f>
        <v>0.68320794642858884</v>
      </c>
      <c r="C29" s="32" cm="1">
        <f t="array" ref="C29">(EXP(-(Tabella333[Planck h]*Tabella953[Frequenza2])/(2*Tabella348[Boltzmann k]*Tabella852[[#This Row],[Temperatura]])))/(1-EXP(-(Tabella348[Planck h]*Tabella953[Frequenza2])/(Tabella348[Boltzmann k]*Tabella852[[#This Row],[Temperatura]])))</f>
        <v>0.20806213717331334</v>
      </c>
      <c r="D29" s="32" cm="1">
        <f t="array" ref="D29">(EXP(-(Tabella348[Planck h]*Tabella953[Frequenza3])/(2*Tabella348[Boltzmann k]*Tabella852[[#This Row],[Temperatura]])))/(1-EXP(-(Tabella348[Planck h]*Tabella953[Frequenza3])/(Tabella348[Boltzmann k]*Tabella852[[#This Row],[Temperatura]])))</f>
        <v>0.19676352757944629</v>
      </c>
      <c r="E29" s="51">
        <f t="shared" si="0"/>
        <v>2.7969877492208434E-2</v>
      </c>
      <c r="G29" s="18">
        <v>430</v>
      </c>
      <c r="H29" s="32" cm="1">
        <f t="array" ref="H29">(EXP(-(Tabella333[Planck h]*Tabella953[Frequenza1])/(2*Tabella348[Boltzmann k]*Tabella85218[[#This Row],[Temperatura]])))/(1-EXP(-(Tabella348[Planck h]*Tabella953[Frequenza1])/(Tabella348[Boltzmann k]*Tabella85218[[#This Row],[Temperatura]])))</f>
        <v>6.8701734966933506E-2</v>
      </c>
      <c r="I29" s="32" cm="1">
        <f t="array" ref="I29">(EXP(-(Tabella333[Planck h]*Tabella953[Frequenza2])/(2*Tabella348[Boltzmann k]*Tabella85218[[#This Row],[Temperatura]])))/(1-EXP(-(Tabella348[Planck h]*Tabella953[Frequenza2])/(Tabella348[Boltzmann k]*Tabella85218[[#This Row],[Temperatura]])))</f>
        <v>1.716195732598896E-3</v>
      </c>
      <c r="J29" s="32" cm="1">
        <f t="array" ref="J29">(EXP(-(Tabella348[Planck h]*Tabella953[Frequenza3])/(2*Tabella348[Boltzmann k]*Tabella85218[[#This Row],[Temperatura]])))/(1-EXP(-(Tabella348[Planck h]*Tabella953[Frequenza3])/(Tabella348[Boltzmann k]*Tabella85218[[#This Row],[Temperatura]])))</f>
        <v>1.3986317348322651E-3</v>
      </c>
      <c r="K29" s="51">
        <f t="shared" si="1"/>
        <v>1.6490654796243953E-7</v>
      </c>
    </row>
    <row r="30" spans="1:11" x14ac:dyDescent="0.35">
      <c r="A30" s="18">
        <v>1800</v>
      </c>
      <c r="B30" s="32" cm="1">
        <f t="array" ref="B30">(EXP(-(Tabella333[Planck h]*Tabella953[Frequenza1])/(2*Tabella348[Boltzmann k]*Tabella852[[#This Row],[Temperatura]])))/(1-EXP(-(Tabella348[Planck h]*Tabella953[Frequenza1])/(Tabella348[Boltzmann k]*Tabella852[[#This Row],[Temperatura]])))</f>
        <v>0.72924981640941189</v>
      </c>
      <c r="C30" s="32" cm="1">
        <f t="array" ref="C30">(EXP(-(Tabella333[Planck h]*Tabella953[Frequenza2])/(2*Tabella348[Boltzmann k]*Tabella852[[#This Row],[Temperatura]])))/(1-EXP(-(Tabella348[Planck h]*Tabella953[Frequenza2])/(Tabella348[Boltzmann k]*Tabella852[[#This Row],[Temperatura]])))</f>
        <v>0.22940643541064765</v>
      </c>
      <c r="D30" s="32" cm="1">
        <f t="array" ref="D30">(EXP(-(Tabella348[Planck h]*Tabella953[Frequenza3])/(2*Tabella348[Boltzmann k]*Tabella852[[#This Row],[Temperatura]])))/(1-EXP(-(Tabella348[Planck h]*Tabella953[Frequenza3])/(Tabella348[Boltzmann k]*Tabella852[[#This Row],[Temperatura]])))</f>
        <v>0.21744772681278973</v>
      </c>
      <c r="E30" s="51">
        <f t="shared" si="0"/>
        <v>3.6377830675139201E-2</v>
      </c>
      <c r="G30" s="18">
        <v>440</v>
      </c>
      <c r="H30" s="32" cm="1">
        <f t="array" ref="H30">(EXP(-(Tabella333[Planck h]*Tabella953[Frequenza1])/(2*Tabella348[Boltzmann k]*Tabella85218[[#This Row],[Temperatura]])))/(1-EXP(-(Tabella348[Planck h]*Tabella953[Frequenza1])/(Tabella348[Boltzmann k]*Tabella85218[[#This Row],[Temperatura]])))</f>
        <v>7.3065303073460264E-2</v>
      </c>
      <c r="I30" s="32" cm="1">
        <f t="array" ref="I30">(EXP(-(Tabella333[Planck h]*Tabella953[Frequenza2])/(2*Tabella348[Boltzmann k]*Tabella85218[[#This Row],[Temperatura]])))/(1-EXP(-(Tabella348[Planck h]*Tabella953[Frequenza2])/(Tabella348[Boltzmann k]*Tabella85218[[#This Row],[Temperatura]])))</f>
        <v>1.983435263707492E-3</v>
      </c>
      <c r="J30" s="32" cm="1">
        <f t="array" ref="J30">(EXP(-(Tabella348[Planck h]*Tabella953[Frequenza3])/(2*Tabella348[Boltzmann k]*Tabella85218[[#This Row],[Temperatura]])))/(1-EXP(-(Tabella348[Planck h]*Tabella953[Frequenza3])/(Tabella348[Boltzmann k]*Tabella85218[[#This Row],[Temperatura]])))</f>
        <v>1.6239553001162995E-3</v>
      </c>
      <c r="K30" s="51">
        <f t="shared" si="1"/>
        <v>2.3534408711857105E-7</v>
      </c>
    </row>
    <row r="31" spans="1:11" x14ac:dyDescent="0.35">
      <c r="A31" s="18">
        <v>1900</v>
      </c>
      <c r="B31" s="32" cm="1">
        <f t="array" ref="B31">(EXP(-(Tabella333[Planck h]*Tabella953[Frequenza1])/(2*Tabella348[Boltzmann k]*Tabella852[[#This Row],[Temperatura]])))/(1-EXP(-(Tabella348[Planck h]*Tabella953[Frequenza1])/(Tabella348[Boltzmann k]*Tabella852[[#This Row],[Temperatura]])))</f>
        <v>0.77504687749227708</v>
      </c>
      <c r="C31" s="32" cm="1">
        <f t="array" ref="C31">(EXP(-(Tabella333[Planck h]*Tabella953[Frequenza2])/(2*Tabella348[Boltzmann k]*Tabella852[[#This Row],[Temperatura]])))/(1-EXP(-(Tabella348[Planck h]*Tabella953[Frequenza2])/(Tabella348[Boltzmann k]*Tabella852[[#This Row],[Temperatura]])))</f>
        <v>0.2507100843138188</v>
      </c>
      <c r="D31" s="32" cm="1">
        <f t="array" ref="D31">(EXP(-(Tabella348[Planck h]*Tabella953[Frequenza3])/(2*Tabella348[Boltzmann k]*Tabella852[[#This Row],[Temperatura]])))/(1-EXP(-(Tabella348[Planck h]*Tabella953[Frequenza3])/(Tabella348[Boltzmann k]*Tabella852[[#This Row],[Temperatura]])))</f>
        <v>0.23811527869895605</v>
      </c>
      <c r="E31" s="51">
        <f t="shared" si="0"/>
        <v>4.6268672227164555E-2</v>
      </c>
      <c r="G31" s="18">
        <v>450</v>
      </c>
      <c r="H31" s="32" cm="1">
        <f t="array" ref="H31">(EXP(-(Tabella333[Planck h]*Tabella953[Frequenza1])/(2*Tabella348[Boltzmann k]*Tabella85218[[#This Row],[Temperatura]])))/(1-EXP(-(Tabella348[Planck h]*Tabella953[Frequenza1])/(Tabella348[Boltzmann k]*Tabella85218[[#This Row],[Temperatura]])))</f>
        <v>7.7499386881933544E-2</v>
      </c>
      <c r="I31" s="32" cm="1">
        <f t="array" ref="I31">(EXP(-(Tabella333[Planck h]*Tabella953[Frequenza2])/(2*Tabella348[Boltzmann k]*Tabella85218[[#This Row],[Temperatura]])))/(1-EXP(-(Tabella348[Planck h]*Tabella953[Frequenza2])/(Tabella348[Boltzmann k]*Tabella85218[[#This Row],[Temperatura]])))</f>
        <v>2.2775923202022225E-3</v>
      </c>
      <c r="J31" s="32" cm="1">
        <f t="array" ref="J31">(EXP(-(Tabella348[Planck h]*Tabella953[Frequenza3])/(2*Tabella348[Boltzmann k]*Tabella85218[[#This Row],[Temperatura]])))/(1-EXP(-(Tabella348[Planck h]*Tabella953[Frequenza3])/(Tabella348[Boltzmann k]*Tabella85218[[#This Row],[Temperatura]])))</f>
        <v>1.8731032512280274E-3</v>
      </c>
      <c r="K31" s="51">
        <f t="shared" si="1"/>
        <v>3.306252167823731E-7</v>
      </c>
    </row>
    <row r="32" spans="1:11" x14ac:dyDescent="0.35">
      <c r="A32" s="18">
        <v>2000</v>
      </c>
      <c r="B32" s="32" cm="1">
        <f t="array" ref="B32">(EXP(-(Tabella333[Planck h]*Tabella953[Frequenza1])/(2*Tabella348[Boltzmann k]*Tabella852[[#This Row],[Temperatura]])))/(1-EXP(-(Tabella348[Planck h]*Tabella953[Frequenza1])/(Tabella348[Boltzmann k]*Tabella852[[#This Row],[Temperatura]])))</f>
        <v>0.82062904510682866</v>
      </c>
      <c r="C32" s="32" cm="1">
        <f t="array" ref="C32">(EXP(-(Tabella333[Planck h]*Tabella953[Frequenza2])/(2*Tabella348[Boltzmann k]*Tabella852[[#This Row],[Temperatura]])))/(1-EXP(-(Tabella348[Planck h]*Tabella953[Frequenza2])/(Tabella348[Boltzmann k]*Tabella852[[#This Row],[Temperatura]])))</f>
        <v>0.27194295572212479</v>
      </c>
      <c r="D32" s="32" cm="1">
        <f t="array" ref="D32">(EXP(-(Tabella348[Planck h]*Tabella953[Frequenza3])/(2*Tabella348[Boltzmann k]*Tabella852[[#This Row],[Temperatura]])))/(1-EXP(-(Tabella348[Planck h]*Tabella953[Frequenza3])/(Tabella348[Boltzmann k]*Tabella852[[#This Row],[Temperatura]])))</f>
        <v>0.25873163477218791</v>
      </c>
      <c r="E32" s="51">
        <f t="shared" si="0"/>
        <v>5.7739661077134435E-2</v>
      </c>
      <c r="G32" s="18">
        <v>460</v>
      </c>
      <c r="H32" s="32" cm="1">
        <f t="array" ref="H32">(EXP(-(Tabella333[Planck h]*Tabella953[Frequenza1])/(2*Tabella348[Boltzmann k]*Tabella85218[[#This Row],[Temperatura]])))/(1-EXP(-(Tabella348[Planck h]*Tabella953[Frequenza1])/(Tabella348[Boltzmann k]*Tabella85218[[#This Row],[Temperatura]])))</f>
        <v>8.199851372769433E-2</v>
      </c>
      <c r="I32" s="32" cm="1">
        <f t="array" ref="I32">(EXP(-(Tabella333[Planck h]*Tabella953[Frequenza2])/(2*Tabella348[Boltzmann k]*Tabella85218[[#This Row],[Temperatura]])))/(1-EXP(-(Tabella348[Planck h]*Tabella953[Frequenza2])/(Tabella348[Boltzmann k]*Tabella85218[[#This Row],[Temperatura]])))</f>
        <v>2.5996979704108348E-3</v>
      </c>
      <c r="J32" s="32" cm="1">
        <f t="array" ref="J32">(EXP(-(Tabella348[Planck h]*Tabella953[Frequenza3])/(2*Tabella348[Boltzmann k]*Tabella85218[[#This Row],[Temperatura]])))/(1-EXP(-(Tabella348[Planck h]*Tabella953[Frequenza3])/(Tabella348[Boltzmann k]*Tabella85218[[#This Row],[Temperatura]])))</f>
        <v>2.1471103517581576E-3</v>
      </c>
      <c r="K32" s="51">
        <f t="shared" si="1"/>
        <v>4.5770245461266574E-7</v>
      </c>
    </row>
    <row r="33" spans="1:11" x14ac:dyDescent="0.35">
      <c r="A33" s="46" t="s">
        <v>122</v>
      </c>
      <c r="B33" s="32">
        <f>B32-B15</f>
        <v>0.79974103411652575</v>
      </c>
      <c r="C33" s="32">
        <f t="shared" ref="C33:E33" si="2">C32-C15</f>
        <v>0.27184024504966936</v>
      </c>
      <c r="D33" s="32">
        <f t="shared" si="2"/>
        <v>0.25865517113857039</v>
      </c>
      <c r="E33" s="32">
        <f t="shared" si="2"/>
        <v>5.7739660913087701E-2</v>
      </c>
      <c r="G33" s="46" t="s">
        <v>122</v>
      </c>
      <c r="H33" s="32">
        <f>H32-H15</f>
        <v>6.1110502737391457E-2</v>
      </c>
      <c r="I33" s="32">
        <f t="shared" ref="I33:K33" si="3">I32-I15</f>
        <v>2.4969872979554194E-3</v>
      </c>
      <c r="J33" s="32">
        <f t="shared" si="3"/>
        <v>2.0706467181406192E-3</v>
      </c>
      <c r="K33" s="32">
        <f t="shared" si="3"/>
        <v>4.5753840787727732E-7</v>
      </c>
    </row>
    <row r="34" spans="1:11" x14ac:dyDescent="0.3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</row>
    <row r="35" spans="1:11" x14ac:dyDescent="0.35">
      <c r="A35" s="54"/>
      <c r="B35" s="55">
        <v>2307.09</v>
      </c>
      <c r="E35" s="55">
        <f>B35</f>
        <v>2307.09</v>
      </c>
      <c r="F35" s="55">
        <f>B36</f>
        <v>5476.16</v>
      </c>
      <c r="G35" s="32">
        <f>B37</f>
        <v>5652.13</v>
      </c>
    </row>
    <row r="36" spans="1:11" x14ac:dyDescent="0.35">
      <c r="A36" s="56"/>
      <c r="B36" s="18">
        <v>5476.16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48</v>
      </c>
    </row>
    <row r="37" spans="1:11" x14ac:dyDescent="0.35">
      <c r="A37" s="56"/>
      <c r="B37" s="18">
        <v>5652.13</v>
      </c>
      <c r="D37" s="58">
        <v>298.14999999999998</v>
      </c>
      <c r="E37" s="32" cm="1">
        <f t="array" ref="E37">(    (Tabella1257[Theta vib 1]/Tabella1156[[#This Row],[Temperatura]]) /(EXP(Tabella1257[Theta vib 1]/Tabella1156[[#This Row],[Temperatura]])-1) - LN(1-EXP(-Tabella1257[Theta vib 1]/Tabella1156[[#This Row],[Temperatura]]))    )</f>
        <v>3.8107725926951183E-3</v>
      </c>
      <c r="F37" s="32" cm="1">
        <f t="array" ref="F37">(    (Tabella1257[Theta vib2]/Tabella1156[[#This Row],[Temperatura]]) /(EXP(Tabella1257[Theta vib2]/Tabella1156[[#This Row],[Temperatura]])-1) - LN(1-EXP(-Tabella1257[Theta vib2]/Tabella1156[[#This Row],[Temperatura]]))    )</f>
        <v>2.0432513839252369E-7</v>
      </c>
      <c r="G37" s="32" cm="1">
        <f t="array" ref="G37">(    (Tabella1257[Theta vib3]/Tabella1156[[#This Row],[Temperatura]]) /(EXP(Tabella1257[Theta vib3]/Tabella1156[[#This Row],[Temperatura]])-1) - LN(1-EXP(-Tabella1257[Theta vib3]/Tabella1156[[#This Row],[Temperatura]]))    )</f>
        <v>1.166905748311632E-7</v>
      </c>
      <c r="H37" s="32" cm="1">
        <f t="array" ref="H37">Tabella3[Rydberg R]*SUM(Tabella1156[[#This Row],[S vib 1]:[S vib 3]])</f>
        <v>3.1687195340809896E-2</v>
      </c>
    </row>
    <row r="38" spans="1:11" x14ac:dyDescent="0.35">
      <c r="A38" s="56"/>
      <c r="D38" s="58">
        <v>400</v>
      </c>
      <c r="E38" s="59" cm="1">
        <f t="array" ref="E38">(    (Tabella1257[Theta vib 1]/Tabella1156[[#This Row],[Temperatura]]) /(EXP(Tabella1257[Theta vib 1]/Tabella1156[[#This Row],[Temperatura]])-1) - LN(1-EXP(-Tabella1257[Theta vib 1]/Tabella1156[[#This Row],[Temperatura]]))    )</f>
        <v>2.1223217535760563E-2</v>
      </c>
      <c r="F38" s="32" cm="1">
        <f t="array" ref="F38">(    (Tabella1257[Theta vib2]/Tabella1156[[#This Row],[Temperatura]]) /(EXP(Tabella1257[Theta vib2]/Tabella1156[[#This Row],[Temperatura]])-1) - LN(1-EXP(-Tabella1257[Theta vib2]/Tabella1156[[#This Row],[Temperatura]]))    )</f>
        <v>1.6648262754149134E-5</v>
      </c>
      <c r="G38" s="32" cm="1">
        <f t="array" ref="G38">(    (Tabella1257[Theta vib3]/Tabella1156[[#This Row],[Temperatura]]) /(EXP(Tabella1257[Theta vib3]/Tabella1156[[#This Row],[Temperatura]])-1) - LN(1-EXP(-Tabella1257[Theta vib3]/Tabella1156[[#This Row],[Temperatura]]))    )</f>
        <v>1.1043999754536079E-5</v>
      </c>
      <c r="H38" s="32" cm="1">
        <f t="array" ref="H38">Tabella3[Rydberg R]*SUM(Tabella1156[[#This Row],[S vib 1]:[S vib 3]])</f>
        <v>0.17668989511619959</v>
      </c>
    </row>
    <row r="39" spans="1:11" x14ac:dyDescent="0.35">
      <c r="A39" s="56"/>
      <c r="D39" s="58">
        <v>500</v>
      </c>
      <c r="E39" s="59" cm="1">
        <f t="array" ref="E39">(    (Tabella1257[Theta vib 1]/Tabella1156[[#This Row],[Temperatura]]) /(EXP(Tabella1257[Theta vib 1]/Tabella1156[[#This Row],[Temperatura]])-1) - LN(1-EXP(-Tabella1257[Theta vib 1]/Tabella1156[[#This Row],[Temperatura]]))    )</f>
        <v>5.6145392632527144E-2</v>
      </c>
      <c r="F39" s="32" cm="1">
        <f t="array" ref="F39">(    (Tabella1257[Theta vib2]/Tabella1156[[#This Row],[Temperatura]]) /(EXP(Tabella1257[Theta vib2]/Tabella1156[[#This Row],[Temperatura]])-1) - LN(1-EXP(-Tabella1257[Theta vib2]/Tabella1156[[#This Row],[Temperatura]]))    )</f>
        <v>2.0937622314199769E-4</v>
      </c>
      <c r="G39" s="32" cm="1">
        <f t="array" ref="G39">(    (Tabella1257[Theta vib3]/Tabella1156[[#This Row],[Temperatura]]) /(EXP(Tabella1257[Theta vib3]/Tabella1156[[#This Row],[Temperatura]])-1) - LN(1-EXP(-Tabella1257[Theta vib3]/Tabella1156[[#This Row],[Temperatura]]))    )</f>
        <v>1.5159430728185657E-4</v>
      </c>
      <c r="H39" s="32" cm="1">
        <f t="array" ref="H39">Tabella3[Rydberg R]*SUM(Tabella1156[[#This Row],[S vib 1]:[S vib 3]])</f>
        <v>0.4698200441974883</v>
      </c>
    </row>
    <row r="40" spans="1:11" x14ac:dyDescent="0.35">
      <c r="A40" s="56"/>
      <c r="D40" s="58">
        <v>600</v>
      </c>
      <c r="E40" s="58" cm="1">
        <f t="array" ref="E40">(    (Tabella1257[Theta vib 1]/Tabella1156[[#This Row],[Temperatura]]) /(EXP(Tabella1257[Theta vib 1]/Tabella1156[[#This Row],[Temperatura]])-1) - LN(1-EXP(-Tabella1257[Theta vib 1]/Tabella1156[[#This Row],[Temperatura]]))    )</f>
        <v>0.10563329109676781</v>
      </c>
      <c r="F40" s="32" cm="1">
        <f t="array" ref="F40">(    (Tabella1257[Theta vib2]/Tabella1156[[#This Row],[Temperatura]]) /(EXP(Tabella1257[Theta vib2]/Tabella1156[[#This Row],[Temperatura]])-1) - LN(1-EXP(-Tabella1257[Theta vib2]/Tabella1156[[#This Row],[Temperatura]]))    )</f>
        <v>1.1008953730796127E-3</v>
      </c>
      <c r="G40" s="32" cm="1">
        <f t="array" ref="G40">(    (Tabella1257[Theta vib3]/Tabella1156[[#This Row],[Temperatura]]) /(EXP(Tabella1257[Theta vib3]/Tabella1156[[#This Row],[Temperatura]])-1) - LN(1-EXP(-Tabella1257[Theta vib3]/Tabella1156[[#This Row],[Temperatura]]))    )</f>
        <v>8.4481604245387903E-4</v>
      </c>
      <c r="H40" s="32" cm="1">
        <f t="array" ref="H40">Tabella3[Rydberg R]*SUM(Tabella1156[[#This Row],[S vib 1]:[S vib 3]])</f>
        <v>0.89446159487025734</v>
      </c>
    </row>
    <row r="41" spans="1:11" x14ac:dyDescent="0.35">
      <c r="A41" s="56"/>
      <c r="D41" s="58">
        <v>700</v>
      </c>
      <c r="E41" s="58" cm="1">
        <f t="array" ref="E41">(    (Tabella1257[Theta vib 1]/Tabella1156[[#This Row],[Temperatura]]) /(EXP(Tabella1257[Theta vib 1]/Tabella1156[[#This Row],[Temperatura]])-1) - LN(1-EXP(-Tabella1257[Theta vib 1]/Tabella1156[[#This Row],[Temperatura]]))    )</f>
        <v>0.16450249570523853</v>
      </c>
      <c r="F41" s="32" cm="1">
        <f t="array" ref="F41">(    (Tabella1257[Theta vib2]/Tabella1156[[#This Row],[Temperatura]]) /(EXP(Tabella1257[Theta vib2]/Tabella1156[[#This Row],[Temperatura]])-1) - LN(1-EXP(-Tabella1257[Theta vib2]/Tabella1156[[#This Row],[Temperatura]]))    )</f>
        <v>3.5339598026308998E-3</v>
      </c>
      <c r="G41" s="32" cm="1">
        <f t="array" ref="G41">(    (Tabella1257[Theta vib3]/Tabella1156[[#This Row],[Temperatura]]) /(EXP(Tabella1257[Theta vib3]/Tabella1156[[#This Row],[Temperatura]])-1) - LN(1-EXP(-Tabella1257[Theta vib3]/Tabella1156[[#This Row],[Temperatura]]))    )</f>
        <v>2.8265114868397971E-3</v>
      </c>
      <c r="H41" s="32" cm="1">
        <f t="array" ref="H41">Tabella3[Rydberg R]*SUM(Tabella1156[[#This Row],[S vib 1]:[S vib 3]])</f>
        <v>1.4206337518780778</v>
      </c>
    </row>
    <row r="42" spans="1:11" x14ac:dyDescent="0.35">
      <c r="A42" s="56"/>
      <c r="D42" s="58">
        <v>800</v>
      </c>
      <c r="E42" s="58" cm="1">
        <f t="array" ref="E42">(    (Tabella1257[Theta vib 1]/Tabella1156[[#This Row],[Temperatura]]) /(EXP(Tabella1257[Theta vib 1]/Tabella1156[[#This Row],[Temperatura]])-1) - LN(1-EXP(-Tabella1257[Theta vib 1]/Tabella1156[[#This Row],[Temperatura]]))    )</f>
        <v>0.2283550470874611</v>
      </c>
      <c r="F42" s="32" cm="1">
        <f t="array" ref="F42">(    (Tabella1257[Theta vib2]/Tabella1156[[#This Row],[Temperatura]]) /(EXP(Tabella1257[Theta vib2]/Tabella1156[[#This Row],[Temperatura]])-1) - LN(1-EXP(-Tabella1257[Theta vib2]/Tabella1156[[#This Row],[Temperatura]]))    )</f>
        <v>8.3599663779329123E-3</v>
      </c>
      <c r="G42" s="32" cm="1">
        <f t="array" ref="G42">(    (Tabella1257[Theta vib3]/Tabella1156[[#This Row],[Temperatura]]) /(EXP(Tabella1257[Theta vib3]/Tabella1156[[#This Row],[Temperatura]])-1) - LN(1-EXP(-Tabella1257[Theta vib3]/Tabella1156[[#This Row],[Temperatura]]))    )</f>
        <v>6.8960472012609703E-3</v>
      </c>
      <c r="H42" s="32" cm="1">
        <f t="array" ref="H42">Tabella3[Rydberg R]*SUM(Tabella1156[[#This Row],[S vib 1]:[S vib 3]])</f>
        <v>2.0254950572442332</v>
      </c>
    </row>
    <row r="43" spans="1:11" x14ac:dyDescent="0.35">
      <c r="A43" s="137"/>
      <c r="D43" s="58">
        <v>900</v>
      </c>
      <c r="E43" s="58" cm="1">
        <f t="array" ref="E43">(    (Tabella1257[Theta vib 1]/Tabella1156[[#This Row],[Temperatura]]) /(EXP(Tabella1257[Theta vib 1]/Tabella1156[[#This Row],[Temperatura]])-1) - LN(1-EXP(-Tabella1257[Theta vib 1]/Tabella1156[[#This Row],[Temperatura]]))    )</f>
        <v>0.29413974165693252</v>
      </c>
      <c r="F43" s="32" cm="1">
        <f t="array" ref="F43">(    (Tabella1257[Theta vib2]/Tabella1156[[#This Row],[Temperatura]]) /(EXP(Tabella1257[Theta vib2]/Tabella1156[[#This Row],[Temperatura]])-1) - LN(1-EXP(-Tabella1257[Theta vib2]/Tabella1156[[#This Row],[Temperatura]]))    )</f>
        <v>1.6170344053796366E-2</v>
      </c>
      <c r="G43" s="32" cm="1">
        <f t="array" ref="G43">(    (Tabella1257[Theta vib3]/Tabella1156[[#This Row],[Temperatura]]) /(EXP(Tabella1257[Theta vib3]/Tabella1156[[#This Row],[Temperatura]])-1) - LN(1-EXP(-Tabella1257[Theta vib3]/Tabella1156[[#This Row],[Temperatura]]))    )</f>
        <v>1.3660489515116361E-2</v>
      </c>
      <c r="H43" s="32" cm="1">
        <f t="array" ref="H43">Tabella3[Rydberg R]*SUM(Tabella1156[[#This Row],[S vib 1]:[S vib 3]])</f>
        <v>2.6936412370472471</v>
      </c>
    </row>
    <row r="44" spans="1:11" x14ac:dyDescent="0.35">
      <c r="A44" s="60"/>
      <c r="D44" s="58">
        <v>1000</v>
      </c>
      <c r="E44" s="58" cm="1">
        <f t="array" ref="E44">(    (Tabella1257[Theta vib 1]/Tabella1156[[#This Row],[Temperatura]]) /(EXP(Tabella1257[Theta vib 1]/Tabella1156[[#This Row],[Temperatura]])-1) - LN(1-EXP(-Tabella1257[Theta vib 1]/Tabella1156[[#This Row],[Temperatura]]))    )</f>
        <v>0.35992496476331398</v>
      </c>
      <c r="F44" s="32" cm="1">
        <f t="array" ref="F44">(    (Tabella1257[Theta vib2]/Tabella1156[[#This Row],[Temperatura]]) /(EXP(Tabella1257[Theta vib2]/Tabella1156[[#This Row],[Temperatura]])-1) - LN(1-EXP(-Tabella1257[Theta vib2]/Tabella1156[[#This Row],[Temperatura]]))    )</f>
        <v>2.7210244382341577E-2</v>
      </c>
      <c r="G44" s="32" cm="1">
        <f t="array" ref="G44">(    (Tabella1257[Theta vib3]/Tabella1156[[#This Row],[Temperatura]]) /(EXP(Tabella1257[Theta vib3]/Tabella1156[[#This Row],[Temperatura]])-1) - LN(1-EXP(-Tabella1257[Theta vib3]/Tabella1156[[#This Row],[Temperatura]]))    )</f>
        <v>2.342524807728737E-2</v>
      </c>
      <c r="H44" s="32" cm="1">
        <f t="array" ref="H44">Tabella3[Rydberg R]*SUM(Tabella1156[[#This Row],[S vib 1]:[S vib 3]])</f>
        <v>3.4135895740091473</v>
      </c>
    </row>
    <row r="45" spans="1:11" x14ac:dyDescent="0.35">
      <c r="A45" s="60"/>
      <c r="D45" s="58">
        <v>1100</v>
      </c>
      <c r="E45" s="58" cm="1">
        <f t="array" ref="E45">(    (Tabella1257[Theta vib 1]/Tabella1156[[#This Row],[Temperatura]]) /(EXP(Tabella1257[Theta vib 1]/Tabella1156[[#This Row],[Temperatura]])-1) - LN(1-EXP(-Tabella1257[Theta vib 1]/Tabella1156[[#This Row],[Temperatura]]))    )</f>
        <v>0.4245565904548988</v>
      </c>
      <c r="F45" s="32" cm="1">
        <f t="array" ref="F45">(    (Tabella1257[Theta vib2]/Tabella1156[[#This Row],[Temperatura]]) /(EXP(Tabella1257[Theta vib2]/Tabella1156[[#This Row],[Temperatura]])-1) - LN(1-EXP(-Tabella1257[Theta vib2]/Tabella1156[[#This Row],[Temperatura]]))    )</f>
        <v>4.1425673840104385E-2</v>
      </c>
      <c r="G45" s="32" cm="1">
        <f t="array" ref="G45">(    (Tabella1257[Theta vib3]/Tabella1156[[#This Row],[Temperatura]]) /(EXP(Tabella1257[Theta vib3]/Tabella1156[[#This Row],[Temperatura]])-1) - LN(1-EXP(-Tabella1257[Theta vib3]/Tabella1156[[#This Row],[Temperatura]]))    )</f>
        <v>3.6212669422299185E-2</v>
      </c>
      <c r="H45" s="32" cm="1">
        <f t="array" ref="H45">Tabella3[Rydberg R]*SUM(Tabella1156[[#This Row],[S vib 1]:[S vib 3]])</f>
        <v>4.1754810033414991</v>
      </c>
    </row>
    <row r="46" spans="1:11" x14ac:dyDescent="0.35">
      <c r="A46" s="60"/>
      <c r="D46" s="58">
        <v>1200</v>
      </c>
      <c r="E46" s="58" cm="1">
        <f t="array" ref="E46">(    (Tabella1257[Theta vib 1]/Tabella1156[[#This Row],[Temperatura]]) /(EXP(Tabella1257[Theta vib 1]/Tabella1156[[#This Row],[Temperatura]])-1) - LN(1-EXP(-Tabella1257[Theta vib 1]/Tabella1156[[#This Row],[Temperatura]]))    )</f>
        <v>0.48738345055397003</v>
      </c>
      <c r="F46" s="32" cm="1">
        <f t="array" ref="F46">(    (Tabella1257[Theta vib2]/Tabella1156[[#This Row],[Temperatura]]) /(EXP(Tabella1257[Theta vib2]/Tabella1156[[#This Row],[Temperatura]])-1) - LN(1-EXP(-Tabella1257[Theta vib2]/Tabella1156[[#This Row],[Temperatura]]))    )</f>
        <v>5.8559884800682728E-2</v>
      </c>
      <c r="G46" s="32" cm="1">
        <f t="array" ref="G46">(    (Tabella1257[Theta vib3]/Tabella1156[[#This Row],[Temperatura]]) /(EXP(Tabella1257[Theta vib3]/Tabella1156[[#This Row],[Temperatura]])-1) - LN(1-EXP(-Tabella1257[Theta vib3]/Tabella1156[[#This Row],[Temperatura]]))    )</f>
        <v>5.1838775146437963E-2</v>
      </c>
      <c r="H46" s="32" cm="1">
        <f t="array" ref="H46">Tabella3[Rydberg R]*SUM(Tabella1156[[#This Row],[S vib 1]:[S vib 3]])</f>
        <v>4.9702370114704646</v>
      </c>
    </row>
    <row r="47" spans="1:11" x14ac:dyDescent="0.35">
      <c r="A47" s="60"/>
      <c r="B47" s="138"/>
      <c r="D47" s="58">
        <v>1300</v>
      </c>
      <c r="E47" s="58" cm="1">
        <f t="array" ref="E47">(    (Tabella1257[Theta vib 1]/Tabella1156[[#This Row],[Temperatura]]) /(EXP(Tabella1257[Theta vib 1]/Tabella1156[[#This Row],[Temperatura]])-1) - LN(1-EXP(-Tabella1257[Theta vib 1]/Tabella1156[[#This Row],[Temperatura]]))    )</f>
        <v>0.54806910837767608</v>
      </c>
      <c r="F47" s="32" cm="1">
        <f t="array" ref="F47">(    (Tabella1257[Theta vib2]/Tabella1156[[#This Row],[Temperatura]]) /(EXP(Tabella1257[Theta vib2]/Tabella1156[[#This Row],[Temperatura]])-1) - LN(1-EXP(-Tabella1257[Theta vib2]/Tabella1156[[#This Row],[Temperatura]]))    )</f>
        <v>7.8246425468406183E-2</v>
      </c>
      <c r="G47" s="32" cm="1">
        <f t="array" ref="G47">(    (Tabella1257[Theta vib3]/Tabella1156[[#This Row],[Temperatura]]) /(EXP(Tabella1257[Theta vib3]/Tabella1156[[#This Row],[Temperatura]])-1) - LN(1-EXP(-Tabella1257[Theta vib3]/Tabella1156[[#This Row],[Temperatura]]))    )</f>
        <v>6.9996911974939402E-2</v>
      </c>
      <c r="H47" s="32" cm="1">
        <f t="array" ref="H47">Tabella3[Rydberg R]*SUM(Tabella1156[[#This Row],[S vib 1]:[S vib 3]])</f>
        <v>5.7894638012270354</v>
      </c>
    </row>
    <row r="48" spans="1:11" x14ac:dyDescent="0.35">
      <c r="A48" s="60"/>
      <c r="B48" s="138"/>
      <c r="D48" s="58">
        <v>1400</v>
      </c>
      <c r="E48" s="58" cm="1">
        <f t="array" ref="E48">(    (Tabella1257[Theta vib 1]/Tabella1156[[#This Row],[Temperatura]]) /(EXP(Tabella1257[Theta vib 1]/Tabella1156[[#This Row],[Temperatura]])-1) - LN(1-EXP(-Tabella1257[Theta vib 1]/Tabella1156[[#This Row],[Temperatura]]))    )</f>
        <v>0.60647026028813278</v>
      </c>
      <c r="F48" s="32" cm="1">
        <f t="array" ref="F48">(    (Tabella1257[Theta vib2]/Tabella1156[[#This Row],[Temperatura]]) /(EXP(Tabella1257[Theta vib2]/Tabella1156[[#This Row],[Temperatura]])-1) - LN(1-EXP(-Tabella1257[Theta vib2]/Tabella1156[[#This Row],[Temperatura]]))    )</f>
        <v>0.1000790349014147</v>
      </c>
      <c r="G48" s="32" cm="1">
        <f t="array" ref="G48">(    (Tabella1257[Theta vib3]/Tabella1156[[#This Row],[Temperatura]]) /(EXP(Tabella1257[Theta vib3]/Tabella1156[[#This Row],[Temperatura]])-1) - LN(1-EXP(-Tabella1257[Theta vib3]/Tabella1156[[#This Row],[Temperatura]]))    )</f>
        <v>9.0325267463138292E-2</v>
      </c>
      <c r="H48" s="32" cm="1">
        <f t="array" ref="H48">Tabella3[Rydberg R]*SUM(Tabella1156[[#This Row],[S vib 1]:[S vib 3]])</f>
        <v>6.6255837624108551</v>
      </c>
    </row>
    <row r="49" spans="1:14" x14ac:dyDescent="0.35">
      <c r="A49" s="60"/>
      <c r="B49" s="138"/>
      <c r="D49" s="58">
        <v>1500</v>
      </c>
      <c r="E49" s="58" cm="1">
        <f t="array" ref="E49">(    (Tabella1257[Theta vib 1]/Tabella1156[[#This Row],[Temperatura]]) /(EXP(Tabella1257[Theta vib 1]/Tabella1156[[#This Row],[Temperatura]])-1) - LN(1-EXP(-Tabella1257[Theta vib 1]/Tabella1156[[#This Row],[Temperatura]]))    )</f>
        <v>0.66256007723361843</v>
      </c>
      <c r="F49" s="32" cm="1">
        <f t="array" ref="F49">(    (Tabella1257[Theta vib2]/Tabella1156[[#This Row],[Temperatura]]) /(EXP(Tabella1257[Theta vib2]/Tabella1156[[#This Row],[Temperatura]])-1) - LN(1-EXP(-Tabella1257[Theta vib2]/Tabella1156[[#This Row],[Temperatura]]))    )</f>
        <v>0.12365669217406294</v>
      </c>
      <c r="G49" s="32" cm="1">
        <f t="array" ref="G49">(    (Tabella1257[Theta vib3]/Tabella1156[[#This Row],[Temperatura]]) /(EXP(Tabella1257[Theta vib3]/Tabella1156[[#This Row],[Temperatura]])-1) - LN(1-EXP(-Tabella1257[Theta vib3]/Tabella1156[[#This Row],[Temperatura]]))    )</f>
        <v>0.11245318718124392</v>
      </c>
      <c r="H49" s="32" cm="1">
        <f t="array" ref="H49">Tabella3[Rydberg R]*SUM(Tabella1156[[#This Row],[S vib 1]:[S vib 3]])</f>
        <v>7.4719577599783031</v>
      </c>
    </row>
    <row r="50" spans="1:14" x14ac:dyDescent="0.35">
      <c r="A50" s="60"/>
      <c r="B50" s="138"/>
      <c r="D50" s="58">
        <v>1600</v>
      </c>
      <c r="E50" s="58" cm="1">
        <f t="array" ref="E50">(    (Tabella1257[Theta vib 1]/Tabella1156[[#This Row],[Temperatura]]) /(EXP(Tabella1257[Theta vib 1]/Tabella1156[[#This Row],[Temperatura]])-1) - LN(1-EXP(-Tabella1257[Theta vib 1]/Tabella1156[[#This Row],[Temperatura]]))    )</f>
        <v>0.7163803544900349</v>
      </c>
      <c r="F50" s="32" cm="1">
        <f t="array" ref="F50">(    (Tabella1257[Theta vib2]/Tabella1156[[#This Row],[Temperatura]]) /(EXP(Tabella1257[Theta vib2]/Tabella1156[[#This Row],[Temperatura]])-1) - LN(1-EXP(-Tabella1257[Theta vib2]/Tabella1156[[#This Row],[Temperatura]]))    )</f>
        <v>0.1486089256584549</v>
      </c>
      <c r="G50" s="32" cm="1">
        <f t="array" ref="G50">(    (Tabella1257[Theta vib3]/Tabella1156[[#This Row],[Temperatura]]) /(EXP(Tabella1257[Theta vib3]/Tabella1156[[#This Row],[Temperatura]])-1) - LN(1-EXP(-Tabella1257[Theta vib3]/Tabella1156[[#This Row],[Temperatura]]))    )</f>
        <v>0.13602913889022342</v>
      </c>
      <c r="H50" s="32" cm="1">
        <f t="array" ref="H50">Tabella3[Rydberg R]*SUM(Tabella1156[[#This Row],[S vib 1]:[S vib 3]])</f>
        <v>8.3229302250268411</v>
      </c>
    </row>
    <row r="51" spans="1:14" x14ac:dyDescent="0.35">
      <c r="A51" s="60"/>
      <c r="B51" s="138"/>
      <c r="D51" s="58">
        <v>1700</v>
      </c>
      <c r="E51" s="58" cm="1">
        <f t="array" ref="E51">(    (Tabella1257[Theta vib 1]/Tabella1156[[#This Row],[Temperatura]]) /(EXP(Tabella1257[Theta vib 1]/Tabella1156[[#This Row],[Temperatura]])-1) - LN(1-EXP(-Tabella1257[Theta vib 1]/Tabella1156[[#This Row],[Temperatura]]))    )</f>
        <v>0.7680117709277039</v>
      </c>
      <c r="F51" s="32" cm="1">
        <f t="array" ref="F51">(    (Tabella1257[Theta vib2]/Tabella1156[[#This Row],[Temperatura]]) /(EXP(Tabella1257[Theta vib2]/Tabella1156[[#This Row],[Temperatura]])-1) - LN(1-EXP(-Tabella1257[Theta vib2]/Tabella1156[[#This Row],[Temperatura]]))    )</f>
        <v>0.1746075619381624</v>
      </c>
      <c r="G51" s="32" cm="1">
        <f t="array" ref="G51">(    (Tabella1257[Theta vib3]/Tabella1156[[#This Row],[Temperatura]]) /(EXP(Tabella1257[Theta vib3]/Tabella1156[[#This Row],[Temperatura]])-1) - LN(1-EXP(-Tabella1257[Theta vib3]/Tabella1156[[#This Row],[Temperatura]]))    )</f>
        <v>0.16073529113439458</v>
      </c>
      <c r="H51" s="32" cm="1">
        <f t="array" ref="H51">Tabella3[Rydberg R]*SUM(Tabella1156[[#This Row],[S vib 1]:[S vib 3]])</f>
        <v>9.1738007756476154</v>
      </c>
    </row>
    <row r="52" spans="1:14" x14ac:dyDescent="0.35">
      <c r="A52" s="60"/>
      <c r="B52" s="138"/>
      <c r="D52" s="58">
        <v>1800</v>
      </c>
      <c r="E52" s="58" cm="1">
        <f t="array" ref="E52">(    (Tabella1257[Theta vib 1]/Tabella1156[[#This Row],[Temperatura]]) /(EXP(Tabella1257[Theta vib 1]/Tabella1156[[#This Row],[Temperatura]])-1) - LN(1-EXP(-Tabella1257[Theta vib 1]/Tabella1156[[#This Row],[Temperatura]]))    )</f>
        <v>0.81755546590864947</v>
      </c>
      <c r="F52" s="32" cm="1">
        <f t="array" ref="F52">(    (Tabella1257[Theta vib2]/Tabella1156[[#This Row],[Temperatura]]) /(EXP(Tabella1257[Theta vib2]/Tabella1156[[#This Row],[Temperatura]])-1) - LN(1-EXP(-Tabella1257[Theta vib2]/Tabella1156[[#This Row],[Temperatura]]))    )</f>
        <v>0.20137004050259261</v>
      </c>
      <c r="G52" s="32" cm="1">
        <f t="array" ref="G52">(    (Tabella1257[Theta vib3]/Tabella1156[[#This Row],[Temperatura]]) /(EXP(Tabella1257[Theta vib3]/Tabella1156[[#This Row],[Temperatura]])-1) - LN(1-EXP(-Tabella1257[Theta vib3]/Tabella1156[[#This Row],[Temperatura]]))    )</f>
        <v>0.18629330448143452</v>
      </c>
      <c r="H52" s="32" cm="1">
        <f t="array" ref="H52">Tabella3[Rydberg R]*SUM(Tabella1156[[#This Row],[S vib 1]:[S vib 3]])</f>
        <v>10.020746749677572</v>
      </c>
    </row>
    <row r="53" spans="1:14" x14ac:dyDescent="0.35">
      <c r="D53" s="58">
        <v>1900</v>
      </c>
      <c r="E53" s="58" cm="1">
        <f t="array" ref="E53">(    (Tabella1257[Theta vib 1]/Tabella1156[[#This Row],[Temperatura]]) /(EXP(Tabella1257[Theta vib 1]/Tabella1156[[#This Row],[Temperatura]])-1) - LN(1-EXP(-Tabella1257[Theta vib 1]/Tabella1156[[#This Row],[Temperatura]]))    )</f>
        <v>0.86512169119721971</v>
      </c>
      <c r="F53" s="32" cm="1">
        <f t="array" ref="F53">(    (Tabella1257[Theta vib2]/Tabella1156[[#This Row],[Temperatura]]) /(EXP(Tabella1257[Theta vib2]/Tabella1156[[#This Row],[Temperatura]])-1) - LN(1-EXP(-Tabella1257[Theta vib2]/Tabella1156[[#This Row],[Temperatura]]))    )</f>
        <v>0.22865794273612328</v>
      </c>
      <c r="G53" s="32" cm="1">
        <f t="array" ref="G53">(    (Tabella1257[Theta vib3]/Tabella1156[[#This Row],[Temperatura]]) /(EXP(Tabella1257[Theta vib3]/Tabella1156[[#This Row],[Temperatura]])-1) - LN(1-EXP(-Tabella1257[Theta vib3]/Tabella1156[[#This Row],[Temperatura]]))    )</f>
        <v>0.21246482725101312</v>
      </c>
      <c r="H53" s="32" cm="1">
        <f t="array" ref="H53">Tabella3[Rydberg R]*SUM(Tabella1156[[#This Row],[S vib 1]:[S vib 3]])</f>
        <v>10.86072074248688</v>
      </c>
    </row>
    <row r="54" spans="1:14" x14ac:dyDescent="0.35">
      <c r="D54" s="58">
        <v>2000</v>
      </c>
      <c r="E54" s="58" cm="1">
        <f t="array" ref="E54">(    (Tabella1257[Theta vib 1]/Tabella1156[[#This Row],[Temperatura]]) /(EXP(Tabella1257[Theta vib 1]/Tabella1156[[#This Row],[Temperatura]])-1) - LN(1-EXP(-Tabella1257[Theta vib 1]/Tabella1156[[#This Row],[Temperatura]]))    )</f>
        <v>0.91082289730809984</v>
      </c>
      <c r="F54" s="32" cm="1">
        <f t="array" ref="F54">(    (Tabella1257[Theta vib2]/Tabella1156[[#This Row],[Temperatura]]) /(EXP(Tabella1257[Theta vib2]/Tabella1156[[#This Row],[Temperatura]])-1) - LN(1-EXP(-Tabella1257[Theta vib2]/Tabella1156[[#This Row],[Temperatura]]))    )</f>
        <v>0.25627310902585848</v>
      </c>
      <c r="G54" s="32" cm="1">
        <f t="array" ref="G54">(    (Tabella1257[Theta vib3]/Tabella1156[[#This Row],[Temperatura]]) /(EXP(Tabella1257[Theta vib3]/Tabella1156[[#This Row],[Temperatura]])-1) - LN(1-EXP(-Tabella1257[Theta vib3]/Tabella1156[[#This Row],[Temperatura]]))    )</f>
        <v>0.23904908534684546</v>
      </c>
      <c r="H54" s="32" cm="1">
        <f t="array" ref="H54">Tabella3[Rydberg R]*SUM(Tabella1156[[#This Row],[S vib 1]:[S vib 3]])</f>
        <v>11.691340800264227</v>
      </c>
    </row>
    <row r="55" spans="1:14" x14ac:dyDescent="0.35">
      <c r="D55" s="139" t="s">
        <v>122</v>
      </c>
      <c r="E55" s="32">
        <f>E54-E37</f>
        <v>0.90701212471540471</v>
      </c>
      <c r="F55" s="32">
        <f t="shared" ref="F55" si="4">F54-F37</f>
        <v>0.25627290470072006</v>
      </c>
      <c r="G55" s="32">
        <f t="shared" ref="G55" si="5">G54-G37</f>
        <v>0.23904896865627062</v>
      </c>
      <c r="H55" s="32">
        <f t="shared" ref="H55" si="6">H54-H37</f>
        <v>11.659653604923417</v>
      </c>
    </row>
    <row r="57" spans="1:14" x14ac:dyDescent="0.3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35">
      <c r="A58" s="18">
        <v>298.14999999999998</v>
      </c>
      <c r="B58" s="32" cm="1">
        <f t="array" ref="B58">(Tabella348[Boltzmann k]*Tabella550[[#This Row],[Temperatura]])/101325</f>
        <v>4.0625758633111278E-26</v>
      </c>
      <c r="C58" s="32" cm="1">
        <f t="array" ref="C58">POWER((2*Tabella348[Pi Greco]*Tabella348[Massa '[kg']]*Tabella348[Boltzmann k]*Tabella550[[#This Row],[Temperatura]])/(POWER(Tabella348[Planck h],2)),1.5)*Tabella550[[#This Row],[Volume]]</f>
        <v>3002849.5451230486</v>
      </c>
      <c r="D58" s="32">
        <f t="shared" ref="D58:D75" si="7">E15</f>
        <v>1.6404673538841369E-10</v>
      </c>
      <c r="E58" s="32" cm="1">
        <f t="array" ref="E58">(SQRT(PI())/Tabella651[Simmetria])*(SQRT(POWER(Tabella550[[#This Row],[Temperatura]],3)/PRODUCT($G$7,$H$7,$I$7)))</f>
        <v>43.662208695990557</v>
      </c>
      <c r="F58" s="18" cm="1">
        <f t="array" ref="F58">Tabella636[Gel]*EXP(0)</f>
        <v>1</v>
      </c>
      <c r="H58" s="45">
        <v>298.14999999999998</v>
      </c>
      <c r="I58" s="18" cm="1">
        <f t="array" ref="I58">POWER((2*PI()*Tabella348[Massa '[kg']]*Tabella348[Boltzmann k]*Tabella154[[#This Row],[Temperatura]])/(POWER(Tabella348[Planck h],2)),1.5)</f>
        <v>7.391491620480488E+31</v>
      </c>
      <c r="J58" s="32" cm="1">
        <f t="array" ref="J58">(Tabella154[[#This Row],[Temperatura]]*Tabella348[Boltzmann k])/101325</f>
        <v>4.0625758633111278E-26</v>
      </c>
      <c r="K58" s="32" cm="1">
        <f t="array" ref="K58">Tabella348[Rydberg R]*(2.5+LN(Tabella154[[#This Row],[Volume]]*Tabella154[[#This Row],[Translational Factor]]))</f>
        <v>144.7969671640557</v>
      </c>
      <c r="M58" s="45">
        <v>298.14999999999998</v>
      </c>
      <c r="N58" s="18" cm="1">
        <f t="array" ref="N58">Tabella348[Rydberg R]*(1.5+LN(SQRT(PI()*POWER(Tabella1358[[#This Row],[Temperatura]],3)/(Tabella651[Simmetria]*Tabella651[Simmetria]*PRODUCT($G$7:$I$7)))))</f>
        <v>43.871120145757565</v>
      </c>
    </row>
    <row r="59" spans="1:14" x14ac:dyDescent="0.35">
      <c r="A59" s="18">
        <v>400</v>
      </c>
      <c r="B59" s="32" cm="1">
        <f t="array" ref="B59">(Tabella348[Boltzmann k]*Tabella550[[#This Row],[Temperatura]])/101325</f>
        <v>5.4503784850727862E-26</v>
      </c>
      <c r="C59" s="32" cm="1">
        <f t="array" ref="C59">POWER((2*Tabella348[Pi Greco]*Tabella348[Massa '[kg']]*Tabella348[Boltzmann k]*Tabella550[[#This Row],[Temperatura]])/(POWER(Tabella348[Planck h],2)),1.5)*Tabella550[[#This Row],[Volume]]</f>
        <v>6260319.7686982797</v>
      </c>
      <c r="D59" s="32">
        <f t="shared" si="7"/>
        <v>5.1015390951576178E-8</v>
      </c>
      <c r="E59" s="32" cm="1">
        <f t="array" ref="E59">(SQRT(PI())/Tabella651[Simmetria])*(SQRT(POWER(Tabella550[[#This Row],[Temperatura]],3)/PRODUCT($G$7,$H$7,$I$7)))</f>
        <v>67.849002572796323</v>
      </c>
      <c r="F59" s="18" cm="1">
        <f t="array" ref="F59">Tabella636[Gel]*EXP(0)</f>
        <v>1</v>
      </c>
      <c r="H59" s="45">
        <v>400</v>
      </c>
      <c r="I59" s="18" cm="1">
        <f t="array" ref="I59">POWER((2*PI()*Tabella348[Massa '[kg']]*Tabella348[Boltzmann k]*Tabella154[[#This Row],[Temperatura]])/(POWER(Tabella348[Planck h],2)),1.5)</f>
        <v>1.1486027595778382E+32</v>
      </c>
      <c r="J59" s="32" cm="1">
        <f t="array" ref="J59">(Tabella154[[#This Row],[Temperatura]]*Tabella348[Boltzmann k])/101325</f>
        <v>5.4503784850727862E-26</v>
      </c>
      <c r="K59" s="32" cm="1">
        <f t="array" ref="K59">Tabella348[Rydberg R]*(2.5+LN(Tabella154[[#This Row],[Volume]]*Tabella154[[#This Row],[Translational Factor]]))</f>
        <v>150.90534991396225</v>
      </c>
      <c r="M59" s="45">
        <v>400</v>
      </c>
      <c r="N59" s="18" cm="1">
        <f t="array" ref="N59">Tabella348[Rydberg R]*(1.5+LN(SQRT(PI()*POWER(Tabella1358[[#This Row],[Temperatura]],3)/(Tabella651[Simmetria]*Tabella651[Simmetria]*PRODUCT($G$7:$I$7)))))</f>
        <v>47.536149795701519</v>
      </c>
    </row>
    <row r="60" spans="1:14" x14ac:dyDescent="0.35">
      <c r="A60" s="18">
        <v>500</v>
      </c>
      <c r="B60" s="32" cm="1">
        <f t="array" ref="B60">(Tabella348[Boltzmann k]*Tabella550[[#This Row],[Temperatura]])/101325</f>
        <v>6.8129731063409828E-26</v>
      </c>
      <c r="C60" s="32" cm="1">
        <f t="array" ref="C60">POWER((2*Tabella348[Pi Greco]*Tabella348[Massa '[kg']]*Tabella348[Boltzmann k]*Tabella550[[#This Row],[Temperatura]])/(POWER(Tabella348[Planck h],2)),1.5)*Tabella550[[#This Row],[Volume]]</f>
        <v>10936328.565386869</v>
      </c>
      <c r="D60" s="32">
        <f t="shared" si="7"/>
        <v>1.4771025085730153E-6</v>
      </c>
      <c r="E60" s="32" cm="1">
        <f t="array" ref="E60">(SQRT(PI())/Tabella651[Simmetria])*(SQRT(POWER(Tabella550[[#This Row],[Temperatura]],3)/PRODUCT($G$7,$H$7,$I$7)))</f>
        <v>94.821863723956696</v>
      </c>
      <c r="F60" s="18" cm="1">
        <f t="array" ref="F60">Tabella636[Gel]*EXP(0)</f>
        <v>1</v>
      </c>
      <c r="H60" s="45">
        <v>500</v>
      </c>
      <c r="I60" s="18" cm="1">
        <f t="array" ref="I60">POWER((2*PI()*Tabella348[Massa '[kg']]*Tabella348[Boltzmann k]*Tabella154[[#This Row],[Temperatura]])/(POWER(Tabella348[Planck h],2)),1.5)</f>
        <v>1.6052211559749428E+32</v>
      </c>
      <c r="J60" s="32" cm="1">
        <f t="array" ref="J60">(Tabella154[[#This Row],[Temperatura]]*Tabella348[Boltzmann k])/101325</f>
        <v>6.8129731063409828E-26</v>
      </c>
      <c r="K60" s="32" cm="1">
        <f t="array" ref="K60">Tabella348[Rydberg R]*(2.5+LN(Tabella154[[#This Row],[Volume]]*Tabella154[[#This Row],[Translational Factor]]))</f>
        <v>155.54364670358669</v>
      </c>
      <c r="M60" s="45">
        <v>500</v>
      </c>
      <c r="N60" s="18" cm="1">
        <f t="array" ref="N60">Tabella348[Rydberg R]*(1.5+LN(SQRT(PI()*POWER(Tabella1358[[#This Row],[Temperatura]],3)/(Tabella651[Simmetria]*Tabella651[Simmetria]*PRODUCT($G$7:$I$7)))))</f>
        <v>50.319127869476162</v>
      </c>
    </row>
    <row r="61" spans="1:14" x14ac:dyDescent="0.35">
      <c r="A61" s="18">
        <v>600</v>
      </c>
      <c r="B61" s="32" cm="1">
        <f t="array" ref="B61">(Tabella348[Boltzmann k]*Tabella550[[#This Row],[Temperatura]])/101325</f>
        <v>8.1755677276091782E-26</v>
      </c>
      <c r="C61" s="32" cm="1">
        <f t="array" ref="C61">POWER((2*Tabella348[Pi Greco]*Tabella348[Massa '[kg']]*Tabella348[Boltzmann k]*Tabella550[[#This Row],[Temperatura]])/(POWER(Tabella348[Planck h],2)),1.5)*Tabella550[[#This Row],[Volume]]</f>
        <v>17251412.692465231</v>
      </c>
      <c r="D61" s="32">
        <f t="shared" si="7"/>
        <v>1.4029102609256496E-5</v>
      </c>
      <c r="E61" s="32" cm="1">
        <f t="array" ref="E61">(SQRT(PI())/Tabella651[Simmetria])*(SQRT(POWER(Tabella550[[#This Row],[Temperatura]],3)/PRODUCT($G$7,$H$7,$I$7)))</f>
        <v>124.64657689510055</v>
      </c>
      <c r="F61" s="18" cm="1">
        <f t="array" ref="F61">Tabella636[Gel]*EXP(0)</f>
        <v>1</v>
      </c>
      <c r="H61" s="45">
        <v>600</v>
      </c>
      <c r="I61" s="18" cm="1">
        <f t="array" ref="I61">POWER((2*PI()*Tabella348[Massa '[kg']]*Tabella348[Boltzmann k]*Tabella154[[#This Row],[Temperatura]])/(POWER(Tabella348[Planck h],2)),1.5)</f>
        <v>2.1101180085887622E+32</v>
      </c>
      <c r="J61" s="32" cm="1">
        <f t="array" ref="J61">(Tabella154[[#This Row],[Temperatura]]*Tabella348[Boltzmann k])/101325</f>
        <v>8.1755677276091782E-26</v>
      </c>
      <c r="K61" s="32" cm="1">
        <f t="array" ref="K61">Tabella348[Rydberg R]*(2.5+LN(Tabella154[[#This Row],[Volume]]*Tabella154[[#This Row],[Translational Factor]]))</f>
        <v>159.33341112463384</v>
      </c>
      <c r="M61" s="45">
        <v>600</v>
      </c>
      <c r="N61" s="18" cm="1">
        <f t="array" ref="N61">Tabella348[Rydberg R]*(1.5+LN(SQRT(PI()*POWER(Tabella1358[[#This Row],[Temperatura]],3)/(Tabella651[Simmetria]*Tabella651[Simmetria]*PRODUCT($G$7:$I$7)))))</f>
        <v>52.592986522104518</v>
      </c>
    </row>
    <row r="62" spans="1:14" x14ac:dyDescent="0.35">
      <c r="A62" s="18">
        <v>700</v>
      </c>
      <c r="B62" s="32" cm="1">
        <f t="array" ref="B62">(Tabella348[Boltzmann k]*Tabella550[[#This Row],[Temperatura]])/101325</f>
        <v>9.5381623488773759E-26</v>
      </c>
      <c r="C62" s="32" cm="1">
        <f t="array" ref="C62">POWER((2*Tabella348[Pi Greco]*Tabella348[Massa '[kg']]*Tabella348[Boltzmann k]*Tabella550[[#This Row],[Temperatura]])/(POWER(Tabella348[Planck h],2)),1.5)*Tabella550[[#This Row],[Volume]]</f>
        <v>25362475.39219157</v>
      </c>
      <c r="D62" s="32">
        <f t="shared" si="7"/>
        <v>7.061449376009829E-5</v>
      </c>
      <c r="E62" s="32" cm="1">
        <f t="array" ref="E62">(SQRT(PI())/Tabella651[Simmetria])*(SQRT(POWER(Tabella550[[#This Row],[Temperatura]],3)/PRODUCT($G$7,$H$7,$I$7)))</f>
        <v>157.0726390724756</v>
      </c>
      <c r="F62" s="18" cm="1">
        <f t="array" ref="F62">Tabella636[Gel]*EXP(0)</f>
        <v>1</v>
      </c>
      <c r="H62" s="45">
        <v>700</v>
      </c>
      <c r="I62" s="18" cm="1">
        <f t="array" ref="I62">POWER((2*PI()*Tabella348[Massa '[kg']]*Tabella348[Boltzmann k]*Tabella154[[#This Row],[Temperatura]])/(POWER(Tabella348[Planck h],2)),1.5)</f>
        <v>2.6590525999147716E+32</v>
      </c>
      <c r="J62" s="32" cm="1">
        <f t="array" ref="J62">(Tabella154[[#This Row],[Temperatura]]*Tabella348[Boltzmann k])/101325</f>
        <v>9.5381623488773759E-26</v>
      </c>
      <c r="K62" s="32" cm="1">
        <f t="array" ref="K62">Tabella348[Rydberg R]*(2.5+LN(Tabella154[[#This Row],[Volume]]*Tabella154[[#This Row],[Translational Factor]]))</f>
        <v>162.53761128704141</v>
      </c>
      <c r="M62" s="45">
        <v>700</v>
      </c>
      <c r="N62" s="18" cm="1">
        <f t="array" ref="N62">Tabella348[Rydberg R]*(1.5+LN(SQRT(PI()*POWER(Tabella1358[[#This Row],[Temperatura]],3)/(Tabella651[Simmetria]*Tabella651[Simmetria]*PRODUCT($G$7:$I$7)))))</f>
        <v>54.515506619549051</v>
      </c>
    </row>
    <row r="63" spans="1:14" x14ac:dyDescent="0.35">
      <c r="A63" s="18">
        <v>800</v>
      </c>
      <c r="B63" s="32" cm="1">
        <f t="array" ref="B63">(Tabella348[Boltzmann k]*Tabella550[[#This Row],[Temperatura]])/101325</f>
        <v>1.0900756970145572E-25</v>
      </c>
      <c r="C63" s="32" cm="1">
        <f t="array" ref="C63">POWER((2*Tabella348[Pi Greco]*Tabella348[Massa '[kg']]*Tabella348[Boltzmann k]*Tabella550[[#This Row],[Temperatura]])/(POWER(Tabella348[Planck h],2)),1.5)*Tabella550[[#This Row],[Volume]]</f>
        <v>35413716.486742117</v>
      </c>
      <c r="D63" s="32">
        <f t="shared" si="7"/>
        <v>2.3932839645276279E-4</v>
      </c>
      <c r="E63" s="32" cm="1">
        <f t="array" ref="E63">(SQRT(PI())/Tabella651[Simmetria])*(SQRT(POWER(Tabella550[[#This Row],[Temperatura]],3)/PRODUCT($G$7,$H$7,$I$7)))</f>
        <v>191.90595926387118</v>
      </c>
      <c r="F63" s="18" cm="1">
        <f t="array" ref="F63">Tabella636[Gel]*EXP(0)</f>
        <v>1</v>
      </c>
      <c r="H63" s="45">
        <v>800</v>
      </c>
      <c r="I63" s="18" cm="1">
        <f t="array" ref="I63">POWER((2*PI()*Tabella348[Massa '[kg']]*Tabella348[Boltzmann k]*Tabella154[[#This Row],[Temperatura]])/(POWER(Tabella348[Planck h],2)),1.5)</f>
        <v>3.2487392007482935E+32</v>
      </c>
      <c r="J63" s="32" cm="1">
        <f t="array" ref="J63">(Tabella154[[#This Row],[Temperatura]]*Tabella348[Boltzmann k])/101325</f>
        <v>1.0900756970145572E-25</v>
      </c>
      <c r="K63" s="32" cm="1">
        <f t="array" ref="K63">Tabella348[Rydberg R]*(2.5+LN(Tabella154[[#This Row],[Volume]]*Tabella154[[#This Row],[Translational Factor]]))</f>
        <v>165.31321571780666</v>
      </c>
      <c r="M63" s="45">
        <v>800</v>
      </c>
      <c r="N63" s="18" cm="1">
        <f t="array" ref="N63">Tabella348[Rydberg R]*(1.5+LN(SQRT(PI()*POWER(Tabella1358[[#This Row],[Temperatura]],3)/(Tabella651[Simmetria]*Tabella651[Simmetria]*PRODUCT($G$7:$I$7)))))</f>
        <v>56.18086927800816</v>
      </c>
    </row>
    <row r="64" spans="1:14" x14ac:dyDescent="0.35">
      <c r="A64" s="18">
        <v>900</v>
      </c>
      <c r="B64" s="32" cm="1">
        <f t="array" ref="B64">(Tabella348[Boltzmann k]*Tabella550[[#This Row],[Temperatura]])/101325</f>
        <v>1.2263351591413768E-25</v>
      </c>
      <c r="C64" s="32" cm="1">
        <f t="array" ref="C64">POWER((2*Tabella348[Pi Greco]*Tabella348[Massa '[kg']]*Tabella348[Boltzmann k]*Tabella550[[#This Row],[Temperatura]])/(POWER(Tabella348[Planck h],2)),1.5)*Tabella550[[#This Row],[Volume]]</f>
        <v>47539303.243552625</v>
      </c>
      <c r="D64" s="32">
        <f t="shared" si="7"/>
        <v>6.2372741058796958E-4</v>
      </c>
      <c r="E64" s="32" cm="1">
        <f t="array" ref="E64">(SQRT(PI())/Tabella651[Simmetria])*(SQRT(POWER(Tabella550[[#This Row],[Temperatura]],3)/PRODUCT($G$7,$H$7,$I$7)))</f>
        <v>228.99038368318762</v>
      </c>
      <c r="F64" s="18" cm="1">
        <f t="array" ref="F64">Tabella636[Gel]*EXP(0)</f>
        <v>1</v>
      </c>
      <c r="H64" s="45">
        <v>900</v>
      </c>
      <c r="I64" s="18" cm="1">
        <f t="array" ref="I64">POWER((2*PI()*Tabella348[Massa '[kg']]*Tabella348[Boltzmann k]*Tabella154[[#This Row],[Temperatura]])/(POWER(Tabella348[Planck h],2)),1.5)</f>
        <v>3.8765343135752097E+32</v>
      </c>
      <c r="J64" s="32" cm="1">
        <f t="array" ref="J64">(Tabella154[[#This Row],[Temperatura]]*Tabella348[Boltzmann k])/101325</f>
        <v>1.2263351591413768E-25</v>
      </c>
      <c r="K64" s="32" cm="1">
        <f t="array" ref="K64">Tabella348[Rydberg R]*(2.5+LN(Tabella154[[#This Row],[Volume]]*Tabella154[[#This Row],[Translational Factor]]))</f>
        <v>167.76147233530557</v>
      </c>
      <c r="M64" s="45">
        <v>900</v>
      </c>
      <c r="N64" s="18" cm="1">
        <f t="array" ref="N64">Tabella348[Rydberg R]*(1.5+LN(SQRT(PI()*POWER(Tabella1358[[#This Row],[Temperatura]],3)/(Tabella651[Simmetria]*Tabella651[Simmetria]*PRODUCT($G$7:$I$7)))))</f>
        <v>57.649823248507509</v>
      </c>
    </row>
    <row r="65" spans="1:24" x14ac:dyDescent="0.35">
      <c r="A65" s="18">
        <v>1000</v>
      </c>
      <c r="B65" s="32" cm="1">
        <f t="array" ref="B65">(Tabella348[Boltzmann k]*Tabella550[[#This Row],[Temperatura]])/101325</f>
        <v>1.3625946212681966E-25</v>
      </c>
      <c r="C65" s="32" cm="1">
        <f t="array" ref="C65">POWER((2*Tabella348[Pi Greco]*Tabella348[Massa '[kg']]*Tabella348[Boltzmann k]*Tabella550[[#This Row],[Temperatura]])/(POWER(Tabella348[Planck h],2)),1.5)*Tabella550[[#This Row],[Volume]]</f>
        <v>61865216.718953796</v>
      </c>
      <c r="D65" s="32">
        <f t="shared" si="7"/>
        <v>1.3533966134432042E-3</v>
      </c>
      <c r="E65" s="32" cm="1">
        <f t="array" ref="E65">(SQRT(PI())/Tabella651[Simmetria])*(SQRT(POWER(Tabella550[[#This Row],[Temperatura]],3)/PRODUCT($G$7,$H$7,$I$7)))</f>
        <v>268.19673137582589</v>
      </c>
      <c r="F65" s="18" cm="1">
        <f t="array" ref="F65">Tabella636[Gel]*EXP(0)</f>
        <v>1</v>
      </c>
      <c r="H65" s="45">
        <v>1000</v>
      </c>
      <c r="I65" s="18" cm="1">
        <f t="array" ref="I65">POWER((2*PI()*Tabella348[Massa '[kg']]*Tabella348[Boltzmann k]*Tabella154[[#This Row],[Temperatura]])/(POWER(Tabella348[Planck h],2)),1.5)</f>
        <v>4.5402510587759761E+32</v>
      </c>
      <c r="J65" s="32" cm="1">
        <f t="array" ref="J65">(Tabella154[[#This Row],[Temperatura]]*Tabella348[Boltzmann k])/101325</f>
        <v>1.3625946212681966E-25</v>
      </c>
      <c r="K65" s="32" cm="1">
        <f t="array" ref="K65">Tabella348[Rydberg R]*(2.5+LN(Tabella154[[#This Row],[Volume]]*Tabella154[[#This Row],[Translational Factor]]))</f>
        <v>169.95151250743115</v>
      </c>
      <c r="M65" s="45">
        <v>1000</v>
      </c>
      <c r="N65" s="18" cm="1">
        <f t="array" ref="N65">Tabella348[Rydberg R]*(1.5+LN(SQRT(PI()*POWER(Tabella1358[[#This Row],[Temperatura]],3)/(Tabella651[Simmetria]*Tabella651[Simmetria]*PRODUCT($G$7:$I$7)))))</f>
        <v>58.96384735178281</v>
      </c>
    </row>
    <row r="66" spans="1:24" x14ac:dyDescent="0.35">
      <c r="A66" s="18">
        <v>1100</v>
      </c>
      <c r="B66" s="32" cm="1">
        <f t="array" ref="B66">(Tabella348[Boltzmann k]*Tabella550[[#This Row],[Temperatura]])/101325</f>
        <v>1.4988540833950161E-25</v>
      </c>
      <c r="C66" s="32" cm="1">
        <f t="array" ref="C66">POWER((2*Tabella348[Pi Greco]*Tabella348[Massa '[kg']]*Tabella348[Boltzmann k]*Tabella550[[#This Row],[Temperatura]])/(POWER(Tabella348[Planck h],2)),1.5)*Tabella550[[#This Row],[Volume]]</f>
        <v>78510591.893450692</v>
      </c>
      <c r="D66" s="32">
        <f t="shared" si="7"/>
        <v>2.5716281943893278E-3</v>
      </c>
      <c r="E66" s="32" cm="1">
        <f t="array" ref="E66">(SQRT(PI())/Tabella651[Simmetria])*(SQRT(POWER(Tabella550[[#This Row],[Temperatura]],3)/PRODUCT($G$7,$H$7,$I$7)))</f>
        <v>309.41581540900745</v>
      </c>
      <c r="F66" s="18" cm="1">
        <f t="array" ref="F66">Tabella636[Gel]*EXP(0)</f>
        <v>1</v>
      </c>
      <c r="H66" s="45">
        <v>1100</v>
      </c>
      <c r="I66" s="18" cm="1">
        <f t="array" ref="I66">POWER((2*PI()*Tabella348[Massa '[kg']]*Tabella348[Boltzmann k]*Tabella154[[#This Row],[Temperatura]])/(POWER(Tabella348[Planck h],2)),1.5)</f>
        <v>5.2380410316939163E+32</v>
      </c>
      <c r="J66" s="32" cm="1">
        <f t="array" ref="J66">(Tabella154[[#This Row],[Temperatura]]*Tabella348[Boltzmann k])/101325</f>
        <v>1.4988540833950161E-25</v>
      </c>
      <c r="K66" s="32" cm="1">
        <f t="array" ref="K66">Tabella348[Rydberg R]*(2.5+LN(Tabella154[[#This Row],[Volume]]*Tabella154[[#This Row],[Translational Factor]]))</f>
        <v>171.93264482517586</v>
      </c>
      <c r="M66" s="45">
        <v>1100</v>
      </c>
      <c r="N66" s="18" cm="1">
        <f t="array" ref="N66">Tabella348[Rydberg R]*(1.5+LN(SQRT(PI()*POWER(Tabella1358[[#This Row],[Temperatura]],3)/(Tabella651[Simmetria]*Tabella651[Simmetria]*PRODUCT($G$7:$I$7)))))</f>
        <v>60.152526742429686</v>
      </c>
    </row>
    <row r="67" spans="1:24" x14ac:dyDescent="0.35">
      <c r="A67" s="18">
        <v>1200</v>
      </c>
      <c r="B67" s="32" cm="1">
        <f t="array" ref="B67">(Tabella348[Boltzmann k]*Tabella550[[#This Row],[Temperatura]])/101325</f>
        <v>1.6351135455218356E-25</v>
      </c>
      <c r="C67" s="32" cm="1">
        <f t="array" ref="C67">POWER((2*Tabella348[Pi Greco]*Tabella348[Massa '[kg']]*Tabella348[Boltzmann k]*Tabella550[[#This Row],[Temperatura]])/(POWER(Tabella348[Planck h],2)),1.5)*Tabella550[[#This Row],[Volume]]</f>
        <v>97588727.199119002</v>
      </c>
      <c r="D67" s="32">
        <f t="shared" si="7"/>
        <v>4.4250529677505824E-3</v>
      </c>
      <c r="E67" s="32" cm="1">
        <f t="array" ref="E67">(SQRT(PI())/Tabella651[Simmetria])*(SQRT(POWER(Tabella550[[#This Row],[Temperatura]],3)/PRODUCT($G$7,$H$7,$I$7)))</f>
        <v>352.55375909686416</v>
      </c>
      <c r="F67" s="18" cm="1">
        <f t="array" ref="F67">Tabella636[Gel]*EXP(0)</f>
        <v>1</v>
      </c>
      <c r="H67" s="45">
        <v>1200</v>
      </c>
      <c r="I67" s="18" cm="1">
        <f t="array" ref="I67">POWER((2*PI()*Tabella348[Massa '[kg']]*Tabella348[Boltzmann k]*Tabella154[[#This Row],[Temperatura]])/(POWER(Tabella348[Planck h],2)),1.5)</f>
        <v>5.9683150119078857E+32</v>
      </c>
      <c r="J67" s="32" cm="1">
        <f t="array" ref="J67">(Tabella154[[#This Row],[Temperatura]]*Tabella348[Boltzmann k])/101325</f>
        <v>1.6351135455218356E-25</v>
      </c>
      <c r="K67" s="32" cm="1">
        <f t="array" ref="K67">Tabella348[Rydberg R]*(2.5+LN(Tabella154[[#This Row],[Volume]]*Tabella154[[#This Row],[Translational Factor]]))</f>
        <v>173.7412769284783</v>
      </c>
      <c r="M67" s="45">
        <v>1200</v>
      </c>
      <c r="N67" s="18" cm="1">
        <f t="array" ref="N67">Tabella348[Rydberg R]*(1.5+LN(SQRT(PI()*POWER(Tabella1358[[#This Row],[Temperatura]],3)/(Tabella651[Simmetria]*Tabella651[Simmetria]*PRODUCT($G$7:$I$7)))))</f>
        <v>61.237706004411152</v>
      </c>
    </row>
    <row r="68" spans="1:24" x14ac:dyDescent="0.35">
      <c r="A68" s="18">
        <v>1300</v>
      </c>
      <c r="B68" s="32" cm="1">
        <f t="array" ref="B68">(Tabella348[Boltzmann k]*Tabella550[[#This Row],[Temperatura]])/101325</f>
        <v>1.7713730076486554E-25</v>
      </c>
      <c r="C68" s="32" cm="1">
        <f t="array" ref="C68">POWER((2*Tabella348[Pi Greco]*Tabella348[Massa '[kg']]*Tabella348[Boltzmann k]*Tabella550[[#This Row],[Temperatura]])/(POWER(Tabella348[Planck h],2)),1.5)*Tabella550[[#This Row],[Volume]]</f>
        <v>119207867.61363667</v>
      </c>
      <c r="D68" s="32">
        <f t="shared" si="7"/>
        <v>7.0568483633657334E-3</v>
      </c>
      <c r="E68" s="32" cm="1">
        <f t="array" ref="E68">(SQRT(PI())/Tabella651[Simmetria])*(SQRT(POWER(Tabella550[[#This Row],[Temperatura]],3)/PRODUCT($G$7,$H$7,$I$7)))</f>
        <v>397.52871886862107</v>
      </c>
      <c r="F68" s="18" cm="1">
        <f t="array" ref="F68">Tabella636[Gel]*EXP(0)</f>
        <v>1</v>
      </c>
      <c r="H68" s="45">
        <v>1300</v>
      </c>
      <c r="I68" s="18" cm="1">
        <f t="array" ref="I68">POWER((2*PI()*Tabella348[Massa '[kg']]*Tabella348[Boltzmann k]*Tabella154[[#This Row],[Temperatura]])/(POWER(Tabella348[Planck h],2)),1.5)</f>
        <v>6.7296874852956469E+32</v>
      </c>
      <c r="J68" s="32" cm="1">
        <f t="array" ref="J68">(Tabella154[[#This Row],[Temperatura]]*Tabella348[Boltzmann k])/101325</f>
        <v>1.7713730076486554E-25</v>
      </c>
      <c r="K68" s="32" cm="1">
        <f t="array" ref="K68">Tabella348[Rydberg R]*(2.5+LN(Tabella154[[#This Row],[Volume]]*Tabella154[[#This Row],[Translational Factor]]))</f>
        <v>175.40505718046609</v>
      </c>
      <c r="M68" s="45">
        <v>1300</v>
      </c>
      <c r="N68" s="18" cm="1">
        <f t="array" ref="N68">Tabella348[Rydberg R]*(1.5+LN(SQRT(PI()*POWER(Tabella1358[[#This Row],[Temperatura]],3)/(Tabella651[Simmetria]*Tabella651[Simmetria]*PRODUCT($G$7:$I$7)))))</f>
        <v>62.235974155603834</v>
      </c>
    </row>
    <row r="69" spans="1:24" x14ac:dyDescent="0.35">
      <c r="A69" s="18">
        <v>1400</v>
      </c>
      <c r="B69" s="32" cm="1">
        <f t="array" ref="B69">(Tabella348[Boltzmann k]*Tabella550[[#This Row],[Temperatura]])/101325</f>
        <v>1.9076324697754752E-25</v>
      </c>
      <c r="C69" s="32" cm="1">
        <f t="array" ref="C69">POWER((2*Tabella348[Pi Greco]*Tabella348[Massa '[kg']]*Tabella348[Boltzmann k]*Tabella550[[#This Row],[Temperatura]])/(POWER(Tabella348[Planck h],2)),1.5)*Tabella550[[#This Row],[Volume]]</f>
        <v>143471826.69996521</v>
      </c>
      <c r="D69" s="32">
        <f t="shared" si="7"/>
        <v>1.0603208078620346E-2</v>
      </c>
      <c r="E69" s="32" cm="1">
        <f t="array" ref="E69">(SQRT(PI())/Tabella651[Simmetria])*(SQRT(POWER(Tabella550[[#This Row],[Temperatura]],3)/PRODUCT($G$7,$H$7,$I$7)))</f>
        <v>444.2685129080582</v>
      </c>
      <c r="F69" s="18" cm="1">
        <f t="array" ref="F69">Tabella636[Gel]*EXP(0)</f>
        <v>1</v>
      </c>
      <c r="H69" s="45">
        <v>1400</v>
      </c>
      <c r="I69" s="18" cm="1">
        <f t="array" ref="I69">POWER((2*PI()*Tabella348[Massa '[kg']]*Tabella348[Boltzmann k]*Tabella154[[#This Row],[Temperatura]])/(POWER(Tabella348[Planck h],2)),1.5)</f>
        <v>7.5209364997258401E+32</v>
      </c>
      <c r="J69" s="32" cm="1">
        <f t="array" ref="J69">(Tabella154[[#This Row],[Temperatura]]*Tabella348[Boltzmann k])/101325</f>
        <v>1.9076324697754752E-25</v>
      </c>
      <c r="K69" s="32" cm="1">
        <f t="array" ref="K69">Tabella348[Rydberg R]*(2.5+LN(Tabella154[[#This Row],[Volume]]*Tabella154[[#This Row],[Translational Factor]]))</f>
        <v>176.94547709088584</v>
      </c>
      <c r="M69" s="45">
        <v>1400</v>
      </c>
      <c r="N69" s="18" cm="1">
        <f t="array" ref="N69">Tabella348[Rydberg R]*(1.5+LN(SQRT(PI()*POWER(Tabella1358[[#This Row],[Temperatura]],3)/(Tabella651[Simmetria]*Tabella651[Simmetria]*PRODUCT($G$7:$I$7)))))</f>
        <v>63.160226101855692</v>
      </c>
    </row>
    <row r="70" spans="1:24" x14ac:dyDescent="0.35">
      <c r="A70" s="18">
        <v>1500</v>
      </c>
      <c r="B70" s="32" cm="1">
        <f t="array" ref="B70">(Tabella348[Boltzmann k]*Tabella550[[#This Row],[Temperatura]])/101325</f>
        <v>2.0438919319022949E-25</v>
      </c>
      <c r="C70" s="32" cm="1">
        <f t="array" ref="C70">POWER((2*Tabella348[Pi Greco]*Tabella348[Massa '[kg']]*Tabella348[Boltzmann k]*Tabella550[[#This Row],[Temperatura]])/(POWER(Tabella348[Planck h],2)),1.5)*Tabella550[[#This Row],[Volume]]</f>
        <v>170480490.51165158</v>
      </c>
      <c r="D70" s="32">
        <f t="shared" si="7"/>
        <v>1.5192110687952575E-2</v>
      </c>
      <c r="E70" s="32" cm="1">
        <f t="array" ref="E70">(SQRT(PI())/Tabella651[Simmetria])*(SQRT(POWER(Tabella550[[#This Row],[Temperatura]],3)/PRODUCT($G$7,$H$7,$I$7)))</f>
        <v>492.70885691479566</v>
      </c>
      <c r="F70" s="18" cm="1">
        <f t="array" ref="F70">Tabella636[Gel]*EXP(0)</f>
        <v>1</v>
      </c>
      <c r="H70" s="45">
        <v>1500</v>
      </c>
      <c r="I70" s="18" cm="1">
        <f t="array" ref="I70">POWER((2*PI()*Tabella348[Massa '[kg']]*Tabella348[Boltzmann k]*Tabella154[[#This Row],[Temperatura]])/(POWER(Tabella348[Planck h],2)),1.5)</f>
        <v>8.3409737985991096E+32</v>
      </c>
      <c r="J70" s="32" cm="1">
        <f t="array" ref="J70">(Tabella154[[#This Row],[Temperatura]]*Tabella348[Boltzmann k])/101325</f>
        <v>2.0438919319022949E-25</v>
      </c>
      <c r="K70" s="32" cm="1">
        <f t="array" ref="K70">Tabella348[Rydberg R]*(2.5+LN(Tabella154[[#This Row],[Volume]]*Tabella154[[#This Row],[Translational Factor]]))</f>
        <v>178.37957371810273</v>
      </c>
      <c r="M70" s="45">
        <v>1500</v>
      </c>
      <c r="N70" s="18" cm="1">
        <f t="array" ref="N70">Tabella348[Rydberg R]*(1.5+LN(SQRT(PI()*POWER(Tabella1358[[#This Row],[Temperatura]],3)/(Tabella651[Simmetria]*Tabella651[Simmetria]*PRODUCT($G$7:$I$7)))))</f>
        <v>64.020684078185795</v>
      </c>
    </row>
    <row r="71" spans="1:24" x14ac:dyDescent="0.35">
      <c r="A71" s="18">
        <v>1600</v>
      </c>
      <c r="B71" s="32" cm="1">
        <f t="array" ref="B71">(Tabella348[Boltzmann k]*Tabella550[[#This Row],[Temperatura]])/101325</f>
        <v>2.1801513940291145E-25</v>
      </c>
      <c r="C71" s="32" cm="1">
        <f t="array" ref="C71">POWER((2*Tabella348[Pi Greco]*Tabella348[Massa '[kg']]*Tabella348[Boltzmann k]*Tabella550[[#This Row],[Temperatura]])/(POWER(Tabella348[Planck h],2)),1.5)*Tabella550[[#This Row],[Volume]]</f>
        <v>200330232.59834322</v>
      </c>
      <c r="D71" s="32">
        <f t="shared" si="7"/>
        <v>2.0943454661188177E-2</v>
      </c>
      <c r="E71" s="32" cm="1">
        <f t="array" ref="E71">(SQRT(PI())/Tabella651[Simmetria])*(SQRT(POWER(Tabella550[[#This Row],[Temperatura]],3)/PRODUCT($G$7,$H$7,$I$7)))</f>
        <v>542.79202058237058</v>
      </c>
      <c r="F71" s="18" cm="1">
        <f t="array" ref="F71">Tabella636[Gel]*EXP(0)</f>
        <v>1</v>
      </c>
      <c r="H71" s="45">
        <v>1600</v>
      </c>
      <c r="I71" s="18" cm="1">
        <f t="array" ref="I71">POWER((2*PI()*Tabella348[Massa '[kg']]*Tabella348[Boltzmann k]*Tabella154[[#This Row],[Temperatura]])/(POWER(Tabella348[Planck h],2)),1.5)</f>
        <v>9.1888220766226262E+32</v>
      </c>
      <c r="J71" s="32" cm="1">
        <f t="array" ref="J71">(Tabella154[[#This Row],[Temperatura]]*Tabella348[Boltzmann k])/101325</f>
        <v>2.1801513940291145E-25</v>
      </c>
      <c r="K71" s="32" cm="1">
        <f t="array" ref="K71">Tabella348[Rydberg R]*(2.5+LN(Tabella154[[#This Row],[Volume]]*Tabella154[[#This Row],[Translational Factor]]))</f>
        <v>179.721081521651</v>
      </c>
      <c r="M71" s="45">
        <v>1600</v>
      </c>
      <c r="N71" s="18" cm="1">
        <f t="array" ref="N71">Tabella348[Rydberg R]*(1.5+LN(SQRT(PI()*POWER(Tabella1358[[#This Row],[Temperatura]],3)/(Tabella651[Simmetria]*Tabella651[Simmetria]*PRODUCT($G$7:$I$7)))))</f>
        <v>64.825588760314801</v>
      </c>
    </row>
    <row r="72" spans="1:24" x14ac:dyDescent="0.35">
      <c r="A72" s="18">
        <v>1700</v>
      </c>
      <c r="B72" s="32" cm="1">
        <f t="array" ref="B72">(Tabella348[Boltzmann k]*Tabella550[[#This Row],[Temperatura]])/101325</f>
        <v>2.316410856155934E-25</v>
      </c>
      <c r="C72" s="32" cm="1">
        <f t="array" ref="C72">POWER((2*Tabella348[Pi Greco]*Tabella348[Massa '[kg']]*Tabella348[Boltzmann k]*Tabella550[[#This Row],[Temperatura]])/(POWER(Tabella348[Planck h],2)),1.5)*Tabella550[[#This Row],[Volume]]</f>
        <v>233114260.64763275</v>
      </c>
      <c r="D72" s="32">
        <f t="shared" si="7"/>
        <v>2.7969877492208434E-2</v>
      </c>
      <c r="E72" s="32" cm="1">
        <f t="array" ref="E72">(SQRT(PI())/Tabella651[Simmetria])*(SQRT(POWER(Tabella550[[#This Row],[Temperatura]],3)/PRODUCT($G$7,$H$7,$I$7)))</f>
        <v>594.46578392594279</v>
      </c>
      <c r="F72" s="18" cm="1">
        <f t="array" ref="F72">Tabella636[Gel]*EXP(0)</f>
        <v>1</v>
      </c>
      <c r="H72" s="45">
        <v>1700</v>
      </c>
      <c r="I72" s="18" cm="1">
        <f t="array" ref="I72">POWER((2*PI()*Tabella348[Massa '[kg']]*Tabella348[Boltzmann k]*Tabella154[[#This Row],[Temperatura]])/(POWER(Tabella348[Planck h],2)),1.5)</f>
        <v>1.0063597311682612E+33</v>
      </c>
      <c r="J72" s="32" cm="1">
        <f t="array" ref="J72">(Tabella154[[#This Row],[Temperatura]]*Tabella348[Boltzmann k])/101325</f>
        <v>2.316410856155934E-25</v>
      </c>
      <c r="K72" s="32" cm="1">
        <f t="array" ref="K72">Tabella348[Rydberg R]*(2.5+LN(Tabella154[[#This Row],[Volume]]*Tabella154[[#This Row],[Translational Factor]]))</f>
        <v>180.98123440120887</v>
      </c>
      <c r="M72" s="45">
        <v>1700</v>
      </c>
      <c r="N72" s="18" cm="1">
        <f t="array" ref="N72">Tabella348[Rydberg R]*(1.5+LN(SQRT(PI()*POWER(Tabella1358[[#This Row],[Temperatura]],3)/(Tabella651[Simmetria]*Tabella651[Simmetria]*PRODUCT($G$7:$I$7)))))</f>
        <v>65.581680488049514</v>
      </c>
    </row>
    <row r="73" spans="1:24" x14ac:dyDescent="0.35">
      <c r="A73" s="18">
        <v>1800</v>
      </c>
      <c r="B73" s="32" cm="1">
        <f t="array" ref="B73">(Tabella348[Boltzmann k]*Tabella550[[#This Row],[Temperatura]])/101325</f>
        <v>2.4526703182827536E-25</v>
      </c>
      <c r="C73" s="32" cm="1">
        <f t="array" ref="C73">POWER((2*Tabella348[Pi Greco]*Tabella348[Massa '[kg']]*Tabella348[Boltzmann k]*Tabella550[[#This Row],[Temperatura]])/(POWER(Tabella348[Planck h],2)),1.5)*Tabella550[[#This Row],[Volume]]</f>
        <v>268922909.57119834</v>
      </c>
      <c r="D73" s="32">
        <f t="shared" si="7"/>
        <v>3.6377830675139201E-2</v>
      </c>
      <c r="E73" s="32" cm="1">
        <f t="array" ref="E73">(SQRT(PI())/Tabella651[Simmetria])*(SQRT(POWER(Tabella550[[#This Row],[Temperatura]],3)/PRODUCT($G$7,$H$7,$I$7)))</f>
        <v>647.68261251556521</v>
      </c>
      <c r="F73" s="18" cm="1">
        <f t="array" ref="F73">Tabella636[Gel]*EXP(0)</f>
        <v>1</v>
      </c>
      <c r="H73" s="45">
        <v>1800</v>
      </c>
      <c r="I73" s="18" cm="1">
        <f t="array" ref="I73">POWER((2*PI()*Tabella348[Massa '[kg']]*Tabella348[Boltzmann k]*Tabella154[[#This Row],[Temperatura]])/(POWER(Tabella348[Planck h],2)),1.5)</f>
        <v>1.0964494802525507E+33</v>
      </c>
      <c r="J73" s="32" cm="1">
        <f t="array" ref="J73">(Tabella154[[#This Row],[Temperatura]]*Tabella348[Boltzmann k])/101325</f>
        <v>2.4526703182827536E-25</v>
      </c>
      <c r="K73" s="32" cm="1">
        <f t="array" ref="K73">Tabella348[Rydberg R]*(2.5+LN(Tabella154[[#This Row],[Volume]]*Tabella154[[#This Row],[Translational Factor]]))</f>
        <v>182.16933813915</v>
      </c>
      <c r="M73" s="45">
        <v>1800</v>
      </c>
      <c r="N73" s="18" cm="1">
        <f t="array" ref="N73">Tabella348[Rydberg R]*(1.5+LN(SQRT(PI()*POWER(Tabella1358[[#This Row],[Temperatura]],3)/(Tabella651[Simmetria]*Tabella651[Simmetria]*PRODUCT($G$7:$I$7)))))</f>
        <v>66.294542730814143</v>
      </c>
    </row>
    <row r="74" spans="1:24" x14ac:dyDescent="0.35">
      <c r="A74" s="18">
        <v>1900</v>
      </c>
      <c r="B74" s="32" cm="1">
        <f t="array" ref="B74">(Tabella348[Boltzmann k]*Tabella550[[#This Row],[Temperatura]])/101325</f>
        <v>2.5889297804095731E-25</v>
      </c>
      <c r="C74" s="32" cm="1">
        <f t="array" ref="C74">POWER((2*Tabella348[Pi Greco]*Tabella348[Massa '[kg']]*Tabella348[Boltzmann k]*Tabella550[[#This Row],[Temperatura]])/(POWER(Tabella348[Planck h],2)),1.5)*Tabella550[[#This Row],[Volume]]</f>
        <v>307843891.95587492</v>
      </c>
      <c r="D74" s="32">
        <f t="shared" si="7"/>
        <v>4.6268672227164555E-2</v>
      </c>
      <c r="E74" s="32" cm="1">
        <f t="array" ref="E74">(SQRT(PI())/Tabella651[Simmetria])*(SQRT(POWER(Tabella550[[#This Row],[Temperatura]],3)/PRODUCT($G$7,$H$7,$I$7)))</f>
        <v>702.39899588276967</v>
      </c>
      <c r="F74" s="18" cm="1">
        <f t="array" ref="F74">Tabella636[Gel]*EXP(0)</f>
        <v>1</v>
      </c>
      <c r="H74" s="45">
        <v>1900</v>
      </c>
      <c r="I74" s="18" cm="1">
        <f t="array" ref="I74">POWER((2*PI()*Tabella348[Massa '[kg']]*Tabella348[Boltzmann k]*Tabella154[[#This Row],[Temperatura]])/(POWER(Tabella348[Planck h],2)),1.5)</f>
        <v>1.1890777968770304E+33</v>
      </c>
      <c r="J74" s="32" cm="1">
        <f t="array" ref="J74">(Tabella154[[#This Row],[Temperatura]]*Tabella348[Boltzmann k])/101325</f>
        <v>2.5889297804095731E-25</v>
      </c>
      <c r="K74" s="32" cm="1">
        <f t="array" ref="K74">Tabella348[Rydberg R]*(2.5+LN(Tabella154[[#This Row],[Volume]]*Tabella154[[#This Row],[Translational Factor]]))</f>
        <v>183.29318786442698</v>
      </c>
      <c r="M74" s="45">
        <v>1900</v>
      </c>
      <c r="N74" s="18" cm="1">
        <f t="array" ref="N74">Tabella348[Rydberg R]*(1.5+LN(SQRT(PI()*POWER(Tabella1358[[#This Row],[Temperatura]],3)/(Tabella651[Simmetria]*Tabella651[Simmetria]*PRODUCT($G$7:$I$7)))))</f>
        <v>66.968852565980413</v>
      </c>
    </row>
    <row r="75" spans="1:24" x14ac:dyDescent="0.35">
      <c r="A75" s="18">
        <v>2000</v>
      </c>
      <c r="B75" s="32" cm="1">
        <f t="array" ref="B75">(Tabella348[Boltzmann k]*Tabella550[[#This Row],[Temperatura]])/101325</f>
        <v>2.7251892425363931E-25</v>
      </c>
      <c r="C75" s="32" cm="1">
        <f t="array" ref="C75">POWER((2*Tabella348[Pi Greco]*Tabella348[Massa '[kg']]*Tabella348[Boltzmann k]*Tabella550[[#This Row],[Temperatura]])/(POWER(Tabella348[Planck h],2)),1.5)*Tabella550[[#This Row],[Volume]]</f>
        <v>349962514.09237683</v>
      </c>
      <c r="D75" s="32">
        <f t="shared" si="7"/>
        <v>5.7739661077134435E-2</v>
      </c>
      <c r="E75" s="32" cm="1">
        <f t="array" ref="E75">(SQRT(PI())/Tabella651[Simmetria])*(SQRT(POWER(Tabella550[[#This Row],[Temperatura]],3)/PRODUCT($G$7,$H$7,$I$7)))</f>
        <v>758.57490979165357</v>
      </c>
      <c r="F75" s="18" cm="1">
        <f t="array" ref="F75">Tabella636[Gel]*EXP(0)</f>
        <v>1</v>
      </c>
      <c r="H75" s="45">
        <v>2000</v>
      </c>
      <c r="I75" s="45" cm="1">
        <f t="array" ref="I75">POWER((2*PI()*Tabella348[Massa '[kg']]*Tabella348[Boltzmann k]*Tabella154[[#This Row],[Temperatura]])/(POWER(Tabella348[Planck h],2)),1.5)</f>
        <v>1.2841769247799432E+33</v>
      </c>
      <c r="J75" s="32" cm="1">
        <f t="array" ref="J75">(Tabella154[[#This Row],[Temperatura]]*Tabella348[Boltzmann k])/101325</f>
        <v>2.7251892425363931E-25</v>
      </c>
      <c r="K75" s="32" cm="1">
        <f t="array" ref="K75">Tabella348[Rydberg R]*(2.5+LN(Tabella154[[#This Row],[Volume]]*Tabella154[[#This Row],[Translational Factor]]))</f>
        <v>184.35937831127544</v>
      </c>
      <c r="M75" s="45">
        <v>2000</v>
      </c>
      <c r="N75" s="18" cm="1">
        <f t="array" ref="N75">Tabella348[Rydberg R]*(1.5+LN(SQRT(PI()*POWER(Tabella1358[[#This Row],[Temperatura]],3)/(Tabella651[Simmetria]*Tabella651[Simmetria]*PRODUCT($G$7:$I$7)))))</f>
        <v>67.608566834089459</v>
      </c>
    </row>
    <row r="76" spans="1:24" x14ac:dyDescent="0.35">
      <c r="A76" s="46" t="s">
        <v>122</v>
      </c>
      <c r="B76" s="32"/>
      <c r="C76" s="32">
        <f>C75-C58</f>
        <v>346959664.54725379</v>
      </c>
      <c r="D76" s="32">
        <f>D75-D58</f>
        <v>5.7739660913087701E-2</v>
      </c>
      <c r="E76" s="32">
        <f>E75-E58</f>
        <v>714.91270109566301</v>
      </c>
      <c r="H76" s="46" t="s">
        <v>122</v>
      </c>
      <c r="I76" s="45">
        <f>I75-I58</f>
        <v>1.2102620085751383E+33</v>
      </c>
      <c r="J76" s="61"/>
      <c r="K76" s="61">
        <f>K75-K58</f>
        <v>39.562411147219734</v>
      </c>
      <c r="M76" s="45"/>
      <c r="N76" s="45">
        <f>N75-N58</f>
        <v>23.737446688331893</v>
      </c>
    </row>
    <row r="79" spans="1:24" x14ac:dyDescent="0.3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</row>
    <row r="80" spans="1:24" x14ac:dyDescent="0.35">
      <c r="A80" s="45">
        <v>298.14999999999998</v>
      </c>
      <c r="B80" s="32" cm="1">
        <f t="array" ref="B80">(3/2)*Tabella348[Rydberg R]</f>
        <v>12.471693927</v>
      </c>
      <c r="C80" s="32" cm="1">
        <f t="array" ref="C80">(3/2)*Tabella348[Rydberg R]</f>
        <v>12.471693927</v>
      </c>
      <c r="D80" s="32" cm="1">
        <f t="array" ref="D8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0.21726412788451419</v>
      </c>
      <c r="E80" s="18">
        <f>SUM(Tabella1560[[#This Row],[CvRot]:[Cv Vib]])</f>
        <v>25.160651981884516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5" x14ac:dyDescent="0.35">
      <c r="A81" s="45">
        <v>400</v>
      </c>
      <c r="B81" s="32" cm="1">
        <f t="array" ref="B81">(3/2)*Tabella348[Rydberg R]</f>
        <v>12.471693927</v>
      </c>
      <c r="C81" s="32" cm="1">
        <f t="array" ref="C81">(3/2)*Tabella348[Rydberg R]</f>
        <v>12.471693927</v>
      </c>
      <c r="D81" s="32" cm="1">
        <f t="array" ref="D8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0.87328455241439829</v>
      </c>
      <c r="E81" s="18">
        <f>SUM(Tabella1560[[#This Row],[CvRot]:[Cv Vib]])</f>
        <v>25.816672406414398</v>
      </c>
    </row>
    <row r="82" spans="1:5" x14ac:dyDescent="0.35">
      <c r="A82" s="45">
        <v>500</v>
      </c>
      <c r="B82" s="32" cm="1">
        <f t="array" ref="B82">(3/2)*Tabella348[Rydberg R]</f>
        <v>12.471693927</v>
      </c>
      <c r="C82" s="32" cm="1">
        <f t="array" ref="C82">(3/2)*Tabella348[Rydberg R]</f>
        <v>12.471693927</v>
      </c>
      <c r="D82" s="32" cm="1">
        <f t="array" ref="D8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1.8201836136390108</v>
      </c>
      <c r="E82" s="18">
        <f>SUM(Tabella1560[[#This Row],[CvRot]:[Cv Vib]])</f>
        <v>26.763571467639011</v>
      </c>
    </row>
    <row r="83" spans="1:5" x14ac:dyDescent="0.35">
      <c r="A83" s="45">
        <v>600</v>
      </c>
      <c r="B83" s="32" cm="1">
        <f t="array" ref="B83">(3/2)*Tabella348[Rydberg R]</f>
        <v>12.471693927</v>
      </c>
      <c r="C83" s="32" cm="1">
        <f t="array" ref="C83">(3/2)*Tabella348[Rydberg R]</f>
        <v>12.471693927</v>
      </c>
      <c r="D83" s="32" cm="1">
        <f t="array" ref="D8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2.8799083810649608</v>
      </c>
      <c r="E83" s="18">
        <f>SUM(Tabella1560[[#This Row],[CvRot]:[Cv Vib]])</f>
        <v>27.823296235064962</v>
      </c>
    </row>
    <row r="84" spans="1:5" x14ac:dyDescent="0.35">
      <c r="A84" s="45">
        <v>700</v>
      </c>
      <c r="B84" s="32" cm="1">
        <f t="array" ref="B84">(3/2)*Tabella348[Rydberg R]</f>
        <v>12.471693927</v>
      </c>
      <c r="C84" s="32" cm="1">
        <f t="array" ref="C84">(3/2)*Tabella348[Rydberg R]</f>
        <v>12.471693927</v>
      </c>
      <c r="D84" s="32" cm="1">
        <f t="array" ref="D8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3.9800941745238698</v>
      </c>
      <c r="E84" s="18">
        <f>SUM(Tabella1560[[#This Row],[CvRot]:[Cv Vib]])</f>
        <v>28.923482028523871</v>
      </c>
    </row>
    <row r="85" spans="1:5" x14ac:dyDescent="0.35">
      <c r="A85" s="45">
        <v>800</v>
      </c>
      <c r="B85" s="32" cm="1">
        <f t="array" ref="B85">(3/2)*Tabella348[Rydberg R]</f>
        <v>12.471693927</v>
      </c>
      <c r="C85" s="32" cm="1">
        <f t="array" ref="C85">(3/2)*Tabella348[Rydberg R]</f>
        <v>12.471693927</v>
      </c>
      <c r="D85" s="32" cm="1">
        <f t="array" ref="D8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5.1091020436218448</v>
      </c>
      <c r="E85" s="18">
        <f>SUM(Tabella1560[[#This Row],[CvRot]:[Cv Vib]])</f>
        <v>30.052489897621847</v>
      </c>
    </row>
    <row r="86" spans="1:5" x14ac:dyDescent="0.35">
      <c r="A86" s="45">
        <v>900</v>
      </c>
      <c r="B86" s="32" cm="1">
        <f t="array" ref="B86">(3/2)*Tabella348[Rydberg R]</f>
        <v>12.471693927</v>
      </c>
      <c r="C86" s="32" cm="1">
        <f t="array" ref="C86">(3/2)*Tabella348[Rydberg R]</f>
        <v>12.471693927</v>
      </c>
      <c r="D86" s="32" cm="1">
        <f t="array" ref="D8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6.2620045875935268</v>
      </c>
      <c r="E86" s="18">
        <f>SUM(Tabella1560[[#This Row],[CvRot]:[Cv Vib]])</f>
        <v>31.205392441593528</v>
      </c>
    </row>
    <row r="87" spans="1:5" x14ac:dyDescent="0.35">
      <c r="A87" s="45">
        <v>1000</v>
      </c>
      <c r="B87" s="32" cm="1">
        <f t="array" ref="B87">(3/2)*Tabella348[Rydberg R]</f>
        <v>12.471693927</v>
      </c>
      <c r="C87" s="32" cm="1">
        <f t="array" ref="C87">(3/2)*Tabella348[Rydberg R]</f>
        <v>12.471693927</v>
      </c>
      <c r="D87" s="32" cm="1">
        <f t="array" ref="D8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7.4248726446256503</v>
      </c>
      <c r="E87" s="18">
        <f>SUM(Tabella1560[[#This Row],[CvRot]:[Cv Vib]])</f>
        <v>32.368260498625652</v>
      </c>
    </row>
    <row r="88" spans="1:5" x14ac:dyDescent="0.35">
      <c r="A88" s="45">
        <v>1100</v>
      </c>
      <c r="B88" s="32" cm="1">
        <f t="array" ref="B88">(3/2)*Tabella348[Rydberg R]</f>
        <v>12.471693927</v>
      </c>
      <c r="C88" s="32" cm="1">
        <f t="array" ref="C88">(3/2)*Tabella348[Rydberg R]</f>
        <v>12.471693927</v>
      </c>
      <c r="D88" s="32" cm="1">
        <f t="array" ref="D88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8.5776116784875374</v>
      </c>
      <c r="E88" s="18">
        <f>SUM(Tabella1560[[#This Row],[CvRot]:[Cv Vib]])</f>
        <v>33.520999532487536</v>
      </c>
    </row>
    <row r="89" spans="1:5" x14ac:dyDescent="0.35">
      <c r="A89" s="45">
        <v>1200</v>
      </c>
      <c r="B89" s="32" cm="1">
        <f t="array" ref="B89">(3/2)*Tabella348[Rydberg R]</f>
        <v>12.471693927</v>
      </c>
      <c r="C89" s="32" cm="1">
        <f t="array" ref="C89">(3/2)*Tabella348[Rydberg R]</f>
        <v>12.471693927</v>
      </c>
      <c r="D89" s="32" cm="1">
        <f t="array" ref="D89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9.6999296734576959</v>
      </c>
      <c r="E89" s="18">
        <f>SUM(Tabella1560[[#This Row],[CvRot]:[Cv Vib]])</f>
        <v>34.643317527457697</v>
      </c>
    </row>
    <row r="90" spans="1:5" x14ac:dyDescent="0.35">
      <c r="A90" s="45">
        <v>1300</v>
      </c>
      <c r="B90" s="32" cm="1">
        <f t="array" ref="B90">(3/2)*Tabella348[Rydberg R]</f>
        <v>12.471693927</v>
      </c>
      <c r="C90" s="32" cm="1">
        <f t="array" ref="C90">(3/2)*Tabella348[Rydberg R]</f>
        <v>12.471693927</v>
      </c>
      <c r="D90" s="32" cm="1">
        <f t="array" ref="D9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10.775193132794451</v>
      </c>
      <c r="E90" s="18">
        <f>SUM(Tabella1560[[#This Row],[CvRot]:[Cv Vib]])</f>
        <v>35.71858098679445</v>
      </c>
    </row>
    <row r="91" spans="1:5" x14ac:dyDescent="0.35">
      <c r="A91" s="45">
        <v>1400</v>
      </c>
      <c r="B91" s="32" cm="1">
        <f t="array" ref="B91">(3/2)*Tabella348[Rydberg R]</f>
        <v>12.471693927</v>
      </c>
      <c r="C91" s="32" cm="1">
        <f t="array" ref="C91">(3/2)*Tabella348[Rydberg R]</f>
        <v>12.471693927</v>
      </c>
      <c r="D91" s="32" cm="1">
        <f t="array" ref="D9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11.791803320589803</v>
      </c>
      <c r="E91" s="18">
        <f>SUM(Tabella1560[[#This Row],[CvRot]:[Cv Vib]])</f>
        <v>36.735191174589801</v>
      </c>
    </row>
    <row r="92" spans="1:5" x14ac:dyDescent="0.35">
      <c r="A92" s="45">
        <v>1500</v>
      </c>
      <c r="B92" s="32" cm="1">
        <f t="array" ref="B92">(3/2)*Tabella348[Rydberg R]</f>
        <v>12.471693927</v>
      </c>
      <c r="C92" s="32" cm="1">
        <f t="array" ref="C92">(3/2)*Tabella348[Rydberg R]</f>
        <v>12.471693927</v>
      </c>
      <c r="D92" s="32" cm="1">
        <f t="array" ref="D9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12.743014091642689</v>
      </c>
      <c r="E92" s="18">
        <f>SUM(Tabella1560[[#This Row],[CvRot]:[Cv Vib]])</f>
        <v>37.686401945642686</v>
      </c>
    </row>
    <row r="93" spans="1:5" x14ac:dyDescent="0.35">
      <c r="A93" s="45">
        <v>1600</v>
      </c>
      <c r="B93" s="32" cm="1">
        <f t="array" ref="B93">(3/2)*Tabella348[Rydberg R]</f>
        <v>12.471693927</v>
      </c>
      <c r="C93" s="32" cm="1">
        <f t="array" ref="C93">(3/2)*Tabella348[Rydberg R]</f>
        <v>12.471693927</v>
      </c>
      <c r="D93" s="32" cm="1">
        <f t="array" ref="D9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13.62605777060352</v>
      </c>
      <c r="E93" s="18">
        <f>SUM(Tabella1560[[#This Row],[CvRot]:[Cv Vib]])</f>
        <v>38.569445624603517</v>
      </c>
    </row>
    <row r="94" spans="1:5" x14ac:dyDescent="0.35">
      <c r="A94" s="45">
        <v>1700</v>
      </c>
      <c r="B94" s="32" cm="1">
        <f t="array" ref="B94">(3/2)*Tabella348[Rydberg R]</f>
        <v>12.471693927</v>
      </c>
      <c r="C94" s="32" cm="1">
        <f t="array" ref="C94">(3/2)*Tabella348[Rydberg R]</f>
        <v>12.471693927</v>
      </c>
      <c r="D94" s="32" cm="1">
        <f t="array" ref="D9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14.441111206097478</v>
      </c>
      <c r="E94" s="18">
        <f>SUM(Tabella1560[[#This Row],[CvRot]:[Cv Vib]])</f>
        <v>39.384499060097482</v>
      </c>
    </row>
    <row r="95" spans="1:5" x14ac:dyDescent="0.35">
      <c r="A95" s="45">
        <v>1800</v>
      </c>
      <c r="B95" s="32" cm="1">
        <f t="array" ref="B95">(3/2)*Tabella348[Rydberg R]</f>
        <v>12.471693927</v>
      </c>
      <c r="C95" s="32" cm="1">
        <f t="array" ref="C95">(3/2)*Tabella348[Rydberg R]</f>
        <v>12.471693927</v>
      </c>
      <c r="D95" s="32" cm="1">
        <f t="array" ref="D9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15.19035791499986</v>
      </c>
      <c r="E95" s="18">
        <f>SUM(Tabella1560[[#This Row],[CvRot]:[Cv Vib]])</f>
        <v>40.133745768999859</v>
      </c>
    </row>
    <row r="96" spans="1:5" x14ac:dyDescent="0.35">
      <c r="A96" s="45">
        <v>1900</v>
      </c>
      <c r="B96" s="32" cm="1">
        <f t="array" ref="B96">(3/2)*Tabella348[Rydberg R]</f>
        <v>12.471693927</v>
      </c>
      <c r="C96" s="32" cm="1">
        <f t="array" ref="C96">(3/2)*Tabella348[Rydberg R]</f>
        <v>12.471693927</v>
      </c>
      <c r="D96" s="32" cm="1">
        <f t="array" ref="D9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15.877236057774702</v>
      </c>
      <c r="E96" s="18">
        <f>SUM(Tabella1560[[#This Row],[CvRot]:[Cv Vib]])</f>
        <v>40.820623911774703</v>
      </c>
    </row>
    <row r="97" spans="1:8" x14ac:dyDescent="0.35">
      <c r="A97" s="45">
        <v>2000</v>
      </c>
      <c r="B97" s="32" cm="1">
        <f t="array" ref="B97">(3/2)*Tabella348[Rydberg R]</f>
        <v>12.471693927</v>
      </c>
      <c r="C97" s="32" cm="1">
        <f t="array" ref="C97">(3/2)*Tabella348[Rydberg R]</f>
        <v>12.471693927</v>
      </c>
      <c r="D97" s="32" cm="1">
        <f t="array" ref="D9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16.505878999904589</v>
      </c>
      <c r="E97" s="18">
        <f>SUM(Tabella1560[[#This Row],[CvRot]:[Cv Vib]])</f>
        <v>41.449266853904589</v>
      </c>
    </row>
    <row r="98" spans="1:8" x14ac:dyDescent="0.35">
      <c r="A98" s="46" t="s">
        <v>122</v>
      </c>
      <c r="B98" s="61"/>
      <c r="C98" s="32"/>
      <c r="D98" s="18">
        <f>D97-D80</f>
        <v>16.288614872020073</v>
      </c>
      <c r="E98" s="18">
        <f>E97-E80</f>
        <v>16.288614872020073</v>
      </c>
    </row>
    <row r="99" spans="1:8" x14ac:dyDescent="0.35">
      <c r="G99" s="62"/>
    </row>
    <row r="103" spans="1:8" ht="34.5" customHeight="1" thickBot="1" x14ac:dyDescent="0.4">
      <c r="A103" s="164" t="s">
        <v>108</v>
      </c>
    </row>
    <row r="104" spans="1:8" x14ac:dyDescent="0.35">
      <c r="A104" s="64" t="s">
        <v>109</v>
      </c>
      <c r="B104" s="65">
        <v>298.14999999999998</v>
      </c>
      <c r="C104" s="66"/>
      <c r="D104" s="69"/>
      <c r="E104" s="67" t="s">
        <v>109</v>
      </c>
      <c r="F104" s="68">
        <v>1000</v>
      </c>
      <c r="G104" s="66"/>
      <c r="H104" s="69"/>
    </row>
    <row r="105" spans="1:8" x14ac:dyDescent="0.35">
      <c r="A105" s="70"/>
      <c r="B105" s="71" t="s">
        <v>110</v>
      </c>
      <c r="C105" s="71" t="s">
        <v>111</v>
      </c>
      <c r="D105" s="74" t="s">
        <v>117</v>
      </c>
      <c r="E105" s="70"/>
      <c r="F105" s="71" t="s">
        <v>110</v>
      </c>
      <c r="G105" s="71" t="s">
        <v>111</v>
      </c>
      <c r="H105" s="74" t="s">
        <v>116</v>
      </c>
    </row>
    <row r="106" spans="1:8" x14ac:dyDescent="0.35">
      <c r="A106" s="70" t="s">
        <v>8</v>
      </c>
      <c r="B106" s="75">
        <f>E15</f>
        <v>1.6404673538841369E-10</v>
      </c>
      <c r="C106" s="75">
        <v>1.64057E-10</v>
      </c>
      <c r="D106" s="140">
        <f>ABS(B106-C106)/C106</f>
        <v>6.2567349069563252E-5</v>
      </c>
      <c r="E106" s="70" t="s">
        <v>8</v>
      </c>
      <c r="F106" s="75">
        <f>E22</f>
        <v>1.3533966134432042E-3</v>
      </c>
      <c r="G106" s="75">
        <v>1.3534199999999999E-3</v>
      </c>
      <c r="H106" s="140">
        <f>ABS(F106-G106)/G106</f>
        <v>1.7279600416518412E-5</v>
      </c>
    </row>
    <row r="107" spans="1:8" x14ac:dyDescent="0.35">
      <c r="A107" s="70" t="s">
        <v>9</v>
      </c>
      <c r="B107" s="75">
        <f>E58</f>
        <v>43.662208695990557</v>
      </c>
      <c r="C107" s="75">
        <v>43.662199999999999</v>
      </c>
      <c r="D107" s="140">
        <f t="shared" ref="D107:D110" si="8">ABS(B107-C107)/C107</f>
        <v>1.9916519457904423E-7</v>
      </c>
      <c r="E107" s="70" t="s">
        <v>9</v>
      </c>
      <c r="F107" s="75">
        <f>E65</f>
        <v>268.19673137582589</v>
      </c>
      <c r="G107" s="75">
        <v>268.197</v>
      </c>
      <c r="H107" s="140">
        <f>ABS(F107-G107)/G107</f>
        <v>1.0015927624532139E-6</v>
      </c>
    </row>
    <row r="108" spans="1:8" x14ac:dyDescent="0.35">
      <c r="A108" s="70" t="s">
        <v>7</v>
      </c>
      <c r="B108" s="75">
        <f>C58</f>
        <v>3002849.5451230486</v>
      </c>
      <c r="C108" s="75">
        <v>3004320</v>
      </c>
      <c r="D108" s="140">
        <f t="shared" si="8"/>
        <v>4.8944682222646307E-4</v>
      </c>
      <c r="E108" s="70" t="s">
        <v>7</v>
      </c>
      <c r="F108" s="75">
        <f>C65</f>
        <v>61865216.718953796</v>
      </c>
      <c r="G108" s="75">
        <v>61895500</v>
      </c>
      <c r="H108" s="140">
        <f>ABS(F108-G108)/G108</f>
        <v>4.8926466457503812E-4</v>
      </c>
    </row>
    <row r="109" spans="1:8" ht="15" thickBot="1" x14ac:dyDescent="0.4">
      <c r="A109" s="79" t="s">
        <v>10</v>
      </c>
      <c r="B109" s="80">
        <f>F58</f>
        <v>1</v>
      </c>
      <c r="C109" s="80">
        <v>1</v>
      </c>
      <c r="D109" s="141">
        <v>0</v>
      </c>
      <c r="E109" s="79" t="s">
        <v>10</v>
      </c>
      <c r="F109" s="80">
        <v>1</v>
      </c>
      <c r="G109" s="80">
        <v>1</v>
      </c>
      <c r="H109" s="141">
        <v>0</v>
      </c>
    </row>
    <row r="110" spans="1:8" ht="15" thickBot="1" x14ac:dyDescent="0.4">
      <c r="A110" s="105" t="s">
        <v>125</v>
      </c>
      <c r="B110" s="106">
        <f>PRODUCT(B106:B108)</f>
        <v>2.1508338663123266E-2</v>
      </c>
      <c r="C110" s="106">
        <f>PRODUCT(C106:C109)</f>
        <v>2.1520213183036128E-2</v>
      </c>
      <c r="D110" s="142">
        <f t="shared" si="8"/>
        <v>5.5178449264720519E-4</v>
      </c>
      <c r="E110" s="105" t="s">
        <v>125</v>
      </c>
      <c r="F110" s="106">
        <f>PRODUCT(F106:F108)</f>
        <v>22455622.804716282</v>
      </c>
      <c r="G110" s="106">
        <f>PRODUCT(G106:G109)</f>
        <v>22467025.649179168</v>
      </c>
      <c r="H110" s="142">
        <f>ABS(F110-G110)/G110</f>
        <v>5.0753689611348512E-4</v>
      </c>
    </row>
    <row r="111" spans="1:8" x14ac:dyDescent="0.35">
      <c r="A111" s="108"/>
      <c r="B111" s="89"/>
      <c r="C111" s="89"/>
      <c r="D111" s="90"/>
      <c r="E111" s="108"/>
      <c r="F111" s="89"/>
      <c r="G111" s="89"/>
      <c r="H111" s="90"/>
    </row>
    <row r="112" spans="1:8" x14ac:dyDescent="0.35">
      <c r="A112" s="70" t="s">
        <v>112</v>
      </c>
      <c r="B112" s="75">
        <f>H37/4.184</f>
        <v>7.5734214485683304E-3</v>
      </c>
      <c r="C112" s="17">
        <v>8.0000000000000002E-3</v>
      </c>
      <c r="D112" s="143">
        <f>ABS(B112-C112)/C112</f>
        <v>5.3322318928958723E-2</v>
      </c>
      <c r="E112" s="70" t="s">
        <v>112</v>
      </c>
      <c r="F112" s="75">
        <f>H44/4.184</f>
        <v>0.81586748900792239</v>
      </c>
      <c r="G112" s="17">
        <v>0.81599999999999995</v>
      </c>
      <c r="H112" s="140">
        <f>ABS(F112-G112)/G112</f>
        <v>1.6239092166367813E-4</v>
      </c>
    </row>
    <row r="113" spans="1:8" x14ac:dyDescent="0.35">
      <c r="A113" s="70" t="s">
        <v>113</v>
      </c>
      <c r="B113" s="17">
        <f>N58/4.184</f>
        <v>10.485449365620832</v>
      </c>
      <c r="C113" s="17">
        <v>10.484999999999999</v>
      </c>
      <c r="D113" s="140">
        <f t="shared" ref="D113:D116" si="9">ABS(B113-C113)/C113</f>
        <v>4.2857951438518309E-5</v>
      </c>
      <c r="E113" s="70" t="s">
        <v>113</v>
      </c>
      <c r="F113" s="17">
        <f>N65/4.184</f>
        <v>14.092697741821896</v>
      </c>
      <c r="G113" s="17">
        <v>14.093</v>
      </c>
      <c r="H113" s="140">
        <f>ABS(F113-G113)/G113</f>
        <v>2.1447397864489696E-5</v>
      </c>
    </row>
    <row r="114" spans="1:8" x14ac:dyDescent="0.35">
      <c r="A114" s="70" t="s">
        <v>114</v>
      </c>
      <c r="B114" s="75">
        <f>K58/4.184</f>
        <v>34.607305727546773</v>
      </c>
      <c r="C114" s="17">
        <v>34.607999999999997</v>
      </c>
      <c r="D114" s="140">
        <f t="shared" si="9"/>
        <v>2.0061039448212326E-5</v>
      </c>
      <c r="E114" s="70" t="s">
        <v>114</v>
      </c>
      <c r="F114" s="75">
        <f>K65/4.184</f>
        <v>40.619386354548553</v>
      </c>
      <c r="G114" s="17">
        <v>40.619999999999997</v>
      </c>
      <c r="H114" s="140">
        <f>ABS(F114-G114)/G114</f>
        <v>1.5106978125177523E-5</v>
      </c>
    </row>
    <row r="115" spans="1:8" ht="15" thickBot="1" x14ac:dyDescent="0.4">
      <c r="A115" s="79" t="s">
        <v>115</v>
      </c>
      <c r="B115" s="80">
        <v>0</v>
      </c>
      <c r="C115" s="80">
        <v>0</v>
      </c>
      <c r="D115" s="141">
        <v>0</v>
      </c>
      <c r="E115" s="79" t="s">
        <v>115</v>
      </c>
      <c r="F115" s="80">
        <v>0</v>
      </c>
      <c r="G115" s="80">
        <v>0</v>
      </c>
      <c r="H115" s="141">
        <v>0</v>
      </c>
    </row>
    <row r="116" spans="1:8" ht="15" thickBot="1" x14ac:dyDescent="0.4">
      <c r="A116" s="105" t="s">
        <v>126</v>
      </c>
      <c r="B116" s="106">
        <f>SUM(B112:B114)</f>
        <v>45.100328514616173</v>
      </c>
      <c r="C116" s="106">
        <f>SUM(C112:C114)</f>
        <v>45.100999999999999</v>
      </c>
      <c r="D116" s="142">
        <f t="shared" si="9"/>
        <v>1.4888481049779589E-5</v>
      </c>
      <c r="E116" s="105" t="s">
        <v>126</v>
      </c>
      <c r="F116" s="106">
        <f>SUM(F112:F114)</f>
        <v>55.527951585378375</v>
      </c>
      <c r="G116" s="86">
        <v>54.427999999999997</v>
      </c>
      <c r="H116" s="142">
        <f>ABS(F116-G116)/G116</f>
        <v>2.0209296416887956E-2</v>
      </c>
    </row>
    <row r="117" spans="1:8" x14ac:dyDescent="0.35">
      <c r="A117" s="108"/>
      <c r="B117" s="144"/>
      <c r="C117" s="144"/>
      <c r="D117" s="90"/>
      <c r="E117" s="108"/>
      <c r="F117" s="144"/>
      <c r="G117" s="144"/>
      <c r="H117" s="90"/>
    </row>
    <row r="118" spans="1:8" x14ac:dyDescent="0.35">
      <c r="A118" s="70" t="s">
        <v>105</v>
      </c>
      <c r="B118" s="75">
        <f>D80/4.184</f>
        <v>5.1927372821346601E-2</v>
      </c>
      <c r="C118" s="17">
        <v>5.1999999999999998E-2</v>
      </c>
      <c r="D118" s="140">
        <f>ABS(B118-C118)/C118</f>
        <v>1.3966765125653145E-3</v>
      </c>
      <c r="E118" s="70" t="s">
        <v>105</v>
      </c>
      <c r="F118" s="75">
        <f>D87/4.184</f>
        <v>1.7745871521571821</v>
      </c>
      <c r="G118" s="17">
        <v>1.7749999999999999</v>
      </c>
      <c r="H118" s="74">
        <f>F118-G118</f>
        <v>-4.1284784281780951E-4</v>
      </c>
    </row>
    <row r="119" spans="1:8" x14ac:dyDescent="0.35">
      <c r="A119" s="70" t="s">
        <v>118</v>
      </c>
      <c r="B119" s="75">
        <f>B80/4.184</f>
        <v>2.9808063879063096</v>
      </c>
      <c r="C119" s="17">
        <v>2.9809999999999999</v>
      </c>
      <c r="D119" s="140">
        <f t="shared" ref="D119:D122" si="10">ABS(B119-C119)/C119</f>
        <v>6.4948706370441945E-5</v>
      </c>
      <c r="E119" s="70" t="s">
        <v>118</v>
      </c>
      <c r="F119" s="75">
        <f>B87/4.184</f>
        <v>2.9808063879063096</v>
      </c>
      <c r="G119" s="17">
        <v>2.9809999999999999</v>
      </c>
      <c r="H119" s="74">
        <f t="shared" ref="H119:H121" si="11">F119-G119</f>
        <v>-1.9361209369028742E-4</v>
      </c>
    </row>
    <row r="120" spans="1:8" x14ac:dyDescent="0.35">
      <c r="A120" s="70" t="s">
        <v>119</v>
      </c>
      <c r="B120" s="75">
        <f>C80/4.184</f>
        <v>2.9808063879063096</v>
      </c>
      <c r="C120" s="17">
        <v>2.9809999999999999</v>
      </c>
      <c r="D120" s="140">
        <f t="shared" si="10"/>
        <v>6.4948706370441945E-5</v>
      </c>
      <c r="E120" s="70" t="s">
        <v>119</v>
      </c>
      <c r="F120" s="75">
        <f>C87/4.184</f>
        <v>2.9808063879063096</v>
      </c>
      <c r="G120" s="17">
        <v>2.9809999999999999</v>
      </c>
      <c r="H120" s="74">
        <f t="shared" si="11"/>
        <v>-1.9361209369028742E-4</v>
      </c>
    </row>
    <row r="121" spans="1:8" ht="15" thickBot="1" x14ac:dyDescent="0.4">
      <c r="A121" s="79" t="s">
        <v>120</v>
      </c>
      <c r="B121" s="80">
        <v>0</v>
      </c>
      <c r="C121" s="80">
        <v>0</v>
      </c>
      <c r="D121" s="141">
        <v>0</v>
      </c>
      <c r="E121" s="79" t="s">
        <v>120</v>
      </c>
      <c r="F121" s="80">
        <v>0</v>
      </c>
      <c r="G121" s="80">
        <v>0</v>
      </c>
      <c r="H121" s="145">
        <f t="shared" si="11"/>
        <v>0</v>
      </c>
    </row>
    <row r="122" spans="1:8" ht="15" thickBot="1" x14ac:dyDescent="0.4">
      <c r="A122" s="105" t="s">
        <v>146</v>
      </c>
      <c r="B122" s="106">
        <f>SUM(B118:B120)</f>
        <v>6.0135401486339664</v>
      </c>
      <c r="C122" s="106">
        <f>SUM(C118:C120)</f>
        <v>6.0139999999999993</v>
      </c>
      <c r="D122" s="142">
        <f t="shared" si="10"/>
        <v>7.6463479553207992E-5</v>
      </c>
      <c r="E122" s="105" t="s">
        <v>127</v>
      </c>
      <c r="F122" s="106">
        <f>SUM(F118:F120)</f>
        <v>7.7361999279698015</v>
      </c>
      <c r="G122" s="106">
        <f>SUM(G118:G120)</f>
        <v>7.7370000000000001</v>
      </c>
      <c r="H122" s="142">
        <f>ABS(F122-G122)/G122</f>
        <v>1.0340856019110849E-4</v>
      </c>
    </row>
    <row r="127" spans="1:8" x14ac:dyDescent="0.35">
      <c r="G127" s="47"/>
      <c r="H127" s="47"/>
    </row>
    <row r="128" spans="1:8" x14ac:dyDescent="0.35">
      <c r="E128" s="109"/>
      <c r="G128" s="32"/>
    </row>
    <row r="129" spans="5:8" x14ac:dyDescent="0.35">
      <c r="E129" s="109"/>
      <c r="F129" s="95"/>
    </row>
    <row r="130" spans="5:8" x14ac:dyDescent="0.35">
      <c r="E130" s="109"/>
      <c r="G130" s="47"/>
    </row>
    <row r="131" spans="5:8" x14ac:dyDescent="0.35">
      <c r="E131" s="110"/>
      <c r="G131" s="111"/>
    </row>
    <row r="133" spans="5:8" x14ac:dyDescent="0.35">
      <c r="G133" s="47"/>
      <c r="H133" s="47"/>
    </row>
    <row r="134" spans="5:8" x14ac:dyDescent="0.35">
      <c r="E134" s="109"/>
      <c r="G134" s="32"/>
    </row>
    <row r="135" spans="5:8" x14ac:dyDescent="0.35">
      <c r="E135" s="109"/>
    </row>
    <row r="136" spans="5:8" x14ac:dyDescent="0.35">
      <c r="E136" s="109"/>
      <c r="G136" s="47"/>
    </row>
    <row r="137" spans="5:8" x14ac:dyDescent="0.35">
      <c r="E137" s="110"/>
      <c r="G137" s="111"/>
    </row>
    <row r="140" spans="5:8" x14ac:dyDescent="0.35">
      <c r="G140" s="47"/>
      <c r="H140" s="47"/>
    </row>
    <row r="141" spans="5:8" x14ac:dyDescent="0.35">
      <c r="E141" s="109"/>
      <c r="G141" s="32"/>
    </row>
    <row r="142" spans="5:8" x14ac:dyDescent="0.35">
      <c r="E142" s="109"/>
    </row>
    <row r="143" spans="5:8" x14ac:dyDescent="0.35">
      <c r="E143" s="109"/>
      <c r="G143" s="47"/>
    </row>
    <row r="144" spans="5:8" x14ac:dyDescent="0.35">
      <c r="E144" s="110"/>
      <c r="G144" s="111"/>
    </row>
    <row r="147" spans="1:3" ht="37" x14ac:dyDescent="0.35">
      <c r="A147" s="63"/>
    </row>
    <row r="150" spans="1:3" x14ac:dyDescent="0.35">
      <c r="B150" s="32"/>
      <c r="C150" s="32"/>
    </row>
    <row r="152" spans="1:3" x14ac:dyDescent="0.35">
      <c r="A152" s="32"/>
      <c r="B152" s="32"/>
      <c r="C152" s="32"/>
    </row>
    <row r="156" spans="1:3" x14ac:dyDescent="0.35">
      <c r="B156" s="32"/>
    </row>
    <row r="158" spans="1:3" x14ac:dyDescent="0.35">
      <c r="B158" s="32"/>
    </row>
    <row r="161" spans="2:4" x14ac:dyDescent="0.35">
      <c r="B161" s="32"/>
    </row>
    <row r="162" spans="2:4" x14ac:dyDescent="0.35">
      <c r="B162" s="32"/>
      <c r="D162" s="47"/>
    </row>
    <row r="163" spans="2:4" x14ac:dyDescent="0.35">
      <c r="B163" s="32"/>
      <c r="D163" s="32"/>
    </row>
    <row r="164" spans="2:4" x14ac:dyDescent="0.35">
      <c r="B164" s="32"/>
    </row>
    <row r="165" spans="2:4" x14ac:dyDescent="0.35">
      <c r="B165" s="32"/>
      <c r="D165" s="47"/>
    </row>
    <row r="166" spans="2:4" x14ac:dyDescent="0.35">
      <c r="B166" s="32"/>
      <c r="D166" s="111"/>
    </row>
    <row r="167" spans="2:4" x14ac:dyDescent="0.35">
      <c r="B167" s="32"/>
    </row>
    <row r="168" spans="2:4" x14ac:dyDescent="0.35">
      <c r="B168" s="32"/>
    </row>
    <row r="169" spans="2:4" x14ac:dyDescent="0.35">
      <c r="B169" s="32"/>
    </row>
    <row r="170" spans="2:4" x14ac:dyDescent="0.35">
      <c r="B170" s="32"/>
    </row>
    <row r="171" spans="2:4" x14ac:dyDescent="0.35">
      <c r="B171" s="32"/>
    </row>
    <row r="172" spans="2:4" x14ac:dyDescent="0.35">
      <c r="B172" s="32"/>
    </row>
    <row r="173" spans="2:4" x14ac:dyDescent="0.35">
      <c r="B173" s="32"/>
    </row>
    <row r="174" spans="2:4" x14ac:dyDescent="0.35">
      <c r="B174" s="32"/>
    </row>
    <row r="175" spans="2:4" x14ac:dyDescent="0.35">
      <c r="B175" s="32"/>
    </row>
    <row r="176" spans="2:4" x14ac:dyDescent="0.35">
      <c r="B176" s="32"/>
    </row>
    <row r="177" spans="2:2" x14ac:dyDescent="0.35">
      <c r="B177" s="32"/>
    </row>
    <row r="178" spans="2:2" x14ac:dyDescent="0.35">
      <c r="B178" s="32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347-5878-4BE8-9019-E1F440B6CC23}">
  <sheetPr codeName="Foglio2"/>
  <dimension ref="A1:Y178"/>
  <sheetViews>
    <sheetView zoomScale="85" zoomScaleNormal="85" workbookViewId="0">
      <selection activeCell="C58" sqref="C58:C75"/>
    </sheetView>
  </sheetViews>
  <sheetFormatPr defaultColWidth="9.1796875" defaultRowHeight="14.5" x14ac:dyDescent="0.35"/>
  <cols>
    <col min="1" max="1" width="18.453125" style="18" customWidth="1"/>
    <col min="2" max="2" width="23.81640625" style="18" customWidth="1"/>
    <col min="3" max="3" width="19.81640625" style="18" customWidth="1"/>
    <col min="4" max="4" width="18.54296875" style="18" customWidth="1"/>
    <col min="5" max="5" width="20.1796875" style="18" bestFit="1" customWidth="1"/>
    <col min="6" max="6" width="14.7265625" style="18" customWidth="1"/>
    <col min="7" max="8" width="24.81640625" style="18" bestFit="1" customWidth="1"/>
    <col min="9" max="9" width="24.7265625" style="18" bestFit="1" customWidth="1"/>
    <col min="10" max="10" width="13.7265625" style="18" customWidth="1"/>
    <col min="11" max="11" width="14.26953125" style="18" customWidth="1"/>
    <col min="12" max="13" width="13.7265625" style="18" customWidth="1"/>
    <col min="14" max="14" width="14.54296875" style="18" bestFit="1" customWidth="1"/>
    <col min="15" max="15" width="13.7265625" style="18" customWidth="1"/>
    <col min="16" max="16" width="13.453125" style="18" customWidth="1"/>
    <col min="17" max="19" width="14.54296875" style="18" bestFit="1" customWidth="1"/>
    <col min="20" max="24" width="13.453125" style="18" bestFit="1" customWidth="1"/>
    <col min="25" max="16384" width="9.1796875" style="18"/>
  </cols>
  <sheetData>
    <row r="1" spans="1:20" x14ac:dyDescent="0.3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20" x14ac:dyDescent="0.35">
      <c r="A2" s="18">
        <f>PI()</f>
        <v>3.1415926535897931</v>
      </c>
      <c r="B2" s="32">
        <f>1.66E-27*Tabella3[[#This Row],[Massa '[g/mol']]]</f>
        <v>4.9877936999999996E-26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30.046949999999999</v>
      </c>
      <c r="H2" s="18">
        <v>8</v>
      </c>
    </row>
    <row r="6" spans="1:20" x14ac:dyDescent="0.35">
      <c r="G6" s="48" t="s">
        <v>103</v>
      </c>
      <c r="H6" s="48" t="s">
        <v>103</v>
      </c>
      <c r="I6" s="48" t="s">
        <v>104</v>
      </c>
      <c r="J6" s="18" t="s">
        <v>60</v>
      </c>
    </row>
    <row r="7" spans="1:20" x14ac:dyDescent="0.35">
      <c r="G7" s="18">
        <v>3.8513000000000002</v>
      </c>
      <c r="H7" s="18">
        <v>0.95323999999999998</v>
      </c>
      <c r="I7" s="18">
        <v>0.95323999999999998</v>
      </c>
    </row>
    <row r="8" spans="1:20" x14ac:dyDescent="0.35">
      <c r="A8" s="18" t="s">
        <v>11</v>
      </c>
      <c r="B8" s="18" t="s">
        <v>12</v>
      </c>
      <c r="F8" s="32"/>
      <c r="G8" s="32"/>
      <c r="H8" s="32"/>
    </row>
    <row r="9" spans="1:20" x14ac:dyDescent="0.35">
      <c r="A9" s="18">
        <v>6</v>
      </c>
      <c r="B9" s="18">
        <v>1</v>
      </c>
    </row>
    <row r="10" spans="1:20" x14ac:dyDescent="0.35">
      <c r="B10" s="18" t="s">
        <v>22</v>
      </c>
      <c r="C10" s="18" t="s">
        <v>23</v>
      </c>
      <c r="D10" s="18" t="s">
        <v>24</v>
      </c>
      <c r="E10" s="18" t="s">
        <v>25</v>
      </c>
      <c r="F10" s="18" t="s">
        <v>26</v>
      </c>
      <c r="G10" s="18" t="s">
        <v>27</v>
      </c>
      <c r="H10" s="18" t="s">
        <v>28</v>
      </c>
      <c r="I10" s="18" t="s">
        <v>29</v>
      </c>
      <c r="J10" s="18" t="s">
        <v>30</v>
      </c>
      <c r="K10" s="18" t="s">
        <v>65</v>
      </c>
      <c r="L10" s="18" t="s">
        <v>66</v>
      </c>
      <c r="M10" s="18" t="s">
        <v>67</v>
      </c>
      <c r="N10" s="18" t="s">
        <v>68</v>
      </c>
      <c r="O10" s="18" t="s">
        <v>69</v>
      </c>
      <c r="P10" s="18" t="s">
        <v>70</v>
      </c>
      <c r="Q10" s="18" t="s">
        <v>71</v>
      </c>
      <c r="R10" s="18" t="s">
        <v>72</v>
      </c>
      <c r="S10" s="18" t="s">
        <v>73</v>
      </c>
    </row>
    <row r="11" spans="1:20" x14ac:dyDescent="0.35">
      <c r="B11" s="18">
        <f>308.2331</f>
        <v>308.23309999999998</v>
      </c>
      <c r="C11" s="18">
        <v>824.46770000000004</v>
      </c>
      <c r="D11" s="18">
        <v>824.46799999999996</v>
      </c>
      <c r="E11" s="18">
        <v>998.51430000000005</v>
      </c>
      <c r="F11" s="18">
        <v>1219.1466</v>
      </c>
      <c r="G11" s="18">
        <v>1219.1487999999999</v>
      </c>
      <c r="H11" s="18">
        <v>1408.3605</v>
      </c>
      <c r="I11" s="18">
        <v>1429.9567</v>
      </c>
      <c r="J11" s="18">
        <v>1507.8732</v>
      </c>
      <c r="K11" s="18">
        <v>1507.8738000000001</v>
      </c>
      <c r="L11" s="18">
        <v>1509.4987000000001</v>
      </c>
      <c r="M11" s="18">
        <v>1509.5007000000001</v>
      </c>
      <c r="N11" s="18">
        <v>3036.4703</v>
      </c>
      <c r="O11" s="18">
        <v>3037.5115999999998</v>
      </c>
      <c r="P11" s="18">
        <v>3090.0859</v>
      </c>
      <c r="Q11" s="18">
        <v>3090.0859999999998</v>
      </c>
      <c r="R11" s="18">
        <v>3113.5823999999998</v>
      </c>
      <c r="S11" s="18">
        <v>3113.5841999999998</v>
      </c>
    </row>
    <row r="12" spans="1:20" x14ac:dyDescent="0.35"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8" t="s">
        <v>30</v>
      </c>
      <c r="K12" s="18" t="s">
        <v>65</v>
      </c>
      <c r="L12" s="18" t="s">
        <v>66</v>
      </c>
      <c r="M12" s="18" t="s">
        <v>67</v>
      </c>
      <c r="N12" s="18" t="s">
        <v>68</v>
      </c>
      <c r="O12" s="18" t="s">
        <v>69</v>
      </c>
      <c r="P12" s="18" t="s">
        <v>70</v>
      </c>
      <c r="Q12" s="18" t="s">
        <v>71</v>
      </c>
      <c r="R12" s="18" t="s">
        <v>72</v>
      </c>
      <c r="S12" s="18" t="s">
        <v>73</v>
      </c>
    </row>
    <row r="13" spans="1:20" x14ac:dyDescent="0.35">
      <c r="B13" s="18" cm="1">
        <f t="array" ref="B13">Tabella931[Frequenza1]*29979300000</f>
        <v>9240612574830</v>
      </c>
      <c r="C13" s="18" cm="1">
        <f t="array" ref="C13">Tabella931[Frequenza2]*29979300000</f>
        <v>24716964518610</v>
      </c>
      <c r="D13" s="18" cm="1">
        <f t="array" ref="D13">Tabella931[Frequenza3]*29979300000</f>
        <v>24716973512400</v>
      </c>
      <c r="E13" s="18" cm="1">
        <f t="array" ref="E13">Tabella931[Frequenza4]*29979300000</f>
        <v>29934759753990</v>
      </c>
      <c r="F13" s="18" cm="1">
        <f t="array" ref="F13">Tabella931[Frequenza5]*29979300000</f>
        <v>36549161665380</v>
      </c>
      <c r="G13" s="18" cm="1">
        <f t="array" ref="G13">Tabella931[Frequenza6]*29979300000</f>
        <v>36549227619840</v>
      </c>
      <c r="H13" s="18" cm="1">
        <f t="array" ref="H13">Tabella931[Frequenza7]*29979300000</f>
        <v>42221661937650</v>
      </c>
      <c r="I13" s="18" cm="1">
        <f t="array" ref="I13">Tabella931[Frequenza8]*29979300000</f>
        <v>42869100896310</v>
      </c>
      <c r="J13" s="18" cm="1">
        <f t="array" ref="J13">Tabella931[Frequenza9]*29979300000</f>
        <v>45204983024760</v>
      </c>
      <c r="K13" s="18" cm="1">
        <f t="array" ref="K13">Tabella931[Frequenza10]*29979300000</f>
        <v>45205001012340</v>
      </c>
      <c r="L13" s="18" cm="1">
        <f t="array" ref="L13">Tabella931[Frequenza11]*29979300000</f>
        <v>45253714376910</v>
      </c>
      <c r="M13" s="18" cm="1">
        <f t="array" ref="M13">Tabella931[Frequenza12]*29979300000</f>
        <v>45253774335510</v>
      </c>
      <c r="N13" s="18" cm="1">
        <f t="array" ref="N13">Tabella931[Frequenza13]*29979300000</f>
        <v>91031254064790</v>
      </c>
      <c r="O13" s="18" cm="1">
        <f t="array" ref="O13">Tabella931[Frequenza14]*29979300000</f>
        <v>91062471509880</v>
      </c>
      <c r="P13" s="18" cm="1">
        <f t="array" ref="P13">Tabella931[Frequenza15]*29979300000</f>
        <v>92638612221870</v>
      </c>
      <c r="Q13" s="18" cm="1">
        <f t="array" ref="Q13">Tabella931[Frequenza16]*29979300000</f>
        <v>92638615219800</v>
      </c>
      <c r="R13" s="18" cm="1">
        <f t="array" ref="R13">Tabella931[Frequenza17]*29979300000</f>
        <v>93343020844320</v>
      </c>
      <c r="S13" s="18" cm="1">
        <f t="array" ref="S13">Tabella931[Frequenza18]*29979300000</f>
        <v>93343074807060</v>
      </c>
    </row>
    <row r="14" spans="1:20" x14ac:dyDescent="0.35">
      <c r="A14" s="18" t="s">
        <v>6</v>
      </c>
      <c r="B14" s="18" t="s">
        <v>31</v>
      </c>
      <c r="C14" s="18" t="s">
        <v>14</v>
      </c>
      <c r="D14" s="18" t="s">
        <v>15</v>
      </c>
      <c r="E14" s="18" t="s">
        <v>16</v>
      </c>
      <c r="F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  <c r="K14" s="18" t="s">
        <v>75</v>
      </c>
      <c r="L14" s="18" t="s">
        <v>76</v>
      </c>
      <c r="M14" s="18" t="s">
        <v>74</v>
      </c>
      <c r="N14" s="18" t="s">
        <v>77</v>
      </c>
      <c r="O14" s="18" t="s">
        <v>78</v>
      </c>
      <c r="P14" s="18" t="s">
        <v>79</v>
      </c>
      <c r="Q14" s="18" t="s">
        <v>80</v>
      </c>
      <c r="R14" s="18" t="s">
        <v>81</v>
      </c>
      <c r="S14" s="18" t="s">
        <v>82</v>
      </c>
      <c r="T14" s="50" t="s">
        <v>32</v>
      </c>
    </row>
    <row r="15" spans="1:20" x14ac:dyDescent="0.35">
      <c r="A15" s="18">
        <v>298.14999999999998</v>
      </c>
      <c r="B15" s="32" cm="1">
        <f t="array" ref="B15">(EXP(-(Tabella3[Planck h]*Tabella9[Frequenza1])/(2*Tabella3[Boltzmann k]*Tabella8[[#This Row],[Temperatura]])))/(1-EXP(-(Tabella3[Planck h]*Tabella9[Frequenza1])/(Tabella3[Boltzmann k]*Tabella8[[#This Row],[Temperatura]])))</f>
        <v>0.61409942712578724</v>
      </c>
      <c r="C15" s="32" cm="1">
        <f t="array" ref="C15">(EXP(-(Tabella3[Planck h]*Tabella9[Frequenza2])/(2*Tabella3[Boltzmann k]*Tabella8[[#This Row],[Temperatura]])))/(1-EXP(-(Tabella3[Planck h]*Tabella9[Frequenza2])/(Tabella3[Boltzmann k]*Tabella8[[#This Row],[Temperatura]])))</f>
        <v>0.1393977766576997</v>
      </c>
      <c r="D15" s="32" cm="1">
        <f t="array" ref="D15">(EXP(-(Tabella3[Planck h]*Tabella9[Frequenza3])/(2*Tabella3[Boltzmann k]*Tabella8[[#This Row],[Temperatura]])))/(1-EXP(-(Tabella3[Planck h]*Tabella9[Frequenza3])/(Tabella3[Boltzmann k]*Tabella8[[#This Row],[Temperatura]])))</f>
        <v>0.139397671906107</v>
      </c>
      <c r="E15" s="32" cm="1">
        <f t="array" ref="E15">(EXP(-(Tabella3[Planck h]*Tabella9[Frequenza4])/(2*Tabella3[Boltzmann k]*Tabella8[[#This Row],[Temperatura]])))/(1-EXP(-(Tabella3[Planck h]*Tabella9[Frequenza4])/(Tabella3[Boltzmann k]*Tabella8[[#This Row],[Temperatura]])))</f>
        <v>9.0613851563980968E-2</v>
      </c>
      <c r="F15" s="32" cm="1">
        <f t="array" ref="F15">(EXP(-(Tabella3[Planck h]*Tabella9[Frequenza5])/(2*Tabella3[Boltzmann k]*Tabella8[[#This Row],[Temperatura]])))/(1-EXP(-(Tabella3[Planck h]*Tabella9[Frequenza5])/(Tabella3[Boltzmann k]*Tabella8[[#This Row],[Temperatura]])))</f>
        <v>5.2928068252116087E-2</v>
      </c>
      <c r="G15" s="32" cm="1">
        <f t="array" ref="G15">(EXP(-(Tabella3[Planck h]*Tabella9[Frequenza6])/(2*Tabella3[Boltzmann k]*Tabella8[[#This Row],[Temperatura]])))/(1-EXP(-(Tabella3[Planck h]*Tabella9[Frequenza6])/(Tabella3[Boltzmann k]*Tabella8[[#This Row],[Temperatura]])))</f>
        <v>5.2927785727298629E-2</v>
      </c>
      <c r="H15" s="32" cm="1">
        <f t="array" ref="H15">(EXP(-(Tabella3[Planck h]*Tabella9[Frequenza7])/(2*Tabella3[Boltzmann k]*Tabella8[[#This Row],[Temperatura]])))/(1-EXP(-(Tabella3[Planck h]*Tabella9[Frequenza7])/(Tabella3[Boltzmann k]*Tabella8[[#This Row],[Temperatura]])))</f>
        <v>3.347232262581696E-2</v>
      </c>
      <c r="I15" s="32" cm="1">
        <f t="array" ref="I15">(EXP(-(Tabella3[Planck h]*Tabella9[Frequenza8])/(2*Tabella3[Boltzmann k]*Tabella8[[#This Row],[Temperatura]])))/(1-EXP(-(Tabella3[Planck h]*Tabella9[Frequenza8])/(Tabella3[Boltzmann k]*Tabella8[[#This Row],[Temperatura]])))</f>
        <v>3.1769282990655297E-2</v>
      </c>
      <c r="J15" s="32" cm="1">
        <f t="array" ref="J15">(EXP(-(Tabella3[Planck h]*Tabella9[Frequenza9])/(2*Tabella3[Boltzmann k]*Tabella8[[#This Row],[Temperatura]])))/(1-EXP(-(Tabella3[Planck h]*Tabella9[Frequenza9])/(Tabella3[Boltzmann k]*Tabella8[[#This Row],[Temperatura]])))</f>
        <v>2.6316168976434517E-2</v>
      </c>
      <c r="K15" s="32" cm="1">
        <f t="array" ref="K15">(EXP(-(Tabella3[Planck h]*Tabella9[Frequenza10])/(2*Tabella3[Boltzmann k]*Tabella8[[#This Row],[Temperatura]])))/(1-EXP(-(Tabella3[Planck h]*Tabella9[Frequenza10])/(Tabella3[Boltzmann k]*Tabella8[[#This Row],[Temperatura]])))</f>
        <v>2.6316130825635591E-2</v>
      </c>
      <c r="L15" s="32" cm="1">
        <f t="array" ref="L15">(EXP(-(Tabella3[Planck h]*Tabella9[Frequenza11])/(2*Tabella3[Boltzmann k]*Tabella8[[#This Row],[Temperatura]])))/(1-EXP(-(Tabella3[Planck h]*Tabella9[Frequenza11])/(Tabella3[Boltzmann k]*Tabella8[[#This Row],[Temperatura]])))</f>
        <v>2.6213015287721842E-2</v>
      </c>
      <c r="M15" s="32" cm="1">
        <f t="array" ref="M15">(EXP(-(Tabella3[Planck h]*Tabella9[Frequenza12])/(2*Tabella3[Boltzmann k]*Tabella8[[#This Row],[Temperatura]])))/(1-EXP(-(Tabella3[Planck h]*Tabella9[Frequenza12])/(Tabella3[Boltzmann k]*Tabella8[[#This Row],[Temperatura]])))</f>
        <v>2.6212888618452126E-2</v>
      </c>
      <c r="N15" s="32" cm="1">
        <f t="array" ref="N15">(EXP(-(Tabella3[Planck h]*Tabella9[Frequenza13])/(2*Tabella3[Boltzmann k]*Tabella8[[#This Row],[Temperatura]])))/(1-EXP(-(Tabella3[Planck h]*Tabella9[Frequenza13])/(Tabella3[Boltzmann k]*Tabella8[[#This Row],[Temperatura]])))</f>
        <v>6.5785222249218451E-4</v>
      </c>
      <c r="O15" s="32" cm="1">
        <f t="array" ref="O15">(EXP(-(Tabella3[Planck h]*Tabella9[Frequenza14])/(2*Tabella3[Boltzmann k]*Tabella8[[#This Row],[Temperatura]])))/(1-EXP(-(Tabella3[Planck h]*Tabella9[Frequenza14])/(Tabella3[Boltzmann k]*Tabella8[[#This Row],[Temperatura]])))</f>
        <v>6.5620144531311757E-4</v>
      </c>
      <c r="P15" s="32" cm="1">
        <f t="array" ref="P15">(EXP(-(Tabella3[Planck h]*Tabella9[Frequenza15])/(2*Tabella3[Boltzmann k]*Tabella8[[#This Row],[Temperatura]])))/(1-EXP(-(Tabella3[Planck h]*Tabella9[Frequenza15])/(Tabella3[Boltzmann k]*Tabella8[[#This Row],[Temperatura]])))</f>
        <v>5.7802326333944367E-4</v>
      </c>
      <c r="Q15" s="32" cm="1">
        <f t="array" ref="Q15">(EXP(-(Tabella3[Planck h]*Tabella9[Frequenza16])/(2*Tabella3[Boltzmann k]*Tabella8[[#This Row],[Temperatura]])))/(1-EXP(-(Tabella3[Planck h]*Tabella9[Frequenza16])/(Tabella3[Boltzmann k]*Tabella8[[#This Row],[Temperatura]])))</f>
        <v>5.7802312387134199E-4</v>
      </c>
      <c r="R15" s="32" cm="1">
        <f t="array" ref="R15">(EXP(-(Tabella3[Planck h]*Tabella9[Frequenza17])/(2*Tabella3[Boltzmann k]*Tabella8[[#This Row],[Temperatura]])))/(1-EXP(-(Tabella3[Planck h]*Tabella9[Frequenza17])/(Tabella3[Boltzmann k]*Tabella8[[#This Row],[Temperatura]])))</f>
        <v>5.4616475493087641E-4</v>
      </c>
      <c r="S15" s="32" cm="1">
        <f t="array" ref="S15">(EXP(-(Tabella3[Planck h]*Tabella9[Frequenza18])/(2*Tabella3[Boltzmann k]*Tabella8[[#This Row],[Temperatura]])))/(1-EXP(-(Tabella3[Planck h]*Tabella9[Frequenza18])/(Tabella3[Boltzmann k]*Tabella8[[#This Row],[Temperatura]])))</f>
        <v>5.4616238287548543E-4</v>
      </c>
      <c r="T15" s="51">
        <f>PRODUCT(Tabella8[[#This Row],[Qvib1]:[Qvib18]])</f>
        <v>6.5945590604710912E-35</v>
      </c>
    </row>
    <row r="16" spans="1:20" x14ac:dyDescent="0.35">
      <c r="A16" s="18">
        <v>400</v>
      </c>
      <c r="B16" s="32" cm="1">
        <f t="array" ref="B16">(EXP(-(Tabella3[Planck h]*Tabella9[Frequenza1])/(2*Tabella3[Boltzmann k]*Tabella8[[#This Row],[Temperatura]])))/(1-EXP(-(Tabella3[Planck h]*Tabella9[Frequenza1])/(Tabella3[Boltzmann k]*Tabella8[[#This Row],[Temperatura]])))</f>
        <v>0.85736695342532754</v>
      </c>
      <c r="C16" s="32" cm="1">
        <f t="array" ref="C16">(EXP(-(Tabella3[Planck h]*Tabella9[Frequenza2])/(2*Tabella3[Boltzmann k]*Tabella8[[#This Row],[Temperatura]])))/(1-EXP(-(Tabella3[Planck h]*Tabella9[Frequenza2])/(Tabella3[Boltzmann k]*Tabella8[[#This Row],[Temperatura]])))</f>
        <v>0.23933828946208732</v>
      </c>
      <c r="D16" s="32" cm="1">
        <f t="array" ref="D16">(EXP(-(Tabella3[Planck h]*Tabella9[Frequenza3])/(2*Tabella3[Boltzmann k]*Tabella8[[#This Row],[Temperatura]])))/(1-EXP(-(Tabella3[Planck h]*Tabella9[Frequenza3])/(Tabella3[Boltzmann k]*Tabella8[[#This Row],[Temperatura]])))</f>
        <v>0.23933814629718095</v>
      </c>
      <c r="E16" s="32" cm="1">
        <f t="array" ref="E16">(EXP(-(Tabella3[Planck h]*Tabella9[Frequenza4])/(2*Tabella3[Boltzmann k]*Tabella8[[#This Row],[Temperatura]])))/(1-EXP(-(Tabella3[Planck h]*Tabella9[Frequenza4])/(Tabella3[Boltzmann k]*Tabella8[[#This Row],[Temperatura]])))</f>
        <v>0.17069769643484903</v>
      </c>
      <c r="F16" s="32" cm="1">
        <f t="array" ref="F16">(EXP(-(Tabella3[Planck h]*Tabella9[Frequenza5])/(2*Tabella3[Boltzmann k]*Tabella8[[#This Row],[Temperatura]])))/(1-EXP(-(Tabella3[Planck h]*Tabella9[Frequenza5])/(Tabella3[Boltzmann k]*Tabella8[[#This Row],[Temperatura]])))</f>
        <v>0.11303420171465926</v>
      </c>
      <c r="G16" s="32" cm="1">
        <f t="array" ref="G16">(EXP(-(Tabella3[Planck h]*Tabella9[Frequenza6])/(2*Tabella3[Boltzmann k]*Tabella8[[#This Row],[Temperatura]])))/(1-EXP(-(Tabella3[Planck h]*Tabella9[Frequenza6])/(Tabella3[Boltzmann k]*Tabella8[[#This Row],[Temperatura]])))</f>
        <v>0.11303374319365631</v>
      </c>
      <c r="H16" s="32" cm="1">
        <f t="array" ref="H16">(EXP(-(Tabella3[Planck h]*Tabella9[Frequenza7])/(2*Tabella3[Boltzmann k]*Tabella8[[#This Row],[Temperatura]])))/(1-EXP(-(Tabella3[Planck h]*Tabella9[Frequenza7])/(Tabella3[Boltzmann k]*Tabella8[[#This Row],[Temperatura]])))</f>
        <v>7.9932651861021262E-2</v>
      </c>
      <c r="I16" s="32" cm="1">
        <f t="array" ref="I16">(EXP(-(Tabella3[Planck h]*Tabella9[Frequenza8])/(2*Tabella3[Boltzmann k]*Tabella8[[#This Row],[Temperatura]])))/(1-EXP(-(Tabella3[Planck h]*Tabella9[Frequenza8])/(Tabella3[Boltzmann k]*Tabella8[[#This Row],[Temperatura]])))</f>
        <v>7.6851102776962124E-2</v>
      </c>
      <c r="J16" s="32" cm="1">
        <f t="array" ref="J16">(EXP(-(Tabella3[Planck h]*Tabella9[Frequenza9])/(2*Tabella3[Boltzmann k]*Tabella8[[#This Row],[Temperatura]])))/(1-EXP(-(Tabella3[Planck h]*Tabella9[Frequenza9])/(Tabella3[Boltzmann k]*Tabella8[[#This Row],[Temperatura]])))</f>
        <v>6.6706669897540594E-2</v>
      </c>
      <c r="K16" s="32" cm="1">
        <f t="array" ref="K16">(EXP(-(Tabella3[Planck h]*Tabella9[Frequenza10])/(2*Tabella3[Boltzmann k]*Tabella8[[#This Row],[Temperatura]])))/(1-EXP(-(Tabella3[Planck h]*Tabella9[Frequenza10])/(Tabella3[Boltzmann k]*Tabella8[[#This Row],[Temperatura]])))</f>
        <v>6.6706597277671351E-2</v>
      </c>
      <c r="L16" s="32" cm="1">
        <f t="array" ref="L16">(EXP(-(Tabella3[Planck h]*Tabella9[Frequenza11])/(2*Tabella3[Boltzmann k]*Tabella8[[#This Row],[Temperatura]])))/(1-EXP(-(Tabella3[Planck h]*Tabella9[Frequenza11])/(Tabella3[Boltzmann k]*Tabella8[[#This Row],[Temperatura]])))</f>
        <v>6.6510225347255897E-2</v>
      </c>
      <c r="M16" s="32" cm="1">
        <f t="array" ref="M16">(EXP(-(Tabella3[Planck h]*Tabella9[Frequenza12])/(2*Tabella3[Boltzmann k]*Tabella8[[#This Row],[Temperatura]])))/(1-EXP(-(Tabella3[Planck h]*Tabella9[Frequenza12])/(Tabella3[Boltzmann k]*Tabella8[[#This Row],[Temperatura]])))</f>
        <v>6.6509984006609804E-2</v>
      </c>
      <c r="N16" s="32" cm="1">
        <f t="array" ref="N16">(EXP(-(Tabella3[Planck h]*Tabella9[Frequenza13])/(2*Tabella3[Boltzmann k]*Tabella8[[#This Row],[Temperatura]])))/(1-EXP(-(Tabella3[Planck h]*Tabella9[Frequenza13])/(Tabella3[Boltzmann k]*Tabella8[[#This Row],[Temperatura]])))</f>
        <v>4.2493266570073941E-3</v>
      </c>
      <c r="O16" s="32" cm="1">
        <f t="array" ref="O16">(EXP(-(Tabella3[Planck h]*Tabella9[Frequenza14])/(2*Tabella3[Boltzmann k]*Tabella8[[#This Row],[Temperatura]])))/(1-EXP(-(Tabella3[Planck h]*Tabella9[Frequenza14])/(Tabella3[Boltzmann k]*Tabella8[[#This Row],[Temperatura]])))</f>
        <v>4.2413758871419583E-3</v>
      </c>
      <c r="P16" s="32" cm="1">
        <f t="array" ref="P16">(EXP(-(Tabella3[Planck h]*Tabella9[Frequenza15])/(2*Tabella3[Boltzmann k]*Tabella8[[#This Row],[Temperatura]])))/(1-EXP(-(Tabella3[Planck h]*Tabella9[Frequenza15])/(Tabella3[Boltzmann k]*Tabella8[[#This Row],[Temperatura]])))</f>
        <v>3.8587029691804736E-3</v>
      </c>
      <c r="Q16" s="32" cm="1">
        <f t="array" ref="Q16">(EXP(-(Tabella3[Planck h]*Tabella9[Frequenza16])/(2*Tabella3[Boltzmann k]*Tabella8[[#This Row],[Temperatura]])))/(1-EXP(-(Tabella3[Planck h]*Tabella9[Frequenza16])/(Tabella3[Boltzmann k]*Tabella8[[#This Row],[Temperatura]])))</f>
        <v>3.8587022751821838E-3</v>
      </c>
      <c r="R16" s="32" cm="1">
        <f t="array" ref="R16">(EXP(-(Tabella3[Planck h]*Tabella9[Frequenza17])/(2*Tabella3[Boltzmann k]*Tabella8[[#This Row],[Temperatura]])))/(1-EXP(-(Tabella3[Planck h]*Tabella9[Frequenza17])/(Tabella3[Boltzmann k]*Tabella8[[#This Row],[Temperatura]])))</f>
        <v>3.6990353088851482E-3</v>
      </c>
      <c r="S16" s="32" cm="1">
        <f t="array" ref="S16">(EXP(-(Tabella3[Planck h]*Tabella9[Frequenza18])/(2*Tabella3[Boltzmann k]*Tabella8[[#This Row],[Temperatura]])))/(1-EXP(-(Tabella3[Planck h]*Tabella9[Frequenza18])/(Tabella3[Boltzmann k]*Tabella8[[#This Row],[Temperatura]])))</f>
        <v>3.6990233338631447E-3</v>
      </c>
      <c r="T16" s="51">
        <f>PRODUCT(Tabella8[[#This Row],[Qvib1]:[Qvib18]])</f>
        <v>4.7556422044129941E-26</v>
      </c>
    </row>
    <row r="17" spans="1:20" x14ac:dyDescent="0.35">
      <c r="A17" s="18">
        <v>500</v>
      </c>
      <c r="B17" s="32" cm="1">
        <f t="array" ref="B17">(EXP(-(Tabella3[Planck h]*Tabella9[Frequenza1])/(2*Tabella3[Boltzmann k]*Tabella8[[#This Row],[Temperatura]])))/(1-EXP(-(Tabella3[Planck h]*Tabella9[Frequenza1])/(Tabella3[Boltzmann k]*Tabella8[[#This Row],[Temperatura]])))</f>
        <v>1.0913222997209142</v>
      </c>
      <c r="C17" s="32" cm="1">
        <f t="array" ref="C17">(EXP(-(Tabella3[Planck h]*Tabella9[Frequenza2])/(2*Tabella3[Boltzmann k]*Tabella8[[#This Row],[Temperatura]])))/(1-EXP(-(Tabella3[Planck h]*Tabella9[Frequenza2])/(Tabella3[Boltzmann k]*Tabella8[[#This Row],[Temperatura]])))</f>
        <v>0.33677619518360108</v>
      </c>
      <c r="D17" s="32" cm="1">
        <f t="array" ref="D17">(EXP(-(Tabella3[Planck h]*Tabella9[Frequenza3])/(2*Tabella3[Boltzmann k]*Tabella8[[#This Row],[Temperatura]])))/(1-EXP(-(Tabella3[Planck h]*Tabella9[Frequenza3])/(Tabella3[Boltzmann k]*Tabella8[[#This Row],[Temperatura]])))</f>
        <v>0.33677601992070988</v>
      </c>
      <c r="E17" s="32" cm="1">
        <f t="array" ref="E17">(EXP(-(Tabella3[Planck h]*Tabella9[Frequenza4])/(2*Tabella3[Boltzmann k]*Tabella8[[#This Row],[Temperatura]])))/(1-EXP(-(Tabella3[Planck h]*Tabella9[Frequenza4])/(Tabella3[Boltzmann k]*Tabella8[[#This Row],[Temperatura]])))</f>
        <v>0.25196406389570841</v>
      </c>
      <c r="F17" s="32" cm="1">
        <f t="array" ref="F17">(EXP(-(Tabella3[Planck h]*Tabella9[Frequenza5])/(2*Tabella3[Boltzmann k]*Tabella8[[#This Row],[Temperatura]])))/(1-EXP(-(Tabella3[Planck h]*Tabella9[Frequenza5])/(Tabella3[Boltzmann k]*Tabella8[[#This Row],[Temperatura]])))</f>
        <v>0.17840960651212504</v>
      </c>
      <c r="G17" s="32" cm="1">
        <f t="array" ref="G17">(EXP(-(Tabella3[Planck h]*Tabella9[Frequenza6])/(2*Tabella3[Boltzmann k]*Tabella8[[#This Row],[Temperatura]])))/(1-EXP(-(Tabella3[Planck h]*Tabella9[Frequenza6])/(Tabella3[Boltzmann k]*Tabella8[[#This Row],[Temperatura]])))</f>
        <v>0.17840900691734374</v>
      </c>
      <c r="H17" s="32" cm="1">
        <f t="array" ref="H17">(EXP(-(Tabella3[Planck h]*Tabella9[Frequenza7])/(2*Tabella3[Boltzmann k]*Tabella8[[#This Row],[Temperatura]])))/(1-EXP(-(Tabella3[Planck h]*Tabella9[Frequenza7])/(Tabella3[Boltzmann k]*Tabella8[[#This Row],[Temperatura]])))</f>
        <v>0.13415082263792028</v>
      </c>
      <c r="I17" s="32" cm="1">
        <f t="array" ref="I17">(EXP(-(Tabella3[Planck h]*Tabella9[Frequenza8])/(2*Tabella3[Boltzmann k]*Tabella8[[#This Row],[Temperatura]])))/(1-EXP(-(Tabella3[Planck h]*Tabella9[Frequenza8])/(Tabella3[Boltzmann k]*Tabella8[[#This Row],[Temperatura]])))</f>
        <v>0.12990814452151803</v>
      </c>
      <c r="J17" s="32" cm="1">
        <f t="array" ref="J17">(EXP(-(Tabella3[Planck h]*Tabella9[Frequenza9])/(2*Tabella3[Boltzmann k]*Tabella8[[#This Row],[Temperatura]])))/(1-EXP(-(Tabella3[Planck h]*Tabella9[Frequenza9])/(Tabella3[Boltzmann k]*Tabella8[[#This Row],[Temperatura]])))</f>
        <v>0.11574555301667572</v>
      </c>
      <c r="K17" s="32" cm="1">
        <f t="array" ref="K17">(EXP(-(Tabella3[Planck h]*Tabella9[Frequenza10])/(2*Tabella3[Boltzmann k]*Tabella8[[#This Row],[Temperatura]])))/(1-EXP(-(Tabella3[Planck h]*Tabella9[Frequenza10])/(Tabella3[Boltzmann k]*Tabella8[[#This Row],[Temperatura]])))</f>
        <v>0.11574545045503937</v>
      </c>
      <c r="L17" s="32" cm="1">
        <f t="array" ref="L17">(EXP(-(Tabella3[Planck h]*Tabella9[Frequenza11])/(2*Tabella3[Boltzmann k]*Tabella8[[#This Row],[Temperatura]])))/(1-EXP(-(Tabella3[Planck h]*Tabella9[Frequenza11])/(Tabella3[Boltzmann k]*Tabella8[[#This Row],[Temperatura]])))</f>
        <v>0.11546804645846614</v>
      </c>
      <c r="M17" s="32" cm="1">
        <f t="array" ref="M17">(EXP(-(Tabella3[Planck h]*Tabella9[Frequenza12])/(2*Tabella3[Boltzmann k]*Tabella8[[#This Row],[Temperatura]])))/(1-EXP(-(Tabella3[Planck h]*Tabella9[Frequenza12])/(Tabella3[Boltzmann k]*Tabella8[[#This Row],[Temperatura]])))</f>
        <v>0.11546770544791578</v>
      </c>
      <c r="N17" s="32" cm="1">
        <f t="array" ref="N17">(EXP(-(Tabella3[Planck h]*Tabella9[Frequenza13])/(2*Tabella3[Boltzmann k]*Tabella8[[#This Row],[Temperatura]])))/(1-EXP(-(Tabella3[Planck h]*Tabella9[Frequenza13])/(Tabella3[Boltzmann k]*Tabella8[[#This Row],[Temperatura]])))</f>
        <v>1.2668333927119644E-2</v>
      </c>
      <c r="O17" s="32" cm="1">
        <f t="array" ref="O17">(EXP(-(Tabella3[Planck h]*Tabella9[Frequenza14])/(2*Tabella3[Boltzmann k]*Tabella8[[#This Row],[Temperatura]])))/(1-EXP(-(Tabella3[Planck h]*Tabella9[Frequenza14])/(Tabella3[Boltzmann k]*Tabella8[[#This Row],[Temperatura]])))</f>
        <v>1.2649362357471211E-2</v>
      </c>
      <c r="P17" s="32" cm="1">
        <f t="array" ref="P17">(EXP(-(Tabella3[Planck h]*Tabella9[Frequenza15])/(2*Tabella3[Boltzmann k]*Tabella8[[#This Row],[Temperatura]])))/(1-EXP(-(Tabella3[Planck h]*Tabella9[Frequenza15])/(Tabella3[Boltzmann k]*Tabella8[[#This Row],[Temperatura]])))</f>
        <v>1.1727558958690125E-2</v>
      </c>
      <c r="Q17" s="32" cm="1">
        <f t="array" ref="Q17">(EXP(-(Tabella3[Planck h]*Tabella9[Frequenza16])/(2*Tabella3[Boltzmann k]*Tabella8[[#This Row],[Temperatura]])))/(1-EXP(-(Tabella3[Planck h]*Tabella9[Frequenza16])/(Tabella3[Boltzmann k]*Tabella8[[#This Row],[Temperatura]])))</f>
        <v>1.1727557270889409E-2</v>
      </c>
      <c r="R17" s="32" cm="1">
        <f t="array" ref="R17">(EXP(-(Tabella3[Planck h]*Tabella9[Frequenza17])/(2*Tabella3[Boltzmann k]*Tabella8[[#This Row],[Temperatura]])))/(1-EXP(-(Tabella3[Planck h]*Tabella9[Frequenza17])/(Tabella3[Boltzmann k]*Tabella8[[#This Row],[Temperatura]])))</f>
        <v>1.1337618565572704E-2</v>
      </c>
      <c r="S17" s="32" cm="1">
        <f t="array" ref="S17">(EXP(-(Tabella3[Planck h]*Tabella9[Frequenza18])/(2*Tabella3[Boltzmann k]*Tabella8[[#This Row],[Temperatura]])))/(1-EXP(-(Tabella3[Planck h]*Tabella9[Frequenza18])/(Tabella3[Boltzmann k]*Tabella8[[#This Row],[Temperatura]])))</f>
        <v>1.1337589195870105E-2</v>
      </c>
      <c r="T17" s="51">
        <f>PRODUCT(Tabella8[[#This Row],[Qvib1]:[Qvib18]])</f>
        <v>8.7541783673708365E-21</v>
      </c>
    </row>
    <row r="18" spans="1:20" x14ac:dyDescent="0.35">
      <c r="A18" s="18">
        <v>600</v>
      </c>
      <c r="B18" s="32" cm="1">
        <f t="array" ref="B18">(EXP(-(Tabella3[Planck h]*Tabella9[Frequenza1])/(2*Tabella3[Boltzmann k]*Tabella8[[#This Row],[Temperatura]])))/(1-EXP(-(Tabella3[Planck h]*Tabella9[Frequenza1])/(Tabella3[Boltzmann k]*Tabella8[[#This Row],[Temperatura]])))</f>
        <v>1.3226243869039505</v>
      </c>
      <c r="C18" s="32" cm="1">
        <f t="array" ref="C18">(EXP(-(Tabella3[Planck h]*Tabella9[Frequenza2])/(2*Tabella3[Boltzmann k]*Tabella8[[#This Row],[Temperatura]])))/(1-EXP(-(Tabella3[Planck h]*Tabella9[Frequenza2])/(Tabella3[Boltzmann k]*Tabella8[[#This Row],[Temperatura]])))</f>
        <v>0.43194027212803965</v>
      </c>
      <c r="D18" s="32" cm="1">
        <f t="array" ref="D18">(EXP(-(Tabella3[Planck h]*Tabella9[Frequenza3])/(2*Tabella3[Boltzmann k]*Tabella8[[#This Row],[Temperatura]])))/(1-EXP(-(Tabella3[Planck h]*Tabella9[Frequenza3])/(Tabella3[Boltzmann k]*Tabella8[[#This Row],[Temperatura]])))</f>
        <v>0.43194006681532948</v>
      </c>
      <c r="E18" s="32" cm="1">
        <f t="array" ref="E18">(EXP(-(Tabella3[Planck h]*Tabella9[Frequenza4])/(2*Tabella3[Boltzmann k]*Tabella8[[#This Row],[Temperatura]])))/(1-EXP(-(Tabella3[Planck h]*Tabella9[Frequenza4])/(Tabella3[Boltzmann k]*Tabella8[[#This Row],[Temperatura]])))</f>
        <v>0.33235845668271219</v>
      </c>
      <c r="F18" s="32" cm="1">
        <f t="array" ref="F18">(EXP(-(Tabella3[Planck h]*Tabella9[Frequenza5])/(2*Tabella3[Boltzmann k]*Tabella8[[#This Row],[Temperatura]])))/(1-EXP(-(Tabella3[Planck h]*Tabella9[Frequenza5])/(Tabella3[Boltzmann k]*Tabella8[[#This Row],[Temperatura]])))</f>
        <v>0.24500160179345504</v>
      </c>
      <c r="G18" s="32" cm="1">
        <f t="array" ref="G18">(EXP(-(Tabella3[Planck h]*Tabella9[Frequenza6])/(2*Tabella3[Boltzmann k]*Tabella8[[#This Row],[Temperatura]])))/(1-EXP(-(Tabella3[Planck h]*Tabella9[Frequenza6])/(Tabella3[Boltzmann k]*Tabella8[[#This Row],[Temperatura]])))</f>
        <v>0.24500088212470572</v>
      </c>
      <c r="H18" s="32" cm="1">
        <f t="array" ref="H18">(EXP(-(Tabella3[Planck h]*Tabella9[Frequenza7])/(2*Tabella3[Boltzmann k]*Tabella8[[#This Row],[Temperatura]])))/(1-EXP(-(Tabella3[Planck h]*Tabella9[Frequenza7])/(Tabella3[Boltzmann k]*Tabella8[[#This Row],[Temperatura]])))</f>
        <v>0.19130995228096317</v>
      </c>
      <c r="I18" s="32" cm="1">
        <f t="array" ref="I18">(EXP(-(Tabella3[Planck h]*Tabella9[Frequenza8])/(2*Tabella3[Boltzmann k]*Tabella8[[#This Row],[Temperatura]])))/(1-EXP(-(Tabella3[Planck h]*Tabella9[Frequenza8])/(Tabella3[Boltzmann k]*Tabella8[[#This Row],[Temperatura]])))</f>
        <v>0.18608786455417947</v>
      </c>
      <c r="J18" s="32" cm="1">
        <f t="array" ref="J18">(EXP(-(Tabella3[Planck h]*Tabella9[Frequenza9])/(2*Tabella3[Boltzmann k]*Tabella8[[#This Row],[Temperatura]])))/(1-EXP(-(Tabella3[Planck h]*Tabella9[Frequenza9])/(Tabella3[Boltzmann k]*Tabella8[[#This Row],[Temperatura]])))</f>
        <v>0.16852842250574351</v>
      </c>
      <c r="K18" s="32" cm="1">
        <f t="array" ref="K18">(EXP(-(Tabella3[Planck h]*Tabella9[Frequenza10])/(2*Tabella3[Boltzmann k]*Tabella8[[#This Row],[Temperatura]])))/(1-EXP(-(Tabella3[Planck h]*Tabella9[Frequenza10])/(Tabella3[Boltzmann k]*Tabella8[[#This Row],[Temperatura]])))</f>
        <v>0.16852829456668217</v>
      </c>
      <c r="L18" s="32" cm="1">
        <f t="array" ref="L18">(EXP(-(Tabella3[Planck h]*Tabella9[Frequenza11])/(2*Tabella3[Boltzmann k]*Tabella8[[#This Row],[Temperatura]])))/(1-EXP(-(Tabella3[Planck h]*Tabella9[Frequenza11])/(Tabella3[Boltzmann k]*Tabella8[[#This Row],[Temperatura]])))</f>
        <v>0.16818220654462171</v>
      </c>
      <c r="M18" s="32" cm="1">
        <f t="array" ref="M18">(EXP(-(Tabella3[Planck h]*Tabella9[Frequenza12])/(2*Tabella3[Boltzmann k]*Tabella8[[#This Row],[Temperatura]])))/(1-EXP(-(Tabella3[Planck h]*Tabella9[Frequenza12])/(Tabella3[Boltzmann k]*Tabella8[[#This Row],[Temperatura]])))</f>
        <v>0.16818178104671538</v>
      </c>
      <c r="N18" s="32" cm="1">
        <f t="array" ref="N18">(EXP(-(Tabella3[Planck h]*Tabella9[Frequenza13])/(2*Tabella3[Boltzmann k]*Tabella8[[#This Row],[Temperatura]])))/(1-EXP(-(Tabella3[Planck h]*Tabella9[Frequenza13])/(Tabella3[Boltzmann k]*Tabella8[[#This Row],[Temperatura]])))</f>
        <v>2.625269295230355E-2</v>
      </c>
      <c r="O18" s="32" cm="1">
        <f t="array" ref="O18">(EXP(-(Tabella3[Planck h]*Tabella9[Frequenza14])/(2*Tabella3[Boltzmann k]*Tabella8[[#This Row],[Temperatura]])))/(1-EXP(-(Tabella3[Planck h]*Tabella9[Frequenza14])/(Tabella3[Boltzmann k]*Tabella8[[#This Row],[Temperatura]])))</f>
        <v>2.6219891865192423E-2</v>
      </c>
      <c r="P18" s="32" cm="1">
        <f t="array" ref="P18">(EXP(-(Tabella3[Planck h]*Tabella9[Frequenza15])/(2*Tabella3[Boltzmann k]*Tabella8[[#This Row],[Temperatura]])))/(1-EXP(-(Tabella3[Planck h]*Tabella9[Frequenza15])/(Tabella3[Boltzmann k]*Tabella8[[#This Row],[Temperatura]])))</f>
        <v>2.4616114981621234E-2</v>
      </c>
      <c r="Q18" s="32" cm="1">
        <f t="array" ref="Q18">(EXP(-(Tabella3[Planck h]*Tabella9[Frequenza16])/(2*Tabella3[Boltzmann k]*Tabella8[[#This Row],[Temperatura]])))/(1-EXP(-(Tabella3[Planck h]*Tabella9[Frequenza16])/(Tabella3[Boltzmann k]*Tabella8[[#This Row],[Temperatura]])))</f>
        <v>2.4616112026617246E-2</v>
      </c>
      <c r="R18" s="32" cm="1">
        <f t="array" ref="R18">(EXP(-(Tabella3[Planck h]*Tabella9[Frequenza17])/(2*Tabella3[Boltzmann k]*Tabella8[[#This Row],[Temperatura]])))/(1-EXP(-(Tabella3[Planck h]*Tabella9[Frequenza17])/(Tabella3[Boltzmann k]*Tabella8[[#This Row],[Temperatura]])))</f>
        <v>2.3931515637681127E-2</v>
      </c>
      <c r="S18" s="32" cm="1">
        <f t="array" ref="S18">(EXP(-(Tabella3[Planck h]*Tabella9[Frequenza18])/(2*Tabella3[Boltzmann k]*Tabella8[[#This Row],[Temperatura]])))/(1-EXP(-(Tabella3[Planck h]*Tabella9[Frequenza18])/(Tabella3[Boltzmann k]*Tabella8[[#This Row],[Temperatura]])))</f>
        <v>2.3931463930361704E-2</v>
      </c>
      <c r="T18" s="51">
        <f>PRODUCT(Tabella8[[#This Row],[Qvib1]:[Qvib18]])</f>
        <v>3.3633402764428401E-17</v>
      </c>
    </row>
    <row r="19" spans="1:20" x14ac:dyDescent="0.35">
      <c r="A19" s="18">
        <v>700</v>
      </c>
      <c r="B19" s="32" cm="1">
        <f t="array" ref="B19">(EXP(-(Tabella3[Planck h]*Tabella9[Frequenza1])/(2*Tabella3[Boltzmann k]*Tabella8[[#This Row],[Temperatura]])))/(1-EXP(-(Tabella3[Planck h]*Tabella9[Frequenza1])/(Tabella3[Boltzmann k]*Tabella8[[#This Row],[Temperatura]])))</f>
        <v>1.5523356525324252</v>
      </c>
      <c r="C19" s="32" cm="1">
        <f t="array" ref="C19">(EXP(-(Tabella3[Planck h]*Tabella9[Frequenza2])/(2*Tabella3[Boltzmann k]*Tabella8[[#This Row],[Temperatura]])))/(1-EXP(-(Tabella3[Planck h]*Tabella9[Frequenza2])/(Tabella3[Boltzmann k]*Tabella8[[#This Row],[Temperatura]])))</f>
        <v>0.52499458743541172</v>
      </c>
      <c r="D19" s="32" cm="1">
        <f t="array" ref="D19">(EXP(-(Tabella3[Planck h]*Tabella9[Frequenza3])/(2*Tabella3[Boltzmann k]*Tabella8[[#This Row],[Temperatura]])))/(1-EXP(-(Tabella3[Planck h]*Tabella9[Frequenza3])/(Tabella3[Boltzmann k]*Tabella8[[#This Row],[Temperatura]])))</f>
        <v>0.52499435273832684</v>
      </c>
      <c r="E19" s="32" cm="1">
        <f t="array" ref="E19">(EXP(-(Tabella3[Planck h]*Tabella9[Frequenza4])/(2*Tabella3[Boltzmann k]*Tabella8[[#This Row],[Temperatura]])))/(1-EXP(-(Tabella3[Planck h]*Tabella9[Frequenza4])/(Tabella3[Boltzmann k]*Tabella8[[#This Row],[Temperatura]])))</f>
        <v>0.41118600112472448</v>
      </c>
      <c r="F19" s="32" cm="1">
        <f t="array" ref="F19">(EXP(-(Tabella3[Planck h]*Tabella9[Frequenza5])/(2*Tabella3[Boltzmann k]*Tabella8[[#This Row],[Temperatura]])))/(1-EXP(-(Tabella3[Planck h]*Tabella9[Frequenza5])/(Tabella3[Boltzmann k]*Tabella8[[#This Row],[Temperatura]])))</f>
        <v>0.31105495441371706</v>
      </c>
      <c r="G19" s="32" cm="1">
        <f t="array" ref="G19">(EXP(-(Tabella3[Planck h]*Tabella9[Frequenza6])/(2*Tabella3[Boltzmann k]*Tabella8[[#This Row],[Temperatura]])))/(1-EXP(-(Tabella3[Planck h]*Tabella9[Frequenza6])/(Tabella3[Boltzmann k]*Tabella8[[#This Row],[Temperatura]])))</f>
        <v>0.31105412615379019</v>
      </c>
      <c r="H19" s="32" cm="1">
        <f t="array" ref="H19">(EXP(-(Tabella3[Planck h]*Tabella9[Frequenza7])/(2*Tabella3[Boltzmann k]*Tabella8[[#This Row],[Temperatura]])))/(1-EXP(-(Tabella3[Planck h]*Tabella9[Frequenza7])/(Tabella3[Boltzmann k]*Tabella8[[#This Row],[Temperatura]])))</f>
        <v>0.24895842771911997</v>
      </c>
      <c r="I19" s="32" cm="1">
        <f t="array" ref="I19">(EXP(-(Tabella3[Planck h]*Tabella9[Frequenza8])/(2*Tabella3[Boltzmann k]*Tabella8[[#This Row],[Temperatura]])))/(1-EXP(-(Tabella3[Planck h]*Tabella9[Frequenza8])/(Tabella3[Boltzmann k]*Tabella8[[#This Row],[Temperatura]])))</f>
        <v>0.24287636746625232</v>
      </c>
      <c r="J19" s="32" cm="1">
        <f t="array" ref="J19">(EXP(-(Tabella3[Planck h]*Tabella9[Frequenza9])/(2*Tabella3[Boltzmann k]*Tabella8[[#This Row],[Temperatura]])))/(1-EXP(-(Tabella3[Planck h]*Tabella9[Frequenza9])/(Tabella3[Boltzmann k]*Tabella8[[#This Row],[Temperatura]])))</f>
        <v>0.22234812383699112</v>
      </c>
      <c r="K19" s="32" cm="1">
        <f t="array" ref="K19">(EXP(-(Tabella3[Planck h]*Tabella9[Frequenza10])/(2*Tabella3[Boltzmann k]*Tabella8[[#This Row],[Temperatura]])))/(1-EXP(-(Tabella3[Planck h]*Tabella9[Frequenza10])/(Tabella3[Boltzmann k]*Tabella8[[#This Row],[Temperatura]])))</f>
        <v>0.22234797378747184</v>
      </c>
      <c r="L19" s="32" cm="1">
        <f t="array" ref="L19">(EXP(-(Tabella3[Planck h]*Tabella9[Frequenza11])/(2*Tabella3[Boltzmann k]*Tabella8[[#This Row],[Temperatura]])))/(1-EXP(-(Tabella3[Planck h]*Tabella9[Frequenza11])/(Tabella3[Boltzmann k]*Tabella8[[#This Row],[Temperatura]])))</f>
        <v>0.22194204706291609</v>
      </c>
      <c r="M19" s="32" cm="1">
        <f t="array" ref="M19">(EXP(-(Tabella3[Planck h]*Tabella9[Frequenza12])/(2*Tabella3[Boltzmann k]*Tabella8[[#This Row],[Temperatura]])))/(1-EXP(-(Tabella3[Planck h]*Tabella9[Frequenza12])/(Tabella3[Boltzmann k]*Tabella8[[#This Row],[Temperatura]])))</f>
        <v>0.2219415479621917</v>
      </c>
      <c r="N19" s="32" cm="1">
        <f t="array" ref="N19">(EXP(-(Tabella3[Planck h]*Tabella9[Frequenza13])/(2*Tabella3[Boltzmann k]*Tabella8[[#This Row],[Temperatura]])))/(1-EXP(-(Tabella3[Planck h]*Tabella9[Frequenza13])/(Tabella3[Boltzmann k]*Tabella8[[#This Row],[Temperatura]])))</f>
        <v>4.4217738668060939E-2</v>
      </c>
      <c r="O19" s="32" cm="1">
        <f t="array" ref="O19">(EXP(-(Tabella3[Planck h]*Tabella9[Frequenza14])/(2*Tabella3[Boltzmann k]*Tabella8[[#This Row],[Temperatura]])))/(1-EXP(-(Tabella3[Planck h]*Tabella9[Frequenza14])/(Tabella3[Boltzmann k]*Tabella8[[#This Row],[Temperatura]])))</f>
        <v>4.4170260374847045E-2</v>
      </c>
      <c r="P19" s="32" cm="1">
        <f t="array" ref="P19">(EXP(-(Tabella3[Planck h]*Tabella9[Frequenza15])/(2*Tabella3[Boltzmann k]*Tabella8[[#This Row],[Temperatura]])))/(1-EXP(-(Tabella3[Planck h]*Tabella9[Frequenza15])/(Tabella3[Boltzmann k]*Tabella8[[#This Row],[Temperatura]])))</f>
        <v>4.1838698580948186E-2</v>
      </c>
      <c r="Q19" s="32" cm="1">
        <f t="array" ref="Q19">(EXP(-(Tabella3[Planck h]*Tabella9[Frequenza16])/(2*Tabella3[Boltzmann k]*Tabella8[[#This Row],[Temperatura]])))/(1-EXP(-(Tabella3[Planck h]*Tabella9[Frequenza16])/(Tabella3[Boltzmann k]*Tabella8[[#This Row],[Temperatura]])))</f>
        <v>4.1838694266160825E-2</v>
      </c>
      <c r="R19" s="32" cm="1">
        <f t="array" ref="R19">(EXP(-(Tabella3[Planck h]*Tabella9[Frequenza17])/(2*Tabella3[Boltzmann k]*Tabella8[[#This Row],[Temperatura]])))/(1-EXP(-(Tabella3[Planck h]*Tabella9[Frequenza17])/(Tabella3[Boltzmann k]*Tabella8[[#This Row],[Temperatura]])))</f>
        <v>4.0837141285421222E-2</v>
      </c>
      <c r="S19" s="32" cm="1">
        <f t="array" ref="S19">(EXP(-(Tabella3[Planck h]*Tabella9[Frequenza18])/(2*Tabella3[Boltzmann k]*Tabella8[[#This Row],[Temperatura]])))/(1-EXP(-(Tabella3[Planck h]*Tabella9[Frequenza18])/(Tabella3[Boltzmann k]*Tabella8[[#This Row],[Temperatura]])))</f>
        <v>4.0837065490998123E-2</v>
      </c>
      <c r="T19" s="51">
        <f>PRODUCT(Tabella8[[#This Row],[Qvib1]:[Qvib18]])</f>
        <v>1.4290784546827811E-14</v>
      </c>
    </row>
    <row r="20" spans="1:20" x14ac:dyDescent="0.35">
      <c r="A20" s="18">
        <v>800</v>
      </c>
      <c r="B20" s="32" cm="1">
        <f t="array" ref="B20">(EXP(-(Tabella3[Planck h]*Tabella9[Frequenza1])/(2*Tabella3[Boltzmann k]*Tabella8[[#This Row],[Temperatura]])))/(1-EXP(-(Tabella3[Planck h]*Tabella9[Frequenza1])/(Tabella3[Boltzmann k]*Tabella8[[#This Row],[Temperatura]])))</f>
        <v>1.7810245525903385</v>
      </c>
      <c r="C20" s="32" cm="1">
        <f t="array" ref="C20">(EXP(-(Tabella3[Planck h]*Tabella9[Frequenza2])/(2*Tabella3[Boltzmann k]*Tabella8[[#This Row],[Temperatura]])))/(1-EXP(-(Tabella3[Planck h]*Tabella9[Frequenza2])/(Tabella3[Boltzmann k]*Tabella8[[#This Row],[Temperatura]])))</f>
        <v>0.61636911236615088</v>
      </c>
      <c r="D20" s="32" cm="1">
        <f t="array" ref="D20">(EXP(-(Tabella3[Planck h]*Tabella9[Frequenza3])/(2*Tabella3[Boltzmann k]*Tabella8[[#This Row],[Temperatura]])))/(1-EXP(-(Tabella3[Planck h]*Tabella9[Frequenza3])/(Tabella3[Boltzmann k]*Tabella8[[#This Row],[Temperatura]])))</f>
        <v>0.61636884842586348</v>
      </c>
      <c r="E20" s="32" cm="1">
        <f t="array" ref="E20">(EXP(-(Tabella3[Planck h]*Tabella9[Frequenza4])/(2*Tabella3[Boltzmann k]*Tabella8[[#This Row],[Temperatura]])))/(1-EXP(-(Tabella3[Planck h]*Tabella9[Frequenza4])/(Tabella3[Boltzmann k]*Tabella8[[#This Row],[Temperatura]])))</f>
        <v>0.48851457249241964</v>
      </c>
      <c r="F20" s="32" cm="1">
        <f t="array" ref="F20">(EXP(-(Tabella3[Planck h]*Tabella9[Frequenza5])/(2*Tabella3[Boltzmann k]*Tabella8[[#This Row],[Temperatura]])))/(1-EXP(-(Tabella3[Planck h]*Tabella9[Frequenza5])/(Tabella3[Boltzmann k]*Tabella8[[#This Row],[Temperatura]])))</f>
        <v>0.37608521348696555</v>
      </c>
      <c r="G20" s="32" cm="1">
        <f t="array" ref="G20">(EXP(-(Tabella3[Planck h]*Tabella9[Frequenza6])/(2*Tabella3[Boltzmann k]*Tabella8[[#This Row],[Temperatura]])))/(1-EXP(-(Tabella3[Planck h]*Tabella9[Frequenza6])/(Tabella3[Boltzmann k]*Tabella8[[#This Row],[Temperatura]])))</f>
        <v>0.37608428249696896</v>
      </c>
      <c r="H20" s="32" cm="1">
        <f t="array" ref="H20">(EXP(-(Tabella3[Planck h]*Tabella9[Frequenza7])/(2*Tabella3[Boltzmann k]*Tabella8[[#This Row],[Temperatura]])))/(1-EXP(-(Tabella3[Planck h]*Tabella9[Frequenza7])/(Tabella3[Boltzmann k]*Tabella8[[#This Row],[Temperatura]])))</f>
        <v>0.30614715670708786</v>
      </c>
      <c r="I20" s="32" cm="1">
        <f t="array" ref="I20">(EXP(-(Tabella3[Planck h]*Tabella9[Frequenza8])/(2*Tabella3[Boltzmann k]*Tabella8[[#This Row],[Temperatura]])))/(1-EXP(-(Tabella3[Planck h]*Tabella9[Frequenza8])/(Tabella3[Boltzmann k]*Tabella8[[#This Row],[Temperatura]])))</f>
        <v>0.29927540346839876</v>
      </c>
      <c r="J20" s="32" cm="1">
        <f t="array" ref="J20">(EXP(-(Tabella3[Planck h]*Tabella9[Frequenza9])/(2*Tabella3[Boltzmann k]*Tabella8[[#This Row],[Temperatura]])))/(1-EXP(-(Tabella3[Planck h]*Tabella9[Frequenza9])/(Tabella3[Boltzmann k]*Tabella8[[#This Row],[Temperatura]])))</f>
        <v>0.27603853190428124</v>
      </c>
      <c r="K20" s="32" cm="1">
        <f t="array" ref="K20">(EXP(-(Tabella3[Planck h]*Tabella9[Frequenza10])/(2*Tabella3[Boltzmann k]*Tabella8[[#This Row],[Temperatura]])))/(1-EXP(-(Tabella3[Planck h]*Tabella9[Frequenza10])/(Tabella3[Boltzmann k]*Tabella8[[#This Row],[Temperatura]])))</f>
        <v>0.27603836178046631</v>
      </c>
      <c r="L20" s="32" cm="1">
        <f t="array" ref="L20">(EXP(-(Tabella3[Planck h]*Tabella9[Frequenza11])/(2*Tabella3[Boltzmann k]*Tabella8[[#This Row],[Temperatura]])))/(1-EXP(-(Tabella3[Planck h]*Tabella9[Frequenza11])/(Tabella3[Boltzmann k]*Tabella8[[#This Row],[Temperatura]])))</f>
        <v>0.27557811214752281</v>
      </c>
      <c r="M20" s="32" cm="1">
        <f t="array" ref="M20">(EXP(-(Tabella3[Planck h]*Tabella9[Frequenza12])/(2*Tabella3[Boltzmann k]*Tabella8[[#This Row],[Temperatura]])))/(1-EXP(-(Tabella3[Planck h]*Tabella9[Frequenza12])/(Tabella3[Boltzmann k]*Tabella8[[#This Row],[Temperatura]])))</f>
        <v>0.27557754623494102</v>
      </c>
      <c r="N20" s="32" cm="1">
        <f t="array" ref="N20">(EXP(-(Tabella3[Planck h]*Tabella9[Frequenza13])/(2*Tabella3[Boltzmann k]*Tabella8[[#This Row],[Temperatura]])))/(1-EXP(-(Tabella3[Planck h]*Tabella9[Frequenza13])/(Tabella3[Boltzmann k]*Tabella8[[#This Row],[Temperatura]])))</f>
        <v>6.5464445820616654E-2</v>
      </c>
      <c r="O20" s="32" cm="1">
        <f t="array" ref="O20">(EXP(-(Tabella3[Planck h]*Tabella9[Frequenza14])/(2*Tabella3[Boltzmann k]*Tabella8[[#This Row],[Temperatura]])))/(1-EXP(-(Tabella3[Planck h]*Tabella9[Frequenza14])/(Tabella3[Boltzmann k]*Tabella8[[#This Row],[Temperatura]])))</f>
        <v>6.5402653017565246E-2</v>
      </c>
      <c r="P20" s="32" cm="1">
        <f t="array" ref="P20">(EXP(-(Tabella3[Planck h]*Tabella9[Frequenza15])/(2*Tabella3[Boltzmann k]*Tabella8[[#This Row],[Temperatura]])))/(1-EXP(-(Tabella3[Planck h]*Tabella9[Frequenza15])/(Tabella3[Boltzmann k]*Tabella8[[#This Row],[Temperatura]])))</f>
        <v>6.2358616515104118E-2</v>
      </c>
      <c r="Q20" s="32" cm="1">
        <f t="array" ref="Q20">(EXP(-(Tabella3[Planck h]*Tabella9[Frequenza16])/(2*Tabella3[Boltzmann k]*Tabella8[[#This Row],[Temperatura]])))/(1-EXP(-(Tabella3[Planck h]*Tabella9[Frequenza16])/(Tabella3[Boltzmann k]*Tabella8[[#This Row],[Temperatura]])))</f>
        <v>6.2358610864144459E-2</v>
      </c>
      <c r="R20" s="32" cm="1">
        <f t="array" ref="R20">(EXP(-(Tabella3[Planck h]*Tabella9[Frequenza17])/(2*Tabella3[Boltzmann k]*Tabella8[[#This Row],[Temperatura]])))/(1-EXP(-(Tabella3[Planck h]*Tabella9[Frequenza17])/(Tabella3[Boltzmann k]*Tabella8[[#This Row],[Temperatura]])))</f>
        <v>6.1045083821007255E-2</v>
      </c>
      <c r="S20" s="32" cm="1">
        <f t="array" ref="S20">(EXP(-(Tabella3[Planck h]*Tabella9[Frequenza18])/(2*Tabella3[Boltzmann k]*Tabella8[[#This Row],[Temperatura]])))/(1-EXP(-(Tabella3[Planck h]*Tabella9[Frequenza18])/(Tabella3[Boltzmann k]*Tabella8[[#This Row],[Temperatura]])))</f>
        <v>6.1044984278193395E-2</v>
      </c>
      <c r="T20" s="51">
        <f>PRODUCT(Tabella8[[#This Row],[Qvib1]:[Qvib18]])</f>
        <v>1.5378848577360002E-12</v>
      </c>
    </row>
    <row r="21" spans="1:20" x14ac:dyDescent="0.35">
      <c r="A21" s="18">
        <v>900</v>
      </c>
      <c r="B21" s="32" cm="1">
        <f t="array" ref="B21">(EXP(-(Tabella3[Planck h]*Tabella9[Frequenza1])/(2*Tabella3[Boltzmann k]*Tabella8[[#This Row],[Temperatura]])))/(1-EXP(-(Tabella3[Planck h]*Tabella9[Frequenza1])/(Tabella3[Boltzmann k]*Tabella8[[#This Row],[Temperatura]])))</f>
        <v>2.0090197322285834</v>
      </c>
      <c r="C21" s="32" cm="1">
        <f t="array" ref="C21">(EXP(-(Tabella3[Planck h]*Tabella9[Frequenza2])/(2*Tabella3[Boltzmann k]*Tabella8[[#This Row],[Temperatura]])))/(1-EXP(-(Tabella3[Planck h]*Tabella9[Frequenza2])/(Tabella3[Boltzmann k]*Tabella8[[#This Row],[Temperatura]])))</f>
        <v>0.70645079039219627</v>
      </c>
      <c r="D21" s="32" cm="1">
        <f t="array" ref="D21">(EXP(-(Tabella3[Planck h]*Tabella9[Frequenza3])/(2*Tabella3[Boltzmann k]*Tabella8[[#This Row],[Temperatura]])))/(1-EXP(-(Tabella3[Planck h]*Tabella9[Frequenza3])/(Tabella3[Boltzmann k]*Tabella8[[#This Row],[Temperatura]])))</f>
        <v>0.70645049715662978</v>
      </c>
      <c r="E21" s="32" cm="1">
        <f t="array" ref="E21">(EXP(-(Tabella3[Planck h]*Tabella9[Frequenza4])/(2*Tabella3[Boltzmann k]*Tabella8[[#This Row],[Temperatura]])))/(1-EXP(-(Tabella3[Planck h]*Tabella9[Frequenza4])/(Tabella3[Boltzmann k]*Tabella8[[#This Row],[Temperatura]])))</f>
        <v>0.56458122881227202</v>
      </c>
      <c r="F21" s="32" cm="1">
        <f t="array" ref="F21">(EXP(-(Tabella3[Planck h]*Tabella9[Frequenza5])/(2*Tabella3[Boltzmann k]*Tabella8[[#This Row],[Temperatura]])))/(1-EXP(-(Tabella3[Planck h]*Tabella9[Frequenza5])/(Tabella3[Boltzmann k]*Tabella8[[#This Row],[Temperatura]])))</f>
        <v>0.44005718443442515</v>
      </c>
      <c r="G21" s="32" cm="1">
        <f t="array" ref="G21">(EXP(-(Tabella3[Planck h]*Tabella9[Frequenza6])/(2*Tabella3[Boltzmann k]*Tabella8[[#This Row],[Temperatura]])))/(1-EXP(-(Tabella3[Planck h]*Tabella9[Frequenza6])/(Tabella3[Boltzmann k]*Tabella8[[#This Row],[Temperatura]])))</f>
        <v>0.440056153566321</v>
      </c>
      <c r="H21" s="32" cm="1">
        <f t="array" ref="H21">(EXP(-(Tabella3[Planck h]*Tabella9[Frequenza7])/(2*Tabella3[Boltzmann k]*Tabella8[[#This Row],[Temperatura]])))/(1-EXP(-(Tabella3[Planck h]*Tabella9[Frequenza7])/(Tabella3[Boltzmann k]*Tabella8[[#This Row],[Temperatura]])))</f>
        <v>0.36257348613430535</v>
      </c>
      <c r="I21" s="32" cm="1">
        <f t="array" ref="I21">(EXP(-(Tabella3[Planck h]*Tabella9[Frequenza8])/(2*Tabella3[Boltzmann k]*Tabella8[[#This Row],[Temperatura]])))/(1-EXP(-(Tabella3[Planck h]*Tabella9[Frequenza8])/(Tabella3[Boltzmann k]*Tabella8[[#This Row],[Temperatura]])))</f>
        <v>0.3549515069184388</v>
      </c>
      <c r="J21" s="32" cm="1">
        <f t="array" ref="J21">(EXP(-(Tabella3[Planck h]*Tabella9[Frequenza9])/(2*Tabella3[Boltzmann k]*Tabella8[[#This Row],[Temperatura]])))/(1-EXP(-(Tabella3[Planck h]*Tabella9[Frequenza9])/(Tabella3[Boltzmann k]*Tabella8[[#This Row],[Temperatura]])))</f>
        <v>0.3291562989914727</v>
      </c>
      <c r="K21" s="32" cm="1">
        <f t="array" ref="K21">(EXP(-(Tabella3[Planck h]*Tabella9[Frequenza10])/(2*Tabella3[Boltzmann k]*Tabella8[[#This Row],[Temperatura]])))/(1-EXP(-(Tabella3[Planck h]*Tabella9[Frequenza10])/(Tabella3[Boltzmann k]*Tabella8[[#This Row],[Temperatura]])))</f>
        <v>0.32915610999448508</v>
      </c>
      <c r="L21" s="32" cm="1">
        <f t="array" ref="L21">(EXP(-(Tabella3[Planck h]*Tabella9[Frequenza11])/(2*Tabella3[Boltzmann k]*Tabella8[[#This Row],[Temperatura]])))/(1-EXP(-(Tabella3[Planck h]*Tabella9[Frequenza11])/(Tabella3[Boltzmann k]*Tabella8[[#This Row],[Temperatura]])))</f>
        <v>0.32864479259461088</v>
      </c>
      <c r="M21" s="32" cm="1">
        <f t="array" ref="M21">(EXP(-(Tabella3[Planck h]*Tabella9[Frequenza12])/(2*Tabella3[Boltzmann k]*Tabella8[[#This Row],[Temperatura]])))/(1-EXP(-(Tabella3[Planck h]*Tabella9[Frequenza12])/(Tabella3[Boltzmann k]*Tabella8[[#This Row],[Temperatura]])))</f>
        <v>0.32864416387957596</v>
      </c>
      <c r="N21" s="32" cm="1">
        <f t="array" ref="N21">(EXP(-(Tabella3[Planck h]*Tabella9[Frequenza13])/(2*Tabella3[Boltzmann k]*Tabella8[[#This Row],[Temperatura]])))/(1-EXP(-(Tabella3[Planck h]*Tabella9[Frequenza13])/(Tabella3[Boltzmann k]*Tabella8[[#This Row],[Temperatura]])))</f>
        <v>8.8984689536363945E-2</v>
      </c>
      <c r="O21" s="32" cm="1">
        <f t="array" ref="O21">(EXP(-(Tabella3[Planck h]*Tabella9[Frequenza14])/(2*Tabella3[Boltzmann k]*Tabella8[[#This Row],[Temperatura]])))/(1-EXP(-(Tabella3[Planck h]*Tabella9[Frequenza14])/(Tabella3[Boltzmann k]*Tabella8[[#This Row],[Temperatura]])))</f>
        <v>8.8909493551209029E-2</v>
      </c>
      <c r="P21" s="32" cm="1">
        <f t="array" ref="P21">(EXP(-(Tabella3[Planck h]*Tabella9[Frequenza15])/(2*Tabella3[Boltzmann k]*Tabella8[[#This Row],[Temperatura]])))/(1-EXP(-(Tabella3[Planck h]*Tabella9[Frequenza15])/(Tabella3[Boltzmann k]*Tabella8[[#This Row],[Temperatura]])))</f>
        <v>8.5196731397939818E-2</v>
      </c>
      <c r="Q21" s="32" cm="1">
        <f t="array" ref="Q21">(EXP(-(Tabella3[Planck h]*Tabella9[Frequenza16])/(2*Tabella3[Boltzmann k]*Tabella8[[#This Row],[Temperatura]])))/(1-EXP(-(Tabella3[Planck h]*Tabella9[Frequenza16])/(Tabella3[Boltzmann k]*Tabella8[[#This Row],[Temperatura]])))</f>
        <v>8.5196724489827333E-2</v>
      </c>
      <c r="R21" s="32" cm="1">
        <f t="array" ref="R21">(EXP(-(Tabella3[Planck h]*Tabella9[Frequenza17])/(2*Tabella3[Boltzmann k]*Tabella8[[#This Row],[Temperatura]])))/(1-EXP(-(Tabella3[Planck h]*Tabella9[Frequenza17])/(Tabella3[Boltzmann k]*Tabella8[[#This Row],[Temperatura]])))</f>
        <v>8.3589353828284377E-2</v>
      </c>
      <c r="S21" s="32" cm="1">
        <f t="array" ref="S21">(EXP(-(Tabella3[Planck h]*Tabella9[Frequenza18])/(2*Tabella3[Boltzmann k]*Tabella8[[#This Row],[Temperatura]])))/(1-EXP(-(Tabella3[Planck h]*Tabella9[Frequenza18])/(Tabella3[Boltzmann k]*Tabella8[[#This Row],[Temperatura]])))</f>
        <v>8.3589231892686675E-2</v>
      </c>
      <c r="T21" s="51">
        <f>PRODUCT(Tabella8[[#This Row],[Qvib1]:[Qvib18]])</f>
        <v>6.624054532472281E-11</v>
      </c>
    </row>
    <row r="22" spans="1:20" x14ac:dyDescent="0.35">
      <c r="A22" s="18">
        <v>1000</v>
      </c>
      <c r="B22" s="32" cm="1">
        <f t="array" ref="B22">(EXP(-(Tabella3[Planck h]*Tabella9[Frequenza1])/(2*Tabella3[Boltzmann k]*Tabella8[[#This Row],[Temperatura]])))/(1-EXP(-(Tabella3[Planck h]*Tabella9[Frequenza1])/(Tabella3[Boltzmann k]*Tabella8[[#This Row],[Temperatura]])))</f>
        <v>2.2365234860183429</v>
      </c>
      <c r="C22" s="32" cm="1">
        <f t="array" ref="C22">(EXP(-(Tabella3[Planck h]*Tabella9[Frequenza2])/(2*Tabella3[Boltzmann k]*Tabella8[[#This Row],[Temperatura]])))/(1-EXP(-(Tabella3[Planck h]*Tabella9[Frequenza2])/(Tabella3[Boltzmann k]*Tabella8[[#This Row],[Temperatura]])))</f>
        <v>0.79553876701593151</v>
      </c>
      <c r="D22" s="32" cm="1">
        <f t="array" ref="D22">(EXP(-(Tabella3[Planck h]*Tabella9[Frequenza3])/(2*Tabella3[Boltzmann k]*Tabella8[[#This Row],[Temperatura]])))/(1-EXP(-(Tabella3[Planck h]*Tabella9[Frequenza3])/(Tabella3[Boltzmann k]*Tabella8[[#This Row],[Temperatura]])))</f>
        <v>0.79553844436872523</v>
      </c>
      <c r="E22" s="32" cm="1">
        <f t="array" ref="E22">(EXP(-(Tabella3[Planck h]*Tabella9[Frequenza4])/(2*Tabella3[Boltzmann k]*Tabella8[[#This Row],[Temperatura]])))/(1-EXP(-(Tabella3[Planck h]*Tabella9[Frequenza4])/(Tabella3[Boltzmann k]*Tabella8[[#This Row],[Temperatura]])))</f>
        <v>0.63962503349762079</v>
      </c>
      <c r="F22" s="32" cm="1">
        <f t="array" ref="F22">(EXP(-(Tabella3[Planck h]*Tabella9[Frequenza5])/(2*Tabella3[Boltzmann k]*Tabella8[[#This Row],[Temperatura]])))/(1-EXP(-(Tabella3[Planck h]*Tabella9[Frequenza5])/(Tabella3[Boltzmann k]*Tabella8[[#This Row],[Temperatura]])))</f>
        <v>0.50307748293506593</v>
      </c>
      <c r="G22" s="32" cm="1">
        <f t="array" ref="G22">(EXP(-(Tabella3[Planck h]*Tabella9[Frequenza6])/(2*Tabella3[Boltzmann k]*Tabella8[[#This Row],[Temperatura]])))/(1-EXP(-(Tabella3[Planck h]*Tabella9[Frequenza6])/(Tabella3[Boltzmann k]*Tabella8[[#This Row],[Temperatura]])))</f>
        <v>0.50307635347079083</v>
      </c>
      <c r="H22" s="32" cm="1">
        <f t="array" ref="H22">(EXP(-(Tabella3[Planck h]*Tabella9[Frequenza7])/(2*Tabella3[Boltzmann k]*Tabella8[[#This Row],[Temperatura]])))/(1-EXP(-(Tabella3[Planck h]*Tabella9[Frequenza7])/(Tabella3[Boltzmann k]*Tabella8[[#This Row],[Temperatura]])))</f>
        <v>0.41819646416169654</v>
      </c>
      <c r="I22" s="32" cm="1">
        <f t="array" ref="I22">(EXP(-(Tabella3[Planck h]*Tabella9[Frequenza8])/(2*Tabella3[Boltzmann k]*Tabella8[[#This Row],[Temperatura]])))/(1-EXP(-(Tabella3[Planck h]*Tabella9[Frequenza8])/(Tabella3[Boltzmann k]*Tabella8[[#This Row],[Temperatura]])))</f>
        <v>0.40984568959490286</v>
      </c>
      <c r="J22" s="32" cm="1">
        <f t="array" ref="J22">(EXP(-(Tabella3[Planck h]*Tabella9[Frequenza9])/(2*Tabella3[Boltzmann k]*Tabella8[[#This Row],[Temperatura]])))/(1-EXP(-(Tabella3[Planck h]*Tabella9[Frequenza9])/(Tabella3[Boltzmann k]*Tabella8[[#This Row],[Temperatura]])))</f>
        <v>0.38157626009012885</v>
      </c>
      <c r="K22" s="32" cm="1">
        <f t="array" ref="K22">(EXP(-(Tabella3[Planck h]*Tabella9[Frequenza10])/(2*Tabella3[Boltzmann k]*Tabella8[[#This Row],[Temperatura]])))/(1-EXP(-(Tabella3[Planck h]*Tabella9[Frequenza10])/(Tabella3[Boltzmann k]*Tabella8[[#This Row],[Temperatura]])))</f>
        <v>0.38157605290672481</v>
      </c>
      <c r="L22" s="32" cm="1">
        <f t="array" ref="L22">(EXP(-(Tabella3[Planck h]*Tabella9[Frequenza11])/(2*Tabella3[Boltzmann k]*Tabella8[[#This Row],[Temperatura]])))/(1-EXP(-(Tabella3[Planck h]*Tabella9[Frequenza11])/(Tabella3[Boltzmann k]*Tabella8[[#This Row],[Temperatura]])))</f>
        <v>0.38101552970603947</v>
      </c>
      <c r="M22" s="32" cm="1">
        <f t="array" ref="M22">(EXP(-(Tabella3[Planck h]*Tabella9[Frequenza12])/(2*Tabella3[Boltzmann k]*Tabella8[[#This Row],[Temperatura]])))/(1-EXP(-(Tabella3[Planck h]*Tabella9[Frequenza12])/(Tabella3[Boltzmann k]*Tabella8[[#This Row],[Temperatura]])))</f>
        <v>0.38101484048294654</v>
      </c>
      <c r="N22" s="32" cm="1">
        <f t="array" ref="N22">(EXP(-(Tabella3[Planck h]*Tabella9[Frequenza13])/(2*Tabella3[Boltzmann k]*Tabella8[[#This Row],[Temperatura]])))/(1-EXP(-(Tabella3[Planck h]*Tabella9[Frequenza13])/(Tabella3[Boltzmann k]*Tabella8[[#This Row],[Temperatura]])))</f>
        <v>0.11398847679285989</v>
      </c>
      <c r="O22" s="32" cm="1">
        <f t="array" ref="O22">(EXP(-(Tabella3[Planck h]*Tabella9[Frequenza14])/(2*Tabella3[Boltzmann k]*Tabella8[[#This Row],[Temperatura]])))/(1-EXP(-(Tabella3[Planck h]*Tabella9[Frequenza14])/(Tabella3[Boltzmann k]*Tabella8[[#This Row],[Temperatura]])))</f>
        <v>0.11390093240680106</v>
      </c>
      <c r="P22" s="32" cm="1">
        <f t="array" ref="P22">(EXP(-(Tabella3[Planck h]*Tabella9[Frequenza15])/(2*Tabella3[Boltzmann k]*Tabella8[[#This Row],[Temperatura]])))/(1-EXP(-(Tabella3[Planck h]*Tabella9[Frequenza15])/(Tabella3[Boltzmann k]*Tabella8[[#This Row],[Temperatura]])))</f>
        <v>0.1095712357693689</v>
      </c>
      <c r="Q22" s="32" cm="1">
        <f t="array" ref="Q22">(EXP(-(Tabella3[Planck h]*Tabella9[Frequenza16])/(2*Tabella3[Boltzmann k]*Tabella8[[#This Row],[Temperatura]])))/(1-EXP(-(Tabella3[Planck h]*Tabella9[Frequenza16])/(Tabella3[Boltzmann k]*Tabella8[[#This Row],[Temperatura]])))</f>
        <v>0.10957122769987709</v>
      </c>
      <c r="R22" s="32" cm="1">
        <f t="array" ref="R22">(EXP(-(Tabella3[Planck h]*Tabella9[Frequenza17])/(2*Tabella3[Boltzmann k]*Tabella8[[#This Row],[Temperatura]])))/(1-EXP(-(Tabella3[Planck h]*Tabella9[Frequenza17])/(Tabella3[Boltzmann k]*Tabella8[[#This Row],[Temperatura]])))</f>
        <v>0.10769222855724604</v>
      </c>
      <c r="S22" s="32" cm="1">
        <f t="array" ref="S22">(EXP(-(Tabella3[Planck h]*Tabella9[Frequenza18])/(2*Tabella3[Boltzmann k]*Tabella8[[#This Row],[Temperatura]])))/(1-EXP(-(Tabella3[Planck h]*Tabella9[Frequenza18])/(Tabella3[Boltzmann k]*Tabella8[[#This Row],[Temperatura]])))</f>
        <v>0.10769208590861654</v>
      </c>
      <c r="T22" s="51">
        <f>PRODUCT(Tabella8[[#This Row],[Qvib1]:[Qvib18]])</f>
        <v>1.5006777562711866E-9</v>
      </c>
    </row>
    <row r="23" spans="1:20" x14ac:dyDescent="0.35">
      <c r="A23" s="18">
        <v>1100</v>
      </c>
      <c r="B23" s="32" cm="1">
        <f t="array" ref="B23">(EXP(-(Tabella3[Planck h]*Tabella9[Frequenza1])/(2*Tabella3[Boltzmann k]*Tabella8[[#This Row],[Temperatura]])))/(1-EXP(-(Tabella3[Planck h]*Tabella9[Frequenza1])/(Tabella3[Boltzmann k]*Tabella8[[#This Row],[Temperatura]])))</f>
        <v>2.4636668132758119</v>
      </c>
      <c r="C23" s="32" cm="1">
        <f t="array" ref="C23">(EXP(-(Tabella3[Planck h]*Tabella9[Frequenza2])/(2*Tabella3[Boltzmann k]*Tabella8[[#This Row],[Temperatura]])))/(1-EXP(-(Tabella3[Planck h]*Tabella9[Frequenza2])/(Tabella3[Boltzmann k]*Tabella8[[#This Row],[Temperatura]])))</f>
        <v>0.88385574531020561</v>
      </c>
      <c r="D23" s="32" cm="1">
        <f t="array" ref="D23">(EXP(-(Tabella3[Planck h]*Tabella9[Frequenza3])/(2*Tabella3[Boltzmann k]*Tabella8[[#This Row],[Temperatura]])))/(1-EXP(-(Tabella3[Planck h]*Tabella9[Frequenza3])/(Tabella3[Boltzmann k]*Tabella8[[#This Row],[Temperatura]])))</f>
        <v>0.88385539312135053</v>
      </c>
      <c r="E23" s="32" cm="1">
        <f t="array" ref="E23">(EXP(-(Tabella3[Planck h]*Tabella9[Frequenza4])/(2*Tabella3[Boltzmann k]*Tabella8[[#This Row],[Temperatura]])))/(1-EXP(-(Tabella3[Planck h]*Tabella9[Frequenza4])/(Tabella3[Boltzmann k]*Tabella8[[#This Row],[Temperatura]])))</f>
        <v>0.71384708249926609</v>
      </c>
      <c r="F23" s="32" cm="1">
        <f t="array" ref="F23">(EXP(-(Tabella3[Planck h]*Tabella9[Frequenza5])/(2*Tabella3[Boltzmann k]*Tabella8[[#This Row],[Temperatura]])))/(1-EXP(-(Tabella3[Planck h]*Tabella9[Frequenza5])/(Tabella3[Boltzmann k]*Tabella8[[#This Row],[Temperatura]])))</f>
        <v>0.56528349337211392</v>
      </c>
      <c r="G23" s="32" cm="1">
        <f t="array" ref="G23">(EXP(-(Tabella3[Planck h]*Tabella9[Frequenza6])/(2*Tabella3[Boltzmann k]*Tabella8[[#This Row],[Temperatura]])))/(1-EXP(-(Tabella3[Planck h]*Tabella9[Frequenza6])/(Tabella3[Boltzmann k]*Tabella8[[#This Row],[Temperatura]])))</f>
        <v>0.56528226578055896</v>
      </c>
      <c r="H23" s="32" cm="1">
        <f t="array" ref="H23">(EXP(-(Tabella3[Planck h]*Tabella9[Frequenza7])/(2*Tabella3[Boltzmann k]*Tabella8[[#This Row],[Temperatura]])))/(1-EXP(-(Tabella3[Planck h]*Tabella9[Frequenza7])/(Tabella3[Boltzmann k]*Tabella8[[#This Row],[Temperatura]])))</f>
        <v>0.47307300974443151</v>
      </c>
      <c r="I23" s="32" cm="1">
        <f t="array" ref="I23">(EXP(-(Tabella3[Planck h]*Tabella9[Frequenza8])/(2*Tabella3[Boltzmann k]*Tabella8[[#This Row],[Temperatura]])))/(1-EXP(-(Tabella3[Planck h]*Tabella9[Frequenza8])/(Tabella3[Boltzmann k]*Tabella8[[#This Row],[Temperatura]])))</f>
        <v>0.46400453642727918</v>
      </c>
      <c r="J23" s="32" cm="1">
        <f t="array" ref="J23">(EXP(-(Tabella3[Planck h]*Tabella9[Frequenza9])/(2*Tabella3[Boltzmann k]*Tabella8[[#This Row],[Temperatura]])))/(1-EXP(-(Tabella3[Planck h]*Tabella9[Frequenza9])/(Tabella3[Boltzmann k]*Tabella8[[#This Row],[Temperatura]])))</f>
        <v>0.43330622063984886</v>
      </c>
      <c r="K23" s="32" cm="1">
        <f t="array" ref="K23">(EXP(-(Tabella3[Planck h]*Tabella9[Frequenza10])/(2*Tabella3[Boltzmann k]*Tabella8[[#This Row],[Temperatura]])))/(1-EXP(-(Tabella3[Planck h]*Tabella9[Frequenza10])/(Tabella3[Boltzmann k]*Tabella8[[#This Row],[Temperatura]])))</f>
        <v>0.43330599565013017</v>
      </c>
      <c r="L23" s="32" cm="1">
        <f t="array" ref="L23">(EXP(-(Tabella3[Planck h]*Tabella9[Frequenza11])/(2*Tabella3[Boltzmann k]*Tabella8[[#This Row],[Temperatura]])))/(1-EXP(-(Tabella3[Planck h]*Tabella9[Frequenza11])/(Tabella3[Boltzmann k]*Tabella8[[#This Row],[Temperatura]])))</f>
        <v>0.43269729773337318</v>
      </c>
      <c r="M23" s="32" cm="1">
        <f t="array" ref="M23">(EXP(-(Tabella3[Planck h]*Tabella9[Frequenza12])/(2*Tabella3[Boltzmann k]*Tabella8[[#This Row],[Temperatura]])))/(1-EXP(-(Tabella3[Planck h]*Tabella9[Frequenza12])/(Tabella3[Boltzmann k]*Tabella8[[#This Row],[Temperatura]])))</f>
        <v>0.43269654927342854</v>
      </c>
      <c r="N23" s="32" cm="1">
        <f t="array" ref="N23">(EXP(-(Tabella3[Planck h]*Tabella9[Frequenza13])/(2*Tabella3[Boltzmann k]*Tabella8[[#This Row],[Temperatura]])))/(1-EXP(-(Tabella3[Planck h]*Tabella9[Frequenza13])/(Tabella3[Boltzmann k]*Tabella8[[#This Row],[Temperatura]])))</f>
        <v>0.13990374105917289</v>
      </c>
      <c r="O23" s="32" cm="1">
        <f t="array" ref="O23">(EXP(-(Tabella3[Planck h]*Tabella9[Frequenza14])/(2*Tabella3[Boltzmann k]*Tabella8[[#This Row],[Temperatura]])))/(1-EXP(-(Tabella3[Planck h]*Tabella9[Frequenza14])/(Tabella3[Boltzmann k]*Tabella8[[#This Row],[Temperatura]])))</f>
        <v>0.13980484472175791</v>
      </c>
      <c r="P23" s="32" cm="1">
        <f t="array" ref="P23">(EXP(-(Tabella3[Planck h]*Tabella9[Frequenza15])/(2*Tabella3[Boltzmann k]*Tabella8[[#This Row],[Temperatura]])))/(1-EXP(-(Tabella3[Planck h]*Tabella9[Frequenza15])/(Tabella3[Boltzmann k]*Tabella8[[#This Row],[Temperatura]])))</f>
        <v>0.13490768787010021</v>
      </c>
      <c r="Q23" s="32" cm="1">
        <f t="array" ref="Q23">(EXP(-(Tabella3[Planck h]*Tabella9[Frequenza16])/(2*Tabella3[Boltzmann k]*Tabella8[[#This Row],[Temperatura]])))/(1-EXP(-(Tabella3[Planck h]*Tabella9[Frequenza16])/(Tabella3[Boltzmann k]*Tabella8[[#This Row],[Temperatura]])))</f>
        <v>0.13490767873175424</v>
      </c>
      <c r="R23" s="32" cm="1">
        <f t="array" ref="R23">(EXP(-(Tabella3[Planck h]*Tabella9[Frequenza17])/(2*Tabella3[Boltzmann k]*Tabella8[[#This Row],[Temperatura]])))/(1-EXP(-(Tabella3[Planck h]*Tabella9[Frequenza17])/(Tabella3[Boltzmann k]*Tabella8[[#This Row],[Temperatura]])))</f>
        <v>0.13277862262368736</v>
      </c>
      <c r="S23" s="32" cm="1">
        <f t="array" ref="S23">(EXP(-(Tabella3[Planck h]*Tabella9[Frequenza18])/(2*Tabella3[Boltzmann k]*Tabella8[[#This Row],[Temperatura]])))/(1-EXP(-(Tabella3[Planck h]*Tabella9[Frequenza18])/(Tabella3[Boltzmann k]*Tabella8[[#This Row],[Temperatura]])))</f>
        <v>0.13277846090158821</v>
      </c>
      <c r="T23" s="51">
        <f>PRODUCT(Tabella8[[#This Row],[Qvib1]:[Qvib18]])</f>
        <v>2.1260318907851576E-8</v>
      </c>
    </row>
    <row r="24" spans="1:20" x14ac:dyDescent="0.35">
      <c r="A24" s="18">
        <v>1200</v>
      </c>
      <c r="B24" s="32" cm="1">
        <f t="array" ref="B24">(EXP(-(Tabella3[Planck h]*Tabella9[Frequenza1])/(2*Tabella3[Boltzmann k]*Tabella8[[#This Row],[Temperatura]])))/(1-EXP(-(Tabella3[Planck h]*Tabella9[Frequenza1])/(Tabella3[Boltzmann k]*Tabella8[[#This Row],[Temperatura]])))</f>
        <v>2.6905381426038417</v>
      </c>
      <c r="C24" s="32" cm="1">
        <f t="array" ref="C24">(EXP(-(Tabella3[Planck h]*Tabella9[Frequenza2])/(2*Tabella3[Boltzmann k]*Tabella8[[#This Row],[Temperatura]])))/(1-EXP(-(Tabella3[Planck h]*Tabella9[Frequenza2])/(Tabella3[Boltzmann k]*Tabella8[[#This Row],[Temperatura]])))</f>
        <v>0.97156677226054355</v>
      </c>
      <c r="D24" s="32" cm="1">
        <f t="array" ref="D24">(EXP(-(Tabella3[Planck h]*Tabella9[Frequenza3])/(2*Tabella3[Boltzmann k]*Tabella8[[#This Row],[Temperatura]])))/(1-EXP(-(Tabella3[Planck h]*Tabella9[Frequenza3])/(Tabella3[Boltzmann k]*Tabella8[[#This Row],[Temperatura]])))</f>
        <v>0.97156639040573245</v>
      </c>
      <c r="E24" s="32" cm="1">
        <f t="array" ref="E24">(EXP(-(Tabella3[Planck h]*Tabella9[Frequenza4])/(2*Tabella3[Boltzmann k]*Tabella8[[#This Row],[Temperatura]])))/(1-EXP(-(Tabella3[Planck h]*Tabella9[Frequenza4])/(Tabella3[Boltzmann k]*Tabella8[[#This Row],[Temperatura]])))</f>
        <v>0.78740735899455772</v>
      </c>
      <c r="F24" s="32" cm="1">
        <f t="array" ref="F24">(EXP(-(Tabella3[Planck h]*Tabella9[Frequenza5])/(2*Tabella3[Boltzmann k]*Tabella8[[#This Row],[Temperatura]])))/(1-EXP(-(Tabella3[Planck h]*Tabella9[Frequenza5])/(Tabella3[Boltzmann k]*Tabella8[[#This Row],[Temperatura]])))</f>
        <v>0.62680551470115908</v>
      </c>
      <c r="G24" s="32" cm="1">
        <f t="array" ref="G24">(EXP(-(Tabella3[Planck h]*Tabella9[Frequenza6])/(2*Tabella3[Boltzmann k]*Tabella8[[#This Row],[Temperatura]])))/(1-EXP(-(Tabella3[Planck h]*Tabella9[Frequenza6])/(Tabella3[Boltzmann k]*Tabella8[[#This Row],[Temperatura]])))</f>
        <v>0.626804189034464</v>
      </c>
      <c r="H24" s="32" cm="1">
        <f t="array" ref="H24">(EXP(-(Tabella3[Planck h]*Tabella9[Frequenza7])/(2*Tabella3[Boltzmann k]*Tabella8[[#This Row],[Temperatura]])))/(1-EXP(-(Tabella3[Planck h]*Tabella9[Frequenza7])/(Tabella3[Boltzmann k]*Tabella8[[#This Row],[Temperatura]])))</f>
        <v>0.5272897846947836</v>
      </c>
      <c r="I24" s="32" cm="1">
        <f t="array" ref="I24">(EXP(-(Tabella3[Planck h]*Tabella9[Frequenza8])/(2*Tabella3[Boltzmann k]*Tabella8[[#This Row],[Temperatura]])))/(1-EXP(-(Tabella3[Planck h]*Tabella9[Frequenza8])/(Tabella3[Boltzmann k]*Tabella8[[#This Row],[Temperatura]])))</f>
        <v>0.51750882659843322</v>
      </c>
      <c r="J24" s="32" cm="1">
        <f t="array" ref="J24">(EXP(-(Tabella3[Planck h]*Tabella9[Frequenza9])/(2*Tabella3[Boltzmann k]*Tabella8[[#This Row],[Temperatura]])))/(1-EXP(-(Tabella3[Planck h]*Tabella9[Frequenza9])/(Tabella3[Boltzmann k]*Tabella8[[#This Row],[Temperatura]])))</f>
        <v>0.48440442652604915</v>
      </c>
      <c r="K24" s="32" cm="1">
        <f t="array" ref="K24">(EXP(-(Tabella3[Planck h]*Tabella9[Frequenza10])/(2*Tabella3[Boltzmann k]*Tabella8[[#This Row],[Temperatura]])))/(1-EXP(-(Tabella3[Planck h]*Tabella9[Frequenza10])/(Tabella3[Boltzmann k]*Tabella8[[#This Row],[Temperatura]])))</f>
        <v>0.4844041839292062</v>
      </c>
      <c r="L24" s="32" cm="1">
        <f t="array" ref="L24">(EXP(-(Tabella3[Planck h]*Tabella9[Frequenza11])/(2*Tabella3[Boltzmann k]*Tabella8[[#This Row],[Temperatura]])))/(1-EXP(-(Tabella3[Planck h]*Tabella9[Frequenza11])/(Tabella3[Boltzmann k]*Tabella8[[#This Row],[Temperatura]])))</f>
        <v>0.48374785204906601</v>
      </c>
      <c r="M24" s="32" cm="1">
        <f t="array" ref="M24">(EXP(-(Tabella3[Planck h]*Tabella9[Frequenza12])/(2*Tabella3[Boltzmann k]*Tabella8[[#This Row],[Temperatura]])))/(1-EXP(-(Tabella3[Planck h]*Tabella9[Frequenza12])/(Tabella3[Boltzmann k]*Tabella8[[#This Row],[Temperatura]])))</f>
        <v>0.48374704501946747</v>
      </c>
      <c r="N24" s="32" cm="1">
        <f t="array" ref="N24">(EXP(-(Tabella3[Planck h]*Tabella9[Frequenza13])/(2*Tabella3[Boltzmann k]*Tabella8[[#This Row],[Temperatura]])))/(1-EXP(-(Tabella3[Planck h]*Tabella9[Frequenza13])/(Tabella3[Boltzmann k]*Tabella8[[#This Row],[Temperatura]])))</f>
        <v>0.1663347911202635</v>
      </c>
      <c r="O24" s="32" cm="1">
        <f t="array" ref="O24">(EXP(-(Tabella3[Planck h]*Tabella9[Frequenza14])/(2*Tabella3[Boltzmann k]*Tabella8[[#This Row],[Temperatura]])))/(1-EXP(-(Tabella3[Planck h]*Tabella9[Frequenza14])/(Tabella3[Boltzmann k]*Tabella8[[#This Row],[Temperatura]])))</f>
        <v>0.16622540124469523</v>
      </c>
      <c r="P24" s="32" cm="1">
        <f t="array" ref="P24">(EXP(-(Tabella3[Planck h]*Tabella9[Frequenza15])/(2*Tabella3[Boltzmann k]*Tabella8[[#This Row],[Temperatura]])))/(1-EXP(-(Tabella3[Planck h]*Tabella9[Frequenza15])/(Tabella3[Boltzmann k]*Tabella8[[#This Row],[Temperatura]])))</f>
        <v>0.1608037175665272</v>
      </c>
      <c r="Q24" s="32" cm="1">
        <f t="array" ref="Q24">(EXP(-(Tabella3[Planck h]*Tabella9[Frequenza16])/(2*Tabella3[Boltzmann k]*Tabella8[[#This Row],[Temperatura]])))/(1-EXP(-(Tabella3[Planck h]*Tabella9[Frequenza16])/(Tabella3[Boltzmann k]*Tabella8[[#This Row],[Temperatura]])))</f>
        <v>0.16080370744020758</v>
      </c>
      <c r="R24" s="32" cm="1">
        <f t="array" ref="R24">(EXP(-(Tabella3[Planck h]*Tabella9[Frequenza17])/(2*Tabella3[Boltzmann k]*Tabella8[[#This Row],[Temperatura]])))/(1-EXP(-(Tabella3[Planck h]*Tabella9[Frequenza17])/(Tabella3[Boltzmann k]*Tabella8[[#This Row],[Temperatura]])))</f>
        <v>0.15844351305913962</v>
      </c>
      <c r="S24" s="32" cm="1">
        <f t="array" ref="S24">(EXP(-(Tabella3[Planck h]*Tabella9[Frequenza18])/(2*Tabella3[Boltzmann k]*Tabella8[[#This Row],[Temperatura]])))/(1-EXP(-(Tabella3[Planck h]*Tabella9[Frequenza18])/(Tabella3[Boltzmann k]*Tabella8[[#This Row],[Temperatura]])))</f>
        <v>0.15844333370627237</v>
      </c>
      <c r="T24" s="51">
        <f>PRODUCT(Tabella8[[#This Row],[Qvib1]:[Qvib18]])</f>
        <v>2.112953816588889E-7</v>
      </c>
    </row>
    <row r="25" spans="1:20" x14ac:dyDescent="0.35">
      <c r="A25" s="18">
        <v>1300</v>
      </c>
      <c r="B25" s="32" cm="1">
        <f t="array" ref="B25">(EXP(-(Tabella3[Planck h]*Tabella9[Frequenza1])/(2*Tabella3[Boltzmann k]*Tabella8[[#This Row],[Temperatura]])))/(1-EXP(-(Tabella3[Planck h]*Tabella9[Frequenza1])/(Tabella3[Boltzmann k]*Tabella8[[#This Row],[Temperatura]])))</f>
        <v>2.9171992615054245</v>
      </c>
      <c r="C25" s="32" cm="1">
        <f t="array" ref="C25">(EXP(-(Tabella3[Planck h]*Tabella9[Frequenza2])/(2*Tabella3[Boltzmann k]*Tabella8[[#This Row],[Temperatura]])))/(1-EXP(-(Tabella3[Planck h]*Tabella9[Frequenza2])/(Tabella3[Boltzmann k]*Tabella8[[#This Row],[Temperatura]])))</f>
        <v>1.0587950733306883</v>
      </c>
      <c r="D25" s="32" cm="1">
        <f t="array" ref="D25">(EXP(-(Tabella3[Planck h]*Tabella9[Frequenza3])/(2*Tabella3[Boltzmann k]*Tabella8[[#This Row],[Temperatura]])))/(1-EXP(-(Tabella3[Planck h]*Tabella9[Frequenza3])/(Tabella3[Boltzmann k]*Tabella8[[#This Row],[Temperatura]])))</f>
        <v>1.0587946616978845</v>
      </c>
      <c r="E25" s="32" cm="1">
        <f t="array" ref="E25">(EXP(-(Tabella3[Planck h]*Tabella9[Frequenza4])/(2*Tabella3[Boltzmann k]*Tabella8[[#This Row],[Temperatura]])))/(1-EXP(-(Tabella3[Planck h]*Tabella9[Frequenza4])/(Tabella3[Boltzmann k]*Tabella8[[#This Row],[Temperatura]])))</f>
        <v>0.86043096062247548</v>
      </c>
      <c r="F25" s="32" cm="1">
        <f t="array" ref="F25">(EXP(-(Tabella3[Planck h]*Tabella9[Frequenza5])/(2*Tabella3[Boltzmann k]*Tabella8[[#This Row],[Temperatura]])))/(1-EXP(-(Tabella3[Planck h]*Tabella9[Frequenza5])/(Tabella3[Boltzmann k]*Tabella8[[#This Row],[Temperatura]])))</f>
        <v>0.68775595793758226</v>
      </c>
      <c r="G25" s="32" cm="1">
        <f t="array" ref="G25">(EXP(-(Tabella3[Planck h]*Tabella9[Frequenza6])/(2*Tabella3[Boltzmann k]*Tabella8[[#This Row],[Temperatura]])))/(1-EXP(-(Tabella3[Planck h]*Tabella9[Frequenza6])/(Tabella3[Boltzmann k]*Tabella8[[#This Row],[Temperatura]])))</f>
        <v>0.68775453404011133</v>
      </c>
      <c r="H25" s="32" cm="1">
        <f t="array" ref="H25">(EXP(-(Tabella3[Planck h]*Tabella9[Frequenza7])/(2*Tabella3[Boltzmann k]*Tabella8[[#This Row],[Temperatura]])))/(1-EXP(-(Tabella3[Planck h]*Tabella9[Frequenza7])/(Tabella3[Boltzmann k]*Tabella8[[#This Row],[Temperatura]])))</f>
        <v>0.58093580037037906</v>
      </c>
      <c r="I25" s="32" cm="1">
        <f t="array" ref="I25">(EXP(-(Tabella3[Planck h]*Tabella9[Frequenza8])/(2*Tabella3[Boltzmann k]*Tabella8[[#This Row],[Temperatura]])))/(1-EXP(-(Tabella3[Planck h]*Tabella9[Frequenza8])/(Tabella3[Boltzmann k]*Tabella8[[#This Row],[Temperatura]])))</f>
        <v>0.57044423871136807</v>
      </c>
      <c r="J25" s="32" cm="1">
        <f t="array" ref="J25">(EXP(-(Tabella3[Planck h]*Tabella9[Frequenza9])/(2*Tabella3[Boltzmann k]*Tabella8[[#This Row],[Temperatura]])))/(1-EXP(-(Tabella3[Planck h]*Tabella9[Frequenza9])/(Tabella3[Boltzmann k]*Tabella8[[#This Row],[Temperatura]])))</f>
        <v>0.53494351472497725</v>
      </c>
      <c r="K25" s="32" cm="1">
        <f t="array" ref="K25">(EXP(-(Tabella3[Planck h]*Tabella9[Frequenza10])/(2*Tabella3[Boltzmann k]*Tabella8[[#This Row],[Temperatura]])))/(1-EXP(-(Tabella3[Planck h]*Tabella9[Frequenza10])/(Tabella3[Boltzmann k]*Tabella8[[#This Row],[Temperatura]])))</f>
        <v>0.53494325461389236</v>
      </c>
      <c r="L25" s="32" cm="1">
        <f t="array" ref="L25">(EXP(-(Tabella3[Planck h]*Tabella9[Frequenza11])/(2*Tabella3[Boltzmann k]*Tabella8[[#This Row],[Temperatura]])))/(1-EXP(-(Tabella3[Planck h]*Tabella9[Frequenza11])/(Tabella3[Boltzmann k]*Tabella8[[#This Row],[Temperatura]])))</f>
        <v>0.53423954130217777</v>
      </c>
      <c r="M25" s="32" cm="1">
        <f t="array" ref="M25">(EXP(-(Tabella3[Planck h]*Tabella9[Frequenza12])/(2*Tabella3[Boltzmann k]*Tabella8[[#This Row],[Temperatura]])))/(1-EXP(-(Tabella3[Planck h]*Tabella9[Frequenza12])/(Tabella3[Boltzmann k]*Tabella8[[#This Row],[Temperatura]])))</f>
        <v>0.53423867601497366</v>
      </c>
      <c r="N25" s="32" cm="1">
        <f t="array" ref="N25">(EXP(-(Tabella3[Planck h]*Tabella9[Frequenza13])/(2*Tabella3[Boltzmann k]*Tabella8[[#This Row],[Temperatura]])))/(1-EXP(-(Tabella3[Planck h]*Tabella9[Frequenza13])/(Tabella3[Boltzmann k]*Tabella8[[#This Row],[Temperatura]])))</f>
        <v>0.19301619550968765</v>
      </c>
      <c r="O25" s="32" cm="1">
        <f t="array" ref="O25">(EXP(-(Tabella3[Planck h]*Tabella9[Frequenza14])/(2*Tabella3[Boltzmann k]*Tabella8[[#This Row],[Temperatura]])))/(1-EXP(-(Tabella3[Planck h]*Tabella9[Frequenza14])/(Tabella3[Boltzmann k]*Tabella8[[#This Row],[Temperatura]])))</f>
        <v>0.19289701564261316</v>
      </c>
      <c r="P25" s="32" cm="1">
        <f t="array" ref="P25">(EXP(-(Tabella3[Planck h]*Tabella9[Frequenza15])/(2*Tabella3[Boltzmann k]*Tabella8[[#This Row],[Temperatura]])))/(1-EXP(-(Tabella3[Planck h]*Tabella9[Frequenza15])/(Tabella3[Boltzmann k]*Tabella8[[#This Row],[Temperatura]])))</f>
        <v>0.18698618691351118</v>
      </c>
      <c r="Q25" s="32" cm="1">
        <f t="array" ref="Q25">(EXP(-(Tabella3[Planck h]*Tabella9[Frequenza16])/(2*Tabella3[Boltzmann k]*Tabella8[[#This Row],[Temperatura]])))/(1-EXP(-(Tabella3[Planck h]*Tabella9[Frequenza16])/(Tabella3[Boltzmann k]*Tabella8[[#This Row],[Temperatura]])))</f>
        <v>0.18698617586623592</v>
      </c>
      <c r="R25" s="32" cm="1">
        <f t="array" ref="R25">(EXP(-(Tabella3[Planck h]*Tabella9[Frequenza17])/(2*Tabella3[Boltzmann k]*Tabella8[[#This Row],[Temperatura]])))/(1-EXP(-(Tabella3[Planck h]*Tabella9[Frequenza17])/(Tabella3[Boltzmann k]*Tabella8[[#This Row],[Temperatura]])))</f>
        <v>0.18441055758800323</v>
      </c>
      <c r="S25" s="32" cm="1">
        <f t="array" ref="S25">(EXP(-(Tabella3[Planck h]*Tabella9[Frequenza18])/(2*Tabella3[Boltzmann k]*Tabella8[[#This Row],[Temperatura]])))/(1-EXP(-(Tabella3[Planck h]*Tabella9[Frequenza18])/(Tabella3[Boltzmann k]*Tabella8[[#This Row],[Temperatura]])))</f>
        <v>0.18441036180565396</v>
      </c>
      <c r="T25" s="51">
        <f>PRODUCT(Tabella8[[#This Row],[Qvib1]:[Qvib18]])</f>
        <v>1.5948187168629685E-6</v>
      </c>
    </row>
    <row r="26" spans="1:20" x14ac:dyDescent="0.35">
      <c r="A26" s="18">
        <v>1400</v>
      </c>
      <c r="B26" s="32" cm="1">
        <f t="array" ref="B26">(EXP(-(Tabella3[Planck h]*Tabella9[Frequenza1])/(2*Tabella3[Boltzmann k]*Tabella8[[#This Row],[Temperatura]])))/(1-EXP(-(Tabella3[Planck h]*Tabella9[Frequenza1])/(Tabella3[Boltzmann k]*Tabella8[[#This Row],[Temperatura]])))</f>
        <v>3.1436946153113743</v>
      </c>
      <c r="C26" s="32" cm="1">
        <f t="array" ref="C26">(EXP(-(Tabella3[Planck h]*Tabella9[Frequenza2])/(2*Tabella3[Boltzmann k]*Tabella8[[#This Row],[Temperatura]])))/(1-EXP(-(Tabella3[Planck h]*Tabella9[Frequenza2])/(Tabella3[Boltzmann k]*Tabella8[[#This Row],[Temperatura]])))</f>
        <v>1.1456337416868156</v>
      </c>
      <c r="D26" s="32" cm="1">
        <f t="array" ref="D26">(EXP(-(Tabella3[Planck h]*Tabella9[Frequenza3])/(2*Tabella3[Boltzmann k]*Tabella8[[#This Row],[Temperatura]])))/(1-EXP(-(Tabella3[Planck h]*Tabella9[Frequenza3])/(Tabella3[Boltzmann k]*Tabella8[[#This Row],[Temperatura]])))</f>
        <v>1.1456333001775971</v>
      </c>
      <c r="E26" s="32" cm="1">
        <f t="array" ref="E26">(EXP(-(Tabella3[Planck h]*Tabella9[Frequenza4])/(2*Tabella3[Boltzmann k]*Tabella8[[#This Row],[Temperatura]])))/(1-EXP(-(Tabella3[Planck h]*Tabella9[Frequenza4])/(Tabella3[Boltzmann k]*Tabella8[[#This Row],[Temperatura]])))</f>
        <v>0.93301550497113273</v>
      </c>
      <c r="F26" s="32" cm="1">
        <f t="array" ref="F26">(EXP(-(Tabella3[Planck h]*Tabella9[Frequenza5])/(2*Tabella3[Boltzmann k]*Tabella8[[#This Row],[Temperatura]])))/(1-EXP(-(Tabella3[Planck h]*Tabella9[Frequenza5])/(Tabella3[Boltzmann k]*Tabella8[[#This Row],[Temperatura]])))</f>
        <v>0.74822825858441411</v>
      </c>
      <c r="G26" s="32" cm="1">
        <f t="array" ref="G26">(EXP(-(Tabella3[Planck h]*Tabella9[Frequenza6])/(2*Tabella3[Boltzmann k]*Tabella8[[#This Row],[Temperatura]])))/(1-EXP(-(Tabella3[Planck h]*Tabella9[Frequenza6])/(Tabella3[Boltzmann k]*Tabella8[[#This Row],[Temperatura]])))</f>
        <v>0.7482267362038113</v>
      </c>
      <c r="H26" s="32" cm="1">
        <f t="array" ref="H26">(EXP(-(Tabella3[Planck h]*Tabella9[Frequenza7])/(2*Tabella3[Boltzmann k]*Tabella8[[#This Row],[Temperatura]])))/(1-EXP(-(Tabella3[Planck h]*Tabella9[Frequenza7])/(Tabella3[Boltzmann k]*Tabella8[[#This Row],[Temperatura]])))</f>
        <v>0.63409229295011693</v>
      </c>
      <c r="I26" s="32" cm="1">
        <f t="array" ref="I26">(EXP(-(Tabella3[Planck h]*Tabella9[Frequenza8])/(2*Tabella3[Boltzmann k]*Tabella8[[#This Row],[Temperatura]])))/(1-EXP(-(Tabella3[Planck h]*Tabella9[Frequenza8])/(Tabella3[Boltzmann k]*Tabella8[[#This Row],[Temperatura]])))</f>
        <v>0.62289014149995359</v>
      </c>
      <c r="J26" s="32" cm="1">
        <f t="array" ref="J26">(EXP(-(Tabella3[Planck h]*Tabella9[Frequenza9])/(2*Tabella3[Boltzmann k]*Tabella8[[#This Row],[Temperatura]])))/(1-EXP(-(Tabella3[Planck h]*Tabella9[Frequenza9])/(Tabella3[Boltzmann k]*Tabella8[[#This Row],[Temperatura]])))</f>
        <v>0.58499535986160267</v>
      </c>
      <c r="K26" s="32" cm="1">
        <f t="array" ref="K26">(EXP(-(Tabella3[Planck h]*Tabella9[Frequenza10])/(2*Tabella3[Boltzmann k]*Tabella8[[#This Row],[Temperatura]])))/(1-EXP(-(Tabella3[Planck h]*Tabella9[Frequenza10])/(Tabella3[Boltzmann k]*Tabella8[[#This Row],[Temperatura]])))</f>
        <v>0.58499508226701458</v>
      </c>
      <c r="L26" s="32" cm="1">
        <f t="array" ref="L26">(EXP(-(Tabella3[Planck h]*Tabella9[Frequenza11])/(2*Tabella3[Boltzmann k]*Tabella8[[#This Row],[Temperatura]])))/(1-EXP(-(Tabella3[Planck h]*Tabella9[Frequenza11])/(Tabella3[Boltzmann k]*Tabella8[[#This Row],[Temperatura]])))</f>
        <v>0.5842440715159658</v>
      </c>
      <c r="M26" s="32" cm="1">
        <f t="array" ref="M26">(EXP(-(Tabella3[Planck h]*Tabella9[Frequenza12])/(2*Tabella3[Boltzmann k]*Tabella8[[#This Row],[Temperatura]])))/(1-EXP(-(Tabella3[Planck h]*Tabella9[Frequenza12])/(Tabella3[Boltzmann k]*Tabella8[[#This Row],[Temperatura]])))</f>
        <v>0.58424314807545707</v>
      </c>
      <c r="N26" s="32" cm="1">
        <f t="array" ref="N26">(EXP(-(Tabella3[Planck h]*Tabella9[Frequenza13])/(2*Tabella3[Boltzmann k]*Tabella8[[#This Row],[Temperatura]])))/(1-EXP(-(Tabella3[Planck h]*Tabella9[Frequenza13])/(Tabella3[Boltzmann k]*Tabella8[[#This Row],[Temperatura]])))</f>
        <v>0.21977426720181337</v>
      </c>
      <c r="O26" s="32" cm="1">
        <f t="array" ref="O26">(EXP(-(Tabella3[Planck h]*Tabella9[Frequenza14])/(2*Tabella3[Boltzmann k]*Tabella8[[#This Row],[Temperatura]])))/(1-EXP(-(Tabella3[Planck h]*Tabella9[Frequenza14])/(Tabella3[Boltzmann k]*Tabella8[[#This Row],[Temperatura]])))</f>
        <v>0.2196458572966479</v>
      </c>
      <c r="P26" s="32" cm="1">
        <f t="array" ref="P26">(EXP(-(Tabella3[Planck h]*Tabella9[Frequenza15])/(2*Tabella3[Boltzmann k]*Tabella8[[#This Row],[Temperatura]])))/(1-EXP(-(Tabella3[Planck h]*Tabella9[Frequenza15])/(Tabella3[Boltzmann k]*Tabella8[[#This Row],[Temperatura]])))</f>
        <v>0.21327417050567934</v>
      </c>
      <c r="Q26" s="32" cm="1">
        <f t="array" ref="Q26">(EXP(-(Tabella3[Planck h]*Tabella9[Frequenza16])/(2*Tabella3[Boltzmann k]*Tabella8[[#This Row],[Temperatura]])))/(1-EXP(-(Tabella3[Planck h]*Tabella9[Frequenza16])/(Tabella3[Boltzmann k]*Tabella8[[#This Row],[Temperatura]])))</f>
        <v>0.21327415859126456</v>
      </c>
      <c r="R26" s="32" cm="1">
        <f t="array" ref="R26">(EXP(-(Tabella3[Planck h]*Tabella9[Frequenza17])/(2*Tabella3[Boltzmann k]*Tabella8[[#This Row],[Temperatura]])))/(1-EXP(-(Tabella3[Planck h]*Tabella9[Frequenza17])/(Tabella3[Boltzmann k]*Tabella8[[#This Row],[Temperatura]])))</f>
        <v>0.21049576013026097</v>
      </c>
      <c r="S26" s="32" cm="1">
        <f t="array" ref="S26">(EXP(-(Tabella3[Planck h]*Tabella9[Frequenza18])/(2*Tabella3[Boltzmann k]*Tabella8[[#This Row],[Temperatura]])))/(1-EXP(-(Tabella3[Planck h]*Tabella9[Frequenza18])/(Tabella3[Boltzmann k]*Tabella8[[#This Row],[Temperatura]])))</f>
        <v>0.21049554888688873</v>
      </c>
      <c r="T26" s="51">
        <f>PRODUCT(Tabella8[[#This Row],[Qvib1]:[Qvib18]])</f>
        <v>9.674022692368493E-6</v>
      </c>
    </row>
    <row r="27" spans="1:20" x14ac:dyDescent="0.35">
      <c r="A27" s="18">
        <v>1500</v>
      </c>
      <c r="B27" s="32" cm="1">
        <f t="array" ref="B27">(EXP(-(Tabella3[Planck h]*Tabella9[Frequenza1])/(2*Tabella3[Boltzmann k]*Tabella8[[#This Row],[Temperatura]])))/(1-EXP(-(Tabella3[Planck h]*Tabella9[Frequenza1])/(Tabella3[Boltzmann k]*Tabella8[[#This Row],[Temperatura]])))</f>
        <v>3.3700569764526254</v>
      </c>
      <c r="C27" s="32" cm="1">
        <f t="array" ref="C27">(EXP(-(Tabella3[Planck h]*Tabella9[Frequenza2])/(2*Tabella3[Boltzmann k]*Tabella8[[#This Row],[Temperatura]])))/(1-EXP(-(Tabella3[Planck h]*Tabella9[Frequenza2])/(Tabella3[Boltzmann k]*Tabella8[[#This Row],[Temperatura]])))</f>
        <v>1.2321540382969212</v>
      </c>
      <c r="D27" s="32" cm="1">
        <f t="array" ref="D27">(EXP(-(Tabella3[Planck h]*Tabella9[Frequenza3])/(2*Tabella3[Boltzmann k]*Tabella8[[#This Row],[Temperatura]])))/(1-EXP(-(Tabella3[Planck h]*Tabella9[Frequenza3])/(Tabella3[Boltzmann k]*Tabella8[[#This Row],[Temperatura]])))</f>
        <v>1.2321535668257724</v>
      </c>
      <c r="E27" s="32" cm="1">
        <f t="array" ref="E27">(EXP(-(Tabella3[Planck h]*Tabella9[Frequenza4])/(2*Tabella3[Boltzmann k]*Tabella8[[#This Row],[Temperatura]])))/(1-EXP(-(Tabella3[Planck h]*Tabella9[Frequenza4])/(Tabella3[Boltzmann k]*Tabella8[[#This Row],[Temperatura]])))</f>
        <v>1.0052375156010913</v>
      </c>
      <c r="F27" s="32" cm="1">
        <f t="array" ref="F27">(EXP(-(Tabella3[Planck h]*Tabella9[Frequenza5])/(2*Tabella3[Boltzmann k]*Tabella8[[#This Row],[Temperatura]])))/(1-EXP(-(Tabella3[Planck h]*Tabella9[Frequenza5])/(Tabella3[Boltzmann k]*Tabella8[[#This Row],[Temperatura]])))</f>
        <v>0.80829895310441768</v>
      </c>
      <c r="G27" s="32" cm="1">
        <f t="array" ref="G27">(EXP(-(Tabella3[Planck h]*Tabella9[Frequenza6])/(2*Tabella3[Boltzmann k]*Tabella8[[#This Row],[Temperatura]])))/(1-EXP(-(Tabella3[Planck h]*Tabella9[Frequenza6])/(Tabella3[Boltzmann k]*Tabella8[[#This Row],[Temperatura]])))</f>
        <v>0.80829733195075393</v>
      </c>
      <c r="H27" s="32" cm="1">
        <f t="array" ref="H27">(EXP(-(Tabella3[Planck h]*Tabella9[Frequenza7])/(2*Tabella3[Boltzmann k]*Tabella8[[#This Row],[Temperatura]])))/(1-EXP(-(Tabella3[Planck h]*Tabella9[Frequenza7])/(Tabella3[Boltzmann k]*Tabella8[[#This Row],[Temperatura]])))</f>
        <v>0.68682983752063198</v>
      </c>
      <c r="I27" s="32" cm="1">
        <f t="array" ref="I27">(EXP(-(Tabella3[Planck h]*Tabella9[Frequenza8])/(2*Tabella3[Boltzmann k]*Tabella8[[#This Row],[Temperatura]])))/(1-EXP(-(Tabella3[Planck h]*Tabella9[Frequenza8])/(Tabella3[Boltzmann k]*Tabella8[[#This Row],[Temperatura]])))</f>
        <v>0.67491609015844534</v>
      </c>
      <c r="J27" s="32" cm="1">
        <f t="array" ref="J27">(EXP(-(Tabella3[Planck h]*Tabella9[Frequenza9])/(2*Tabella3[Boltzmann k]*Tabella8[[#This Row],[Temperatura]])))/(1-EXP(-(Tabella3[Planck h]*Tabella9[Frequenza9])/(Tabella3[Boltzmann k]*Tabella8[[#This Row],[Temperatura]])))</f>
        <v>0.63462528340808033</v>
      </c>
      <c r="K27" s="32" cm="1">
        <f t="array" ref="K27">(EXP(-(Tabella3[Planck h]*Tabella9[Frequenza10])/(2*Tabella3[Boltzmann k]*Tabella8[[#This Row],[Temperatura]])))/(1-EXP(-(Tabella3[Planck h]*Tabella9[Frequenza10])/(Tabella3[Boltzmann k]*Tabella8[[#This Row],[Temperatura]])))</f>
        <v>0.63462498832484737</v>
      </c>
      <c r="L27" s="32" cm="1">
        <f t="array" ref="L27">(EXP(-(Tabella3[Planck h]*Tabella9[Frequenza11])/(2*Tabella3[Boltzmann k]*Tabella8[[#This Row],[Temperatura]])))/(1-EXP(-(Tabella3[Planck h]*Tabella9[Frequenza11])/(Tabella3[Boltzmann k]*Tabella8[[#This Row],[Temperatura]])))</f>
        <v>0.63382666677412847</v>
      </c>
      <c r="M27" s="32" cm="1">
        <f t="array" ref="M27">(EXP(-(Tabella3[Planck h]*Tabella9[Frequenza12])/(2*Tabella3[Boltzmann k]*Tabella8[[#This Row],[Temperatura]])))/(1-EXP(-(Tabella3[Planck h]*Tabella9[Frequenza12])/(Tabella3[Boltzmann k]*Tabella8[[#This Row],[Temperatura]])))</f>
        <v>0.63382568516456594</v>
      </c>
      <c r="N27" s="32" cm="1">
        <f t="array" ref="N27">(EXP(-(Tabella3[Planck h]*Tabella9[Frequenza13])/(2*Tabella3[Boltzmann k]*Tabella8[[#This Row],[Temperatura]])))/(1-EXP(-(Tabella3[Planck h]*Tabella9[Frequenza13])/(Tabella3[Boltzmann k]*Tabella8[[#This Row],[Temperatura]])))</f>
        <v>0.24649821901491878</v>
      </c>
      <c r="O27" s="32" cm="1">
        <f t="array" ref="O27">(EXP(-(Tabella3[Planck h]*Tabella9[Frequenza14])/(2*Tabella3[Boltzmann k]*Tabella8[[#This Row],[Temperatura]])))/(1-EXP(-(Tabella3[Planck h]*Tabella9[Frequenza14])/(Tabella3[Boltzmann k]*Tabella8[[#This Row],[Temperatura]])))</f>
        <v>0.24636101667167903</v>
      </c>
      <c r="P27" s="32" cm="1">
        <f t="array" ref="P27">(EXP(-(Tabella3[Planck h]*Tabella9[Frequenza15])/(2*Tabella3[Boltzmann k]*Tabella8[[#This Row],[Temperatura]])))/(1-EXP(-(Tabella3[Planck h]*Tabella9[Frequenza15])/(Tabella3[Boltzmann k]*Tabella8[[#This Row],[Temperatura]])))</f>
        <v>0.23955066391582933</v>
      </c>
      <c r="Q27" s="32" cm="1">
        <f t="array" ref="Q27">(EXP(-(Tabella3[Planck h]*Tabella9[Frequenza16])/(2*Tabella3[Boltzmann k]*Tabella8[[#This Row],[Temperatura]])))/(1-EXP(-(Tabella3[Planck h]*Tabella9[Frequenza16])/(Tabella3[Boltzmann k]*Tabella8[[#This Row],[Temperatura]])))</f>
        <v>0.23955065117665603</v>
      </c>
      <c r="R27" s="32" cm="1">
        <f t="array" ref="R27">(EXP(-(Tabella3[Planck h]*Tabella9[Frequenza17])/(2*Tabella3[Boltzmann k]*Tabella8[[#This Row],[Temperatura]])))/(1-EXP(-(Tabella3[Planck h]*Tabella9[Frequenza17])/(Tabella3[Boltzmann k]*Tabella8[[#This Row],[Temperatura]])))</f>
        <v>0.23657944651197829</v>
      </c>
      <c r="S27" s="32" cm="1">
        <f t="array" ref="S27">(EXP(-(Tabella3[Planck h]*Tabella9[Frequenza18])/(2*Tabella3[Boltzmann k]*Tabella8[[#This Row],[Temperatura]])))/(1-EXP(-(Tabella3[Planck h]*Tabella9[Frequenza18])/(Tabella3[Boltzmann k]*Tabella8[[#This Row],[Temperatura]])))</f>
        <v>0.23657922057284336</v>
      </c>
      <c r="T27" s="51">
        <f>PRODUCT(Tabella8[[#This Row],[Qvib1]:[Qvib18]])</f>
        <v>4.9157169577138434E-5</v>
      </c>
    </row>
    <row r="28" spans="1:20" x14ac:dyDescent="0.35">
      <c r="A28" s="18">
        <v>1600</v>
      </c>
      <c r="B28" s="32" cm="1">
        <f t="array" ref="B28">(EXP(-(Tabella3[Planck h]*Tabella9[Frequenza1])/(2*Tabella3[Boltzmann k]*Tabella8[[#This Row],[Temperatura]])))/(1-EXP(-(Tabella3[Planck h]*Tabella9[Frequenza1])/(Tabella3[Boltzmann k]*Tabella8[[#This Row],[Temperatura]])))</f>
        <v>3.5963110316513798</v>
      </c>
      <c r="C28" s="32" cm="1">
        <f t="array" ref="C28">(EXP(-(Tabella3[Planck h]*Tabella9[Frequenza2])/(2*Tabella3[Boltzmann k]*Tabella8[[#This Row],[Temperatura]])))/(1-EXP(-(Tabella3[Planck h]*Tabella9[Frequenza2])/(Tabella3[Boltzmann k]*Tabella8[[#This Row],[Temperatura]])))</f>
        <v>1.3184112374195949</v>
      </c>
      <c r="D28" s="32" cm="1">
        <f t="array" ref="D28">(EXP(-(Tabella3[Planck h]*Tabella9[Frequenza3])/(2*Tabella3[Boltzmann k]*Tabella8[[#This Row],[Temperatura]])))/(1-EXP(-(Tabella3[Planck h]*Tabella9[Frequenza3])/(Tabella3[Boltzmann k]*Tabella8[[#This Row],[Temperatura]])))</f>
        <v>1.3184107359124941</v>
      </c>
      <c r="E28" s="32" cm="1">
        <f t="array" ref="E28">(EXP(-(Tabella3[Planck h]*Tabella9[Frequenza4])/(2*Tabella3[Boltzmann k]*Tabella8[[#This Row],[Temperatura]])))/(1-EXP(-(Tabella3[Planck h]*Tabella9[Frequenza4])/(Tabella3[Boltzmann k]*Tabella8[[#This Row],[Temperatura]])))</f>
        <v>1.0771574336390379</v>
      </c>
      <c r="F28" s="32" cm="1">
        <f t="array" ref="F28">(EXP(-(Tabella3[Planck h]*Tabella9[Frequenza5])/(2*Tabella3[Boltzmann k]*Tabella8[[#This Row],[Temperatura]])))/(1-EXP(-(Tabella3[Planck h]*Tabella9[Frequenza5])/(Tabella3[Boltzmann k]*Tabella8[[#This Row],[Temperatura]])))</f>
        <v>0.8680304745973435</v>
      </c>
      <c r="G28" s="32" cm="1">
        <f t="array" ref="G28">(EXP(-(Tabella3[Planck h]*Tabella9[Frequenza6])/(2*Tabella3[Boltzmann k]*Tabella8[[#This Row],[Temperatura]])))/(1-EXP(-(Tabella3[Planck h]*Tabella9[Frequenza6])/(Tabella3[Boltzmann k]*Tabella8[[#This Row],[Temperatura]])))</f>
        <v>0.86802875437433646</v>
      </c>
      <c r="H28" s="32" cm="1">
        <f t="array" ref="H28">(EXP(-(Tabella3[Planck h]*Tabella9[Frequenza7])/(2*Tabella3[Boltzmann k]*Tabella8[[#This Row],[Temperatura]])))/(1-EXP(-(Tabella3[Planck h]*Tabella9[Frequenza7])/(Tabella3[Boltzmann k]*Tabella8[[#This Row],[Temperatura]])))</f>
        <v>0.73920838446201398</v>
      </c>
      <c r="I28" s="32" cm="1">
        <f t="array" ref="I28">(EXP(-(Tabella3[Planck h]*Tabella9[Frequenza8])/(2*Tabella3[Boltzmann k]*Tabella8[[#This Row],[Temperatura]])))/(1-EXP(-(Tabella3[Planck h]*Tabella9[Frequenza8])/(Tabella3[Boltzmann k]*Tabella8[[#This Row],[Temperatura]])))</f>
        <v>0.72658150806348865</v>
      </c>
      <c r="J28" s="32" cm="1">
        <f t="array" ref="J28">(EXP(-(Tabella3[Planck h]*Tabella9[Frequenza9])/(2*Tabella3[Boltzmann k]*Tabella8[[#This Row],[Temperatura]])))/(1-EXP(-(Tabella3[Planck h]*Tabella9[Frequenza9])/(Tabella3[Boltzmann k]*Tabella8[[#This Row],[Temperatura]])))</f>
        <v>0.68389040255928601</v>
      </c>
      <c r="K28" s="32" cm="1">
        <f t="array" ref="K28">(EXP(-(Tabella3[Planck h]*Tabella9[Frequenza10])/(2*Tabella3[Boltzmann k]*Tabella8[[#This Row],[Temperatura]])))/(1-EXP(-(Tabella3[Planck h]*Tabella9[Frequenza10])/(Tabella3[Boltzmann k]*Tabella8[[#This Row],[Temperatura]])))</f>
        <v>0.68389008996209588</v>
      </c>
      <c r="L28" s="32" cm="1">
        <f t="array" ref="L28">(EXP(-(Tabella3[Planck h]*Tabella9[Frequenza11])/(2*Tabella3[Boltzmann k]*Tabella8[[#This Row],[Temperatura]])))/(1-EXP(-(Tabella3[Planck h]*Tabella9[Frequenza11])/(Tabella3[Boltzmann k]*Tabella8[[#This Row],[Temperatura]])))</f>
        <v>0.68304438949135793</v>
      </c>
      <c r="M28" s="32" cm="1">
        <f t="array" ref="M28">(EXP(-(Tabella3[Planck h]*Tabella9[Frequenza12])/(2*Tabella3[Boltzmann k]*Tabella8[[#This Row],[Temperatura]])))/(1-EXP(-(Tabella3[Planck h]*Tabella9[Frequenza12])/(Tabella3[Boltzmann k]*Tabella8[[#This Row],[Temperatura]])))</f>
        <v>0.68304334962942548</v>
      </c>
      <c r="N28" s="32" cm="1">
        <f t="array" ref="N28">(EXP(-(Tabella3[Planck h]*Tabella9[Frequenza13])/(2*Tabella3[Boltzmann k]*Tabella8[[#This Row],[Temperatura]])))/(1-EXP(-(Tabella3[Planck h]*Tabella9[Frequenza13])/(Tabella3[Boltzmann k]*Tabella8[[#This Row],[Temperatura]])))</f>
        <v>0.27311967504073709</v>
      </c>
      <c r="O28" s="32" cm="1">
        <f t="array" ref="O28">(EXP(-(Tabella3[Planck h]*Tabella9[Frequenza14])/(2*Tabella3[Boltzmann k]*Tabella8[[#This Row],[Temperatura]])))/(1-EXP(-(Tabella3[Planck h]*Tabella9[Frequenza14])/(Tabella3[Boltzmann k]*Tabella8[[#This Row],[Temperatura]])))</f>
        <v>0.27297401814371891</v>
      </c>
      <c r="P28" s="32" cm="1">
        <f t="array" ref="P28">(EXP(-(Tabella3[Planck h]*Tabella9[Frequenza15])/(2*Tabella3[Boltzmann k]*Tabella8[[#This Row],[Temperatura]])))/(1-EXP(-(Tabella3[Planck h]*Tabella9[Frequenza15])/(Tabella3[Boltzmann k]*Tabella8[[#This Row],[Temperatura]])))</f>
        <v>0.26574219525793058</v>
      </c>
      <c r="Q28" s="32" cm="1">
        <f t="array" ref="Q28">(EXP(-(Tabella3[Planck h]*Tabella9[Frequenza16])/(2*Tabella3[Boltzmann k]*Tabella8[[#This Row],[Temperatura]])))/(1-EXP(-(Tabella3[Planck h]*Tabella9[Frequenza16])/(Tabella3[Boltzmann k]*Tabella8[[#This Row],[Temperatura]])))</f>
        <v>0.26574218172695108</v>
      </c>
      <c r="R28" s="32" cm="1">
        <f t="array" ref="R28">(EXP(-(Tabella3[Planck h]*Tabella9[Frequenza17])/(2*Tabella3[Boltzmann k]*Tabella8[[#This Row],[Temperatura]])))/(1-EXP(-(Tabella3[Planck h]*Tabella9[Frequenza17])/(Tabella3[Boltzmann k]*Tabella8[[#This Row],[Temperatura]])))</f>
        <v>0.26258593774133265</v>
      </c>
      <c r="S28" s="32" cm="1">
        <f t="array" ref="S28">(EXP(-(Tabella3[Planck h]*Tabella9[Frequenza18])/(2*Tabella3[Boltzmann k]*Tabella8[[#This Row],[Temperatura]])))/(1-EXP(-(Tabella3[Planck h]*Tabella9[Frequenza18])/(Tabella3[Boltzmann k]*Tabella8[[#This Row],[Temperatura]])))</f>
        <v>0.2625856977032614</v>
      </c>
      <c r="T28" s="51">
        <f>PRODUCT(Tabella8[[#This Row],[Qvib1]:[Qvib18]])</f>
        <v>2.1585704425402055E-4</v>
      </c>
    </row>
    <row r="29" spans="1:20" x14ac:dyDescent="0.35">
      <c r="A29" s="18">
        <v>1700</v>
      </c>
      <c r="B29" s="32" cm="1">
        <f t="array" ref="B29">(EXP(-(Tabella3[Planck h]*Tabella9[Frequenza1])/(2*Tabella3[Boltzmann k]*Tabella8[[#This Row],[Temperatura]])))/(1-EXP(-(Tabella3[Planck h]*Tabella9[Frequenza1])/(Tabella3[Boltzmann k]*Tabella8[[#This Row],[Temperatura]])))</f>
        <v>3.8224757256613211</v>
      </c>
      <c r="C29" s="32" cm="1">
        <f t="array" ref="C29">(EXP(-(Tabella3[Planck h]*Tabella9[Frequenza2])/(2*Tabella3[Boltzmann k]*Tabella8[[#This Row],[Temperatura]])))/(1-EXP(-(Tabella3[Planck h]*Tabella9[Frequenza2])/(Tabella3[Boltzmann k]*Tabella8[[#This Row],[Temperatura]])))</f>
        <v>1.4044487603633447</v>
      </c>
      <c r="D29" s="32" cm="1">
        <f t="array" ref="D29">(EXP(-(Tabella3[Planck h]*Tabella9[Frequenza3])/(2*Tabella3[Boltzmann k]*Tabella8[[#This Row],[Temperatura]])))/(1-EXP(-(Tabella3[Planck h]*Tabella9[Frequenza3])/(Tabella3[Boltzmann k]*Tabella8[[#This Row],[Temperatura]])))</f>
        <v>1.4044482287562206</v>
      </c>
      <c r="E29" s="32" cm="1">
        <f t="array" ref="E29">(EXP(-(Tabella3[Planck h]*Tabella9[Frequenza4])/(2*Tabella3[Boltzmann k]*Tabella8[[#This Row],[Temperatura]])))/(1-EXP(-(Tabella3[Planck h]*Tabella9[Frequenza4])/(Tabella3[Boltzmann k]*Tabella8[[#This Row],[Temperatura]])))</f>
        <v>1.1488234167537772</v>
      </c>
      <c r="F29" s="32" cm="1">
        <f t="array" ref="F29">(EXP(-(Tabella3[Planck h]*Tabella9[Frequenza5])/(2*Tabella3[Boltzmann k]*Tabella8[[#This Row],[Temperatura]])))/(1-EXP(-(Tabella3[Planck h]*Tabella9[Frequenza5])/(Tabella3[Boltzmann k]*Tabella8[[#This Row],[Temperatura]])))</f>
        <v>0.9274738058627624</v>
      </c>
      <c r="G29" s="32" cm="1">
        <f t="array" ref="G29">(EXP(-(Tabella3[Planck h]*Tabella9[Frequenza6])/(2*Tabella3[Boltzmann k]*Tabella8[[#This Row],[Temperatura]])))/(1-EXP(-(Tabella3[Planck h]*Tabella9[Frequenza6])/(Tabella3[Boltzmann k]*Tabella8[[#This Row],[Temperatura]])))</f>
        <v>0.92747198628378791</v>
      </c>
      <c r="H29" s="32" cm="1">
        <f t="array" ref="H29">(EXP(-(Tabella3[Planck h]*Tabella9[Frequenza7])/(2*Tabella3[Boltzmann k]*Tabella8[[#This Row],[Temperatura]])))/(1-EXP(-(Tabella3[Planck h]*Tabella9[Frequenza7])/(Tabella3[Boltzmann k]*Tabella8[[#This Row],[Temperatura]])))</f>
        <v>0.79127835868356611</v>
      </c>
      <c r="I29" s="32" cm="1">
        <f t="array" ref="I29">(EXP(-(Tabella3[Planck h]*Tabella9[Frequenza8])/(2*Tabella3[Boltzmann k]*Tabella8[[#This Row],[Temperatura]])))/(1-EXP(-(Tabella3[Planck h]*Tabella9[Frequenza8])/(Tabella3[Boltzmann k]*Tabella8[[#This Row],[Temperatura]])))</f>
        <v>0.77793658014107259</v>
      </c>
      <c r="J29" s="32" cm="1">
        <f t="array" ref="J29">(EXP(-(Tabella3[Planck h]*Tabella9[Frequenza9])/(2*Tabella3[Boltzmann k]*Tabella8[[#This Row],[Temperatura]])))/(1-EXP(-(Tabella3[Planck h]*Tabella9[Frequenza9])/(Tabella3[Boltzmann k]*Tabella8[[#This Row],[Temperatura]])))</f>
        <v>0.73283973944571212</v>
      </c>
      <c r="K29" s="32" cm="1">
        <f t="array" ref="K29">(EXP(-(Tabella3[Planck h]*Tabella9[Frequenza10])/(2*Tabella3[Boltzmann k]*Tabella8[[#This Row],[Temperatura]])))/(1-EXP(-(Tabella3[Planck h]*Tabella9[Frequenza10])/(Tabella3[Boltzmann k]*Tabella8[[#This Row],[Temperatura]])))</f>
        <v>0.73283940929851998</v>
      </c>
      <c r="L29" s="32" cm="1">
        <f t="array" ref="L29">(EXP(-(Tabella3[Planck h]*Tabella9[Frequenza11])/(2*Tabella3[Boltzmann k]*Tabella8[[#This Row],[Temperatura]])))/(1-EXP(-(Tabella3[Planck h]*Tabella9[Frequenza11])/(Tabella3[Boltzmann k]*Tabella8[[#This Row],[Temperatura]])))</f>
        <v>0.73194623262241876</v>
      </c>
      <c r="M29" s="32" cm="1">
        <f t="array" ref="M29">(EXP(-(Tabella3[Planck h]*Tabella9[Frequenza12])/(2*Tabella3[Boltzmann k]*Tabella8[[#This Row],[Temperatura]])))/(1-EXP(-(Tabella3[Planck h]*Tabella9[Frequenza12])/(Tabella3[Boltzmann k]*Tabella8[[#This Row],[Temperatura]])))</f>
        <v>0.73194513438877917</v>
      </c>
      <c r="N29" s="32" cm="1">
        <f t="array" ref="N29">(EXP(-(Tabella3[Planck h]*Tabella9[Frequenza13])/(2*Tabella3[Boltzmann k]*Tabella8[[#This Row],[Temperatura]])))/(1-EXP(-(Tabella3[Planck h]*Tabella9[Frequenza13])/(Tabella3[Boltzmann k]*Tabella8[[#This Row],[Temperatura]])))</f>
        <v>0.29959852035872814</v>
      </c>
      <c r="O29" s="32" cm="1">
        <f t="array" ref="O29">(EXP(-(Tabella3[Planck h]*Tabella9[Frequenza14])/(2*Tabella3[Boltzmann k]*Tabella8[[#This Row],[Temperatura]])))/(1-EXP(-(Tabella3[Planck h]*Tabella9[Frequenza14])/(Tabella3[Boltzmann k]*Tabella8[[#This Row],[Temperatura]])))</f>
        <v>0.29944466755361943</v>
      </c>
      <c r="P29" s="32" cm="1">
        <f t="array" ref="P29">(EXP(-(Tabella3[Planck h]*Tabella9[Frequenza15])/(2*Tabella3[Boltzmann k]*Tabella8[[#This Row],[Temperatura]])))/(1-EXP(-(Tabella3[Planck h]*Tabella9[Frequenza15])/(Tabella3[Boltzmann k]*Tabella8[[#This Row],[Temperatura]])))</f>
        <v>0.29180458210078658</v>
      </c>
      <c r="Q29" s="32" cm="1">
        <f t="array" ref="Q29">(EXP(-(Tabella3[Planck h]*Tabella9[Frequenza16])/(2*Tabella3[Boltzmann k]*Tabella8[[#This Row],[Temperatura]])))/(1-EXP(-(Tabella3[Planck h]*Tabella9[Frequenza16])/(Tabella3[Boltzmann k]*Tabella8[[#This Row],[Temperatura]])))</f>
        <v>0.29180456780339298</v>
      </c>
      <c r="R29" s="32" cm="1">
        <f t="array" ref="R29">(EXP(-(Tabella3[Planck h]*Tabella9[Frequenza17])/(2*Tabella3[Boltzmann k]*Tabella8[[#This Row],[Temperatura]])))/(1-EXP(-(Tabella3[Planck h]*Tabella9[Frequenza17])/(Tabella3[Boltzmann k]*Tabella8[[#This Row],[Temperatura]])))</f>
        <v>0.28846927804831562</v>
      </c>
      <c r="S29" s="32" cm="1">
        <f t="array" ref="S29">(EXP(-(Tabella3[Planck h]*Tabella9[Frequenza18])/(2*Tabella3[Boltzmann k]*Tabella8[[#This Row],[Temperatura]])))/(1-EXP(-(Tabella3[Planck h]*Tabella9[Frequenza18])/(Tabella3[Boltzmann k]*Tabella8[[#This Row],[Temperatura]])))</f>
        <v>0.28846902437252758</v>
      </c>
      <c r="T29" s="51">
        <f>PRODUCT(Tabella8[[#This Row],[Qvib1]:[Qvib18]])</f>
        <v>8.388809154417483E-4</v>
      </c>
    </row>
    <row r="30" spans="1:20" x14ac:dyDescent="0.35">
      <c r="A30" s="18">
        <v>1800</v>
      </c>
      <c r="B30" s="32" cm="1">
        <f t="array" ref="B30">(EXP(-(Tabella3[Planck h]*Tabella9[Frequenza1])/(2*Tabella3[Boltzmann k]*Tabella8[[#This Row],[Temperatura]])))/(1-EXP(-(Tabella3[Planck h]*Tabella9[Frequenza1])/(Tabella3[Boltzmann k]*Tabella8[[#This Row],[Temperatura]])))</f>
        <v>4.0485658359655003</v>
      </c>
      <c r="C30" s="32" cm="1">
        <f t="array" ref="C30">(EXP(-(Tabella3[Planck h]*Tabella9[Frequenza2])/(2*Tabella3[Boltzmann k]*Tabella8[[#This Row],[Temperatura]])))/(1-EXP(-(Tabella3[Planck h]*Tabella9[Frequenza2])/(Tabella3[Boltzmann k]*Tabella8[[#This Row],[Temperatura]])))</f>
        <v>1.4903011264082495</v>
      </c>
      <c r="D30" s="32" cm="1">
        <f t="array" ref="D30">(EXP(-(Tabella3[Planck h]*Tabella9[Frequenza3])/(2*Tabella3[Boltzmann k]*Tabella8[[#This Row],[Temperatura]])))/(1-EXP(-(Tabella3[Planck h]*Tabella9[Frequenza3])/(Tabella3[Boltzmann k]*Tabella8[[#This Row],[Temperatura]])))</f>
        <v>1.4903005646455278</v>
      </c>
      <c r="E30" s="32" cm="1">
        <f t="array" ref="E30">(EXP(-(Tabella3[Planck h]*Tabella9[Frequenza4])/(2*Tabella3[Boltzmann k]*Tabella8[[#This Row],[Temperatura]])))/(1-EXP(-(Tabella3[Planck h]*Tabella9[Frequenza4])/(Tabella3[Boltzmann k]*Tabella8[[#This Row],[Temperatura]])))</f>
        <v>1.2202741855788093</v>
      </c>
      <c r="F30" s="32" cm="1">
        <f t="array" ref="F30">(EXP(-(Tabella3[Planck h]*Tabella9[Frequenza5])/(2*Tabella3[Boltzmann k]*Tabella8[[#This Row],[Temperatura]])))/(1-EXP(-(Tabella3[Planck h]*Tabella9[Frequenza5])/(Tabella3[Boltzmann k]*Tabella8[[#This Row],[Temperatura]])))</f>
        <v>0.98667073676693462</v>
      </c>
      <c r="G30" s="32" cm="1">
        <f t="array" ref="G30">(EXP(-(Tabella3[Planck h]*Tabella9[Frequenza6])/(2*Tabella3[Boltzmann k]*Tabella8[[#This Row],[Temperatura]])))/(1-EXP(-(Tabella3[Planck h]*Tabella9[Frequenza6])/(Tabella3[Boltzmann k]*Tabella8[[#This Row],[Temperatura]])))</f>
        <v>0.98666881756270042</v>
      </c>
      <c r="H30" s="32" cm="1">
        <f t="array" ref="H30">(EXP(-(Tabella3[Planck h]*Tabella9[Frequenza7])/(2*Tabella3[Boltzmann k]*Tabella8[[#This Row],[Temperatura]])))/(1-EXP(-(Tabella3[Planck h]*Tabella9[Frequenza7])/(Tabella3[Boltzmann k]*Tabella8[[#This Row],[Temperatura]])))</f>
        <v>0.84308203285755534</v>
      </c>
      <c r="I30" s="32" cm="1">
        <f t="array" ref="I30">(EXP(-(Tabella3[Planck h]*Tabella9[Frequenza8])/(2*Tabella3[Boltzmann k]*Tabella8[[#This Row],[Temperatura]])))/(1-EXP(-(Tabella3[Planck h]*Tabella9[Frequenza8])/(Tabella3[Boltzmann k]*Tabella8[[#This Row],[Temperatura]])))</f>
        <v>0.82902350527644053</v>
      </c>
      <c r="J30" s="32" cm="1">
        <f t="array" ref="J30">(EXP(-(Tabella3[Planck h]*Tabella9[Frequenza9])/(2*Tabella3[Boltzmann k]*Tabella8[[#This Row],[Temperatura]])))/(1-EXP(-(Tabella3[Planck h]*Tabella9[Frequenza9])/(Tabella3[Boltzmann k]*Tabella8[[#This Row],[Temperatura]])))</f>
        <v>0.78151500730544676</v>
      </c>
      <c r="K30" s="32" cm="1">
        <f t="array" ref="K30">(EXP(-(Tabella3[Planck h]*Tabella9[Frequenza10])/(2*Tabella3[Boltzmann k]*Tabella8[[#This Row],[Temperatura]])))/(1-EXP(-(Tabella3[Planck h]*Tabella9[Frequenza10])/(Tabella3[Boltzmann k]*Tabella8[[#This Row],[Temperatura]])))</f>
        <v>0.78151465956714861</v>
      </c>
      <c r="L30" s="32" cm="1">
        <f t="array" ref="L30">(EXP(-(Tabella3[Planck h]*Tabella9[Frequenza11])/(2*Tabella3[Boltzmann k]*Tabella8[[#This Row],[Temperatura]])))/(1-EXP(-(Tabella3[Planck h]*Tabella9[Frequenza11])/(Tabella3[Boltzmann k]*Tabella8[[#This Row],[Temperatura]])))</f>
        <v>0.78057389562543389</v>
      </c>
      <c r="M30" s="32" cm="1">
        <f t="array" ref="M30">(EXP(-(Tabella3[Planck h]*Tabella9[Frequenza12])/(2*Tabella3[Boltzmann k]*Tabella8[[#This Row],[Temperatura]])))/(1-EXP(-(Tabella3[Planck h]*Tabella9[Frequenza12])/(Tabella3[Boltzmann k]*Tabella8[[#This Row],[Temperatura]])))</f>
        <v>0.78057273888370393</v>
      </c>
      <c r="N30" s="32" cm="1">
        <f t="array" ref="N30">(EXP(-(Tabella3[Planck h]*Tabella9[Frequenza13])/(2*Tabella3[Boltzmann k]*Tabella8[[#This Row],[Temperatura]])))/(1-EXP(-(Tabella3[Planck h]*Tabella9[Frequenza13])/(Tabella3[Boltzmann k]*Tabella8[[#This Row],[Temperatura]])))</f>
        <v>0.32591327793470276</v>
      </c>
      <c r="O30" s="32" cm="1">
        <f t="array" ref="O30">(EXP(-(Tabella3[Planck h]*Tabella9[Frequenza14])/(2*Tabella3[Boltzmann k]*Tabella8[[#This Row],[Temperatura]])))/(1-EXP(-(Tabella3[Planck h]*Tabella9[Frequenza14])/(Tabella3[Boltzmann k]*Tabella8[[#This Row],[Temperatura]])))</f>
        <v>0.32575142582372696</v>
      </c>
      <c r="P30" s="32" cm="1">
        <f t="array" ref="P30">(EXP(-(Tabella3[Planck h]*Tabella9[Frequenza15])/(2*Tabella3[Boltzmann k]*Tabella8[[#This Row],[Temperatura]])))/(1-EXP(-(Tabella3[Planck h]*Tabella9[Frequenza15])/(Tabella3[Boltzmann k]*Tabella8[[#This Row],[Temperatura]])))</f>
        <v>0.3177131509191517</v>
      </c>
      <c r="Q30" s="32" cm="1">
        <f t="array" ref="Q30">(EXP(-(Tabella3[Planck h]*Tabella9[Frequenza16])/(2*Tabella3[Boltzmann k]*Tabella8[[#This Row],[Temperatura]])))/(1-EXP(-(Tabella3[Planck h]*Tabella9[Frequenza16])/(Tabella3[Boltzmann k]*Tabella8[[#This Row],[Temperatura]])))</f>
        <v>0.31771313587477251</v>
      </c>
      <c r="R30" s="32" cm="1">
        <f t="array" ref="R30">(EXP(-(Tabella3[Planck h]*Tabella9[Frequenza17])/(2*Tabella3[Boltzmann k]*Tabella8[[#This Row],[Temperatura]])))/(1-EXP(-(Tabella3[Planck h]*Tabella9[Frequenza17])/(Tabella3[Boltzmann k]*Tabella8[[#This Row],[Temperatura]])))</f>
        <v>0.31420339277671161</v>
      </c>
      <c r="S30" s="32" cm="1">
        <f t="array" ref="S30">(EXP(-(Tabella3[Planck h]*Tabella9[Frequenza18])/(2*Tabella3[Boltzmann k]*Tabella8[[#This Row],[Temperatura]])))/(1-EXP(-(Tabella3[Planck h]*Tabella9[Frequenza18])/(Tabella3[Boltzmann k]*Tabella8[[#This Row],[Temperatura]])))</f>
        <v>0.3142031258171048</v>
      </c>
      <c r="T30" s="51">
        <f>PRODUCT(Tabella8[[#This Row],[Qvib1]:[Qvib18]])</f>
        <v>2.9394685832774933E-3</v>
      </c>
    </row>
    <row r="31" spans="1:20" x14ac:dyDescent="0.35">
      <c r="A31" s="18">
        <v>1900</v>
      </c>
      <c r="B31" s="32" cm="1">
        <f t="array" ref="B31">(EXP(-(Tabella3[Planck h]*Tabella9[Frequenza1])/(2*Tabella3[Boltzmann k]*Tabella8[[#This Row],[Temperatura]])))/(1-EXP(-(Tabella3[Planck h]*Tabella9[Frequenza1])/(Tabella3[Boltzmann k]*Tabella8[[#This Row],[Temperatura]])))</f>
        <v>4.2745930570567232</v>
      </c>
      <c r="C31" s="32" cm="1">
        <f t="array" ref="C31">(EXP(-(Tabella3[Planck h]*Tabella9[Frequenza2])/(2*Tabella3[Boltzmann k]*Tabella8[[#This Row],[Temperatura]])))/(1-EXP(-(Tabella3[Planck h]*Tabella9[Frequenza2])/(Tabella3[Boltzmann k]*Tabella8[[#This Row],[Temperatura]])))</f>
        <v>1.5759960839787632</v>
      </c>
      <c r="D31" s="32" cm="1">
        <f t="array" ref="D31">(EXP(-(Tabella3[Planck h]*Tabella9[Frequenza3])/(2*Tabella3[Boltzmann k]*Tabella8[[#This Row],[Temperatura]])))/(1-EXP(-(Tabella3[Planck h]*Tabella9[Frequenza3])/(Tabella3[Boltzmann k]*Tabella8[[#This Row],[Temperatura]])))</f>
        <v>1.5759954920120882</v>
      </c>
      <c r="E31" s="32" cm="1">
        <f t="array" ref="E31">(EXP(-(Tabella3[Planck h]*Tabella9[Frequenza4])/(2*Tabella3[Boltzmann k]*Tabella8[[#This Row],[Temperatura]])))/(1-EXP(-(Tabella3[Planck h]*Tabella9[Frequenza4])/(Tabella3[Boltzmann k]*Tabella8[[#This Row],[Temperatura]])))</f>
        <v>1.2915411539322892</v>
      </c>
      <c r="F31" s="32" cm="1">
        <f t="array" ref="F31">(EXP(-(Tabella3[Planck h]*Tabella9[Frequenza5])/(2*Tabella3[Boltzmann k]*Tabella8[[#This Row],[Temperatura]])))/(1-EXP(-(Tabella3[Planck h]*Tabella9[Frequenza5])/(Tabella3[Boltzmann k]*Tabella8[[#This Row],[Temperatura]])))</f>
        <v>1.0456556991375276</v>
      </c>
      <c r="G31" s="32" cm="1">
        <f t="array" ref="G31">(EXP(-(Tabella3[Planck h]*Tabella9[Frequenza6])/(2*Tabella3[Boltzmann k]*Tabella8[[#This Row],[Temperatura]])))/(1-EXP(-(Tabella3[Planck h]*Tabella9[Frequenza6])/(Tabella3[Boltzmann k]*Tabella8[[#This Row],[Temperatura]])))</f>
        <v>1.0456536800591796</v>
      </c>
      <c r="H31" s="32" cm="1">
        <f t="array" ref="H31">(EXP(-(Tabella3[Planck h]*Tabella9[Frequenza7])/(2*Tabella3[Boltzmann k]*Tabella8[[#This Row],[Temperatura]])))/(1-EXP(-(Tabella3[Planck h]*Tabella9[Frequenza7])/(Tabella3[Boltzmann k]*Tabella8[[#This Row],[Temperatura]])))</f>
        <v>0.89465485601087091</v>
      </c>
      <c r="I31" s="32" cm="1">
        <f t="array" ref="I31">(EXP(-(Tabella3[Planck h]*Tabella9[Frequenza8])/(2*Tabella3[Boltzmann k]*Tabella8[[#This Row],[Temperatura]])))/(1-EXP(-(Tabella3[Planck h]*Tabella9[Frequenza8])/(Tabella3[Boltzmann k]*Tabella8[[#This Row],[Temperatura]])))</f>
        <v>0.87987775333120999</v>
      </c>
      <c r="J31" s="32" cm="1">
        <f t="array" ref="J31">(EXP(-(Tabella3[Planck h]*Tabella9[Frequenza9])/(2*Tabella3[Boltzmann k]*Tabella8[[#This Row],[Temperatura]])))/(1-EXP(-(Tabella3[Planck h]*Tabella9[Frequenza9])/(Tabella3[Boltzmann k]*Tabella8[[#This Row],[Temperatura]])))</f>
        <v>0.82995158759004173</v>
      </c>
      <c r="K31" s="32" cm="1">
        <f t="array" ref="K31">(EXP(-(Tabella3[Planck h]*Tabella9[Frequenza10])/(2*Tabella3[Boltzmann k]*Tabella8[[#This Row],[Temperatura]])))/(1-EXP(-(Tabella3[Planck h]*Tabella9[Frequenza10])/(Tabella3[Boltzmann k]*Tabella8[[#This Row],[Temperatura]])))</f>
        <v>0.8299512222178671</v>
      </c>
      <c r="L31" s="32" cm="1">
        <f t="array" ref="L31">(EXP(-(Tabella3[Planck h]*Tabella9[Frequenza11])/(2*Tabella3[Boltzmann k]*Tabella8[[#This Row],[Temperatura]])))/(1-EXP(-(Tabella3[Planck h]*Tabella9[Frequenza11])/(Tabella3[Boltzmann k]*Tabella8[[#This Row],[Temperatura]])))</f>
        <v>0.82896275537896291</v>
      </c>
      <c r="M31" s="32" cm="1">
        <f t="array" ref="M31">(EXP(-(Tabella3[Planck h]*Tabella9[Frequenza12])/(2*Tabella3[Boltzmann k]*Tabella8[[#This Row],[Temperatura]])))/(1-EXP(-(Tabella3[Planck h]*Tabella9[Frequenza12])/(Tabella3[Boltzmann k]*Tabella8[[#This Row],[Temperatura]])))</f>
        <v>0.82896153998706401</v>
      </c>
      <c r="N31" s="32" cm="1">
        <f t="array" ref="N31">(EXP(-(Tabella3[Planck h]*Tabella9[Frequenza13])/(2*Tabella3[Boltzmann k]*Tabella8[[#This Row],[Temperatura]])))/(1-EXP(-(Tabella3[Planck h]*Tabella9[Frequenza13])/(Tabella3[Boltzmann k]*Tabella8[[#This Row],[Temperatura]])))</f>
        <v>0.35205462081001371</v>
      </c>
      <c r="O31" s="32" cm="1">
        <f t="array" ref="O31">(EXP(-(Tabella3[Planck h]*Tabella9[Frequenza14])/(2*Tabella3[Boltzmann k]*Tabella8[[#This Row],[Temperatura]])))/(1-EXP(-(Tabella3[Planck h]*Tabella9[Frequenza14])/(Tabella3[Boltzmann k]*Tabella8[[#This Row],[Temperatura]])))</f>
        <v>0.35188491783361309</v>
      </c>
      <c r="P31" s="32" cm="1">
        <f t="array" ref="P31">(EXP(-(Tabella3[Planck h]*Tabella9[Frequenza15])/(2*Tabella3[Boltzmann k]*Tabella8[[#This Row],[Temperatura]])))/(1-EXP(-(Tabella3[Planck h]*Tabella9[Frequenza15])/(Tabella3[Boltzmann k]*Tabella8[[#This Row],[Temperatura]])))</f>
        <v>0.34345608565587094</v>
      </c>
      <c r="Q31" s="32" cm="1">
        <f t="array" ref="Q31">(EXP(-(Tabella3[Planck h]*Tabella9[Frequenza16])/(2*Tabella3[Boltzmann k]*Tabella8[[#This Row],[Temperatura]])))/(1-EXP(-(Tabella3[Planck h]*Tabella9[Frequenza16])/(Tabella3[Boltzmann k]*Tabella8[[#This Row],[Temperatura]])))</f>
        <v>0.34345606987927585</v>
      </c>
      <c r="R31" s="32" cm="1">
        <f t="array" ref="R31">(EXP(-(Tabella3[Planck h]*Tabella9[Frequenza17])/(2*Tabella3[Boltzmann k]*Tabella8[[#This Row],[Temperatura]])))/(1-EXP(-(Tabella3[Planck h]*Tabella9[Frequenza17])/(Tabella3[Boltzmann k]*Tabella8[[#This Row],[Temperatura]])))</f>
        <v>0.33977536977585521</v>
      </c>
      <c r="S31" s="32" cm="1">
        <f t="array" ref="S31">(EXP(-(Tabella3[Planck h]*Tabella9[Frequenza18])/(2*Tabella3[Boltzmann k]*Tabella8[[#This Row],[Temperatura]])))/(1-EXP(-(Tabella3[Planck h]*Tabella9[Frequenza18])/(Tabella3[Boltzmann k]*Tabella8[[#This Row],[Temperatura]])))</f>
        <v>0.33977508980225229</v>
      </c>
      <c r="T31" s="51">
        <f>PRODUCT(Tabella8[[#This Row],[Qvib1]:[Qvib18]])</f>
        <v>9.4249453926343284E-3</v>
      </c>
    </row>
    <row r="32" spans="1:20" x14ac:dyDescent="0.35">
      <c r="A32" s="18">
        <v>2000</v>
      </c>
      <c r="B32" s="32" cm="1">
        <f t="array" ref="B32">(EXP(-(Tabella3[Planck h]*Tabella9[Frequenza1])/(2*Tabella3[Boltzmann k]*Tabella8[[#This Row],[Temperatura]])))/(1-EXP(-(Tabella3[Planck h]*Tabella9[Frequenza1])/(Tabella3[Boltzmann k]*Tabella8[[#This Row],[Temperatura]])))</f>
        <v>4.5005667634226239</v>
      </c>
      <c r="C32" s="32" cm="1">
        <f t="array" ref="C32">(EXP(-(Tabella3[Planck h]*Tabella9[Frequenza2])/(2*Tabella3[Boltzmann k]*Tabella8[[#This Row],[Temperatura]])))/(1-EXP(-(Tabella3[Planck h]*Tabella9[Frequenza2])/(Tabella3[Boltzmann k]*Tabella8[[#This Row],[Temperatura]])))</f>
        <v>1.6615561689349281</v>
      </c>
      <c r="D32" s="32" cm="1">
        <f t="array" ref="D32">(EXP(-(Tabella3[Planck h]*Tabella9[Frequenza3])/(2*Tabella3[Boltzmann k]*Tabella8[[#This Row],[Temperatura]])))/(1-EXP(-(Tabella3[Planck h]*Tabella9[Frequenza3])/(Tabella3[Boltzmann k]*Tabella8[[#This Row],[Temperatura]])))</f>
        <v>1.6615555467220651</v>
      </c>
      <c r="E32" s="32" cm="1">
        <f t="array" ref="E32">(EXP(-(Tabella3[Planck h]*Tabella9[Frequenza4])/(2*Tabella3[Boltzmann k]*Tabella8[[#This Row],[Temperatura]])))/(1-EXP(-(Tabella3[Planck h]*Tabella9[Frequenza4])/(Tabella3[Boltzmann k]*Tabella8[[#This Row],[Temperatura]])))</f>
        <v>1.3626500294029971</v>
      </c>
      <c r="F32" s="32" cm="1">
        <f t="array" ref="F32">(EXP(-(Tabella3[Planck h]*Tabella9[Frequenza5])/(2*Tabella3[Boltzmann k]*Tabella8[[#This Row],[Temperatura]])))/(1-EXP(-(Tabella3[Planck h]*Tabella9[Frequenza5])/(Tabella3[Boltzmann k]*Tabella8[[#This Row],[Temperatura]])))</f>
        <v>1.1044572280662319</v>
      </c>
      <c r="G32" s="32" cm="1">
        <f t="array" ref="G32">(EXP(-(Tabella3[Planck h]*Tabella9[Frequenza6])/(2*Tabella3[Boltzmann k]*Tabella8[[#This Row],[Temperatura]])))/(1-EXP(-(Tabella3[Planck h]*Tabella9[Frequenza6])/(Tabella3[Boltzmann k]*Tabella8[[#This Row],[Temperatura]])))</f>
        <v>1.1044551088859873</v>
      </c>
      <c r="H32" s="32" cm="1">
        <f t="array" ref="H32">(EXP(-(Tabella3[Planck h]*Tabella9[Frequenza7])/(2*Tabella3[Boltzmann k]*Tabella8[[#This Row],[Temperatura]])))/(1-EXP(-(Tabella3[Planck h]*Tabella9[Frequenza7])/(Tabella3[Boltzmann k]*Tabella8[[#This Row],[Temperatura]])))</f>
        <v>0.94602662470752874</v>
      </c>
      <c r="I32" s="32" cm="1">
        <f t="array" ref="I32">(EXP(-(Tabella3[Planck h]*Tabella9[Frequenza8])/(2*Tabella3[Boltzmann k]*Tabella8[[#This Row],[Temperatura]])))/(1-EXP(-(Tabella3[Planck h]*Tabella9[Frequenza8])/(Tabella3[Boltzmann k]*Tabella8[[#This Row],[Temperatura]])))</f>
        <v>0.93052919365633313</v>
      </c>
      <c r="J32" s="32" cm="1">
        <f t="array" ref="J32">(EXP(-(Tabella3[Planck h]*Tabella9[Frequenza9])/(2*Tabella3[Boltzmann k]*Tabella8[[#This Row],[Temperatura]])))/(1-EXP(-(Tabella3[Planck h]*Tabella9[Frequenza9])/(Tabella3[Boltzmann k]*Tabella8[[#This Row],[Temperatura]])))</f>
        <v>0.87817948915135702</v>
      </c>
      <c r="K32" s="32" cm="1">
        <f t="array" ref="K32">(EXP(-(Tabella3[Planck h]*Tabella9[Frequenza10])/(2*Tabella3[Boltzmann k]*Tabella8[[#This Row],[Temperatura]])))/(1-EXP(-(Tabella3[Planck h]*Tabella9[Frequenza10])/(Tabella3[Boltzmann k]*Tabella8[[#This Row],[Temperatura]])))</f>
        <v>0.87817910610286398</v>
      </c>
      <c r="L32" s="32" cm="1">
        <f t="array" ref="L32">(EXP(-(Tabella3[Planck h]*Tabella9[Frequenza11])/(2*Tabella3[Boltzmann k]*Tabella8[[#This Row],[Temperatura]])))/(1-EXP(-(Tabella3[Planck h]*Tabella9[Frequenza11])/(Tabella3[Boltzmann k]*Tabella8[[#This Row],[Temperatura]])))</f>
        <v>0.87714282158624168</v>
      </c>
      <c r="M32" s="32" cm="1">
        <f t="array" ref="M32">(EXP(-(Tabella3[Planck h]*Tabella9[Frequenza12])/(2*Tabella3[Boltzmann k]*Tabella8[[#This Row],[Temperatura]])))/(1-EXP(-(Tabella3[Planck h]*Tabella9[Frequenza12])/(Tabella3[Boltzmann k]*Tabella8[[#This Row],[Temperatura]])))</f>
        <v>0.87714154740309092</v>
      </c>
      <c r="N32" s="32" cm="1">
        <f t="array" ref="N32">(EXP(-(Tabella3[Planck h]*Tabella9[Frequenza13])/(2*Tabella3[Boltzmann k]*Tabella8[[#This Row],[Temperatura]])))/(1-EXP(-(Tabella3[Planck h]*Tabella9[Frequenza13])/(Tabella3[Boltzmann k]*Tabella8[[#This Row],[Temperatura]])))</f>
        <v>0.3780210206420006</v>
      </c>
      <c r="O32" s="32" cm="1">
        <f t="array" ref="O32">(EXP(-(Tabella3[Planck h]*Tabella9[Frequenza14])/(2*Tabella3[Boltzmann k]*Tabella8[[#This Row],[Temperatura]])))/(1-EXP(-(Tabella3[Planck h]*Tabella9[Frequenza14])/(Tabella3[Boltzmann k]*Tabella8[[#This Row],[Temperatura]])))</f>
        <v>0.37784357803926077</v>
      </c>
      <c r="P32" s="32" cm="1">
        <f t="array" ref="P32">(EXP(-(Tabella3[Planck h]*Tabella9[Frequenza15])/(2*Tabella3[Boltzmann k]*Tabella8[[#This Row],[Temperatura]])))/(1-EXP(-(Tabella3[Planck h]*Tabella9[Frequenza15])/(Tabella3[Boltzmann k]*Tabella8[[#This Row],[Temperatura]])))</f>
        <v>0.36902992994668982</v>
      </c>
      <c r="Q32" s="32" cm="1">
        <f t="array" ref="Q32">(EXP(-(Tabella3[Planck h]*Tabella9[Frequenza16])/(2*Tabella3[Boltzmann k]*Tabella8[[#This Row],[Temperatura]])))/(1-EXP(-(Tabella3[Planck h]*Tabella9[Frequenza16])/(Tabella3[Boltzmann k]*Tabella8[[#This Row],[Temperatura]])))</f>
        <v>0.36902991344902969</v>
      </c>
      <c r="R32" s="32" cm="1">
        <f t="array" ref="R32">(EXP(-(Tabella3[Planck h]*Tabella9[Frequenza17])/(2*Tabella3[Boltzmann k]*Tabella8[[#This Row],[Temperatura]])))/(1-EXP(-(Tabella3[Planck h]*Tabella9[Frequenza17])/(Tabella3[Boltzmann k]*Tabella8[[#This Row],[Temperatura]])))</f>
        <v>0.36518090019050081</v>
      </c>
      <c r="S32" s="32" cm="1">
        <f t="array" ref="S32">(EXP(-(Tabella3[Planck h]*Tabella9[Frequenza18])/(2*Tabella3[Boltzmann k]*Tabella8[[#This Row],[Temperatura]])))/(1-EXP(-(Tabella3[Planck h]*Tabella9[Frequenza18])/(Tabella3[Boltzmann k]*Tabella8[[#This Row],[Temperatura]])))</f>
        <v>0.36518060740725372</v>
      </c>
      <c r="T32" s="51">
        <f>PRODUCT(Tabella8[[#This Row],[Qvib1]:[Qvib18]])</f>
        <v>2.7982406897134462E-2</v>
      </c>
    </row>
    <row r="33" spans="1:25" x14ac:dyDescent="0.35">
      <c r="A33" s="46" t="s">
        <v>122</v>
      </c>
      <c r="B33" s="32">
        <f>B32-B15</f>
        <v>3.8864673362968367</v>
      </c>
      <c r="C33" s="32">
        <f t="shared" ref="C33:L33" si="0">C32-C15</f>
        <v>1.5221583922772284</v>
      </c>
      <c r="D33" s="32">
        <f t="shared" si="0"/>
        <v>1.5221578748159581</v>
      </c>
      <c r="E33" s="32">
        <f t="shared" si="0"/>
        <v>1.2720361778390161</v>
      </c>
      <c r="F33" s="32">
        <f t="shared" si="0"/>
        <v>1.0515291598141159</v>
      </c>
      <c r="G33" s="32">
        <f t="shared" si="0"/>
        <v>1.0515273231586886</v>
      </c>
      <c r="H33" s="32">
        <f t="shared" si="0"/>
        <v>0.91255430208171173</v>
      </c>
      <c r="I33" s="32">
        <f t="shared" si="0"/>
        <v>0.89875991066567784</v>
      </c>
      <c r="J33" s="32">
        <f t="shared" si="0"/>
        <v>0.8518633201749225</v>
      </c>
      <c r="K33" s="32">
        <f t="shared" si="0"/>
        <v>0.85186297527722843</v>
      </c>
      <c r="L33" s="32">
        <f t="shared" si="0"/>
        <v>0.85092980629851989</v>
      </c>
      <c r="M33" s="32">
        <f>M32-M15</f>
        <v>0.85092865878463875</v>
      </c>
      <c r="N33" s="32">
        <f t="shared" ref="N33" si="1">N32-N15</f>
        <v>0.3773631684195084</v>
      </c>
      <c r="O33" s="32">
        <f t="shared" ref="O33" si="2">O32-O15</f>
        <v>0.37718737659394763</v>
      </c>
      <c r="P33" s="32">
        <f t="shared" ref="P33" si="3">P32-P15</f>
        <v>0.36845190668335037</v>
      </c>
      <c r="Q33" s="32">
        <f t="shared" ref="Q33" si="4">Q32-Q15</f>
        <v>0.36845189032515835</v>
      </c>
      <c r="R33" s="32">
        <f t="shared" ref="R33" si="5">R32-R15</f>
        <v>0.36463473543556996</v>
      </c>
      <c r="S33" s="32">
        <f t="shared" ref="S33" si="6">S32-S15</f>
        <v>0.36463444502437825</v>
      </c>
      <c r="T33" s="32">
        <f>T32-T15</f>
        <v>2.7982406897134462E-2</v>
      </c>
    </row>
    <row r="34" spans="1:25" x14ac:dyDescent="0.3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  <c r="H34" s="18" t="s">
        <v>52</v>
      </c>
      <c r="I34" s="18" t="s">
        <v>53</v>
      </c>
      <c r="J34" s="18" t="s">
        <v>54</v>
      </c>
      <c r="K34" s="18" t="s">
        <v>55</v>
      </c>
      <c r="L34" s="18" t="s">
        <v>56</v>
      </c>
      <c r="M34" s="18" t="s">
        <v>57</v>
      </c>
      <c r="N34" s="18" t="s">
        <v>85</v>
      </c>
      <c r="O34" s="18" t="s">
        <v>86</v>
      </c>
      <c r="P34" s="18" t="s">
        <v>87</v>
      </c>
      <c r="Q34" s="18" t="s">
        <v>88</v>
      </c>
      <c r="R34" s="18" t="s">
        <v>89</v>
      </c>
      <c r="S34" s="18" t="s">
        <v>90</v>
      </c>
      <c r="T34" s="18" t="s">
        <v>91</v>
      </c>
      <c r="U34" s="18" t="s">
        <v>92</v>
      </c>
      <c r="V34" s="18" t="s">
        <v>93</v>
      </c>
    </row>
    <row r="35" spans="1:25" x14ac:dyDescent="0.35">
      <c r="A35" s="54"/>
      <c r="B35" s="55">
        <v>443.48</v>
      </c>
      <c r="E35" s="55">
        <f>B35</f>
        <v>443.48</v>
      </c>
      <c r="F35" s="55">
        <f>B36</f>
        <v>1186.22</v>
      </c>
      <c r="G35" s="32">
        <f>B37</f>
        <v>1186.22</v>
      </c>
      <c r="H35" s="32">
        <f>B38</f>
        <v>1436.64</v>
      </c>
      <c r="I35" s="32">
        <f>B39</f>
        <v>1754.08</v>
      </c>
      <c r="J35" s="32">
        <f>B40</f>
        <v>1754.08</v>
      </c>
      <c r="K35" s="32">
        <f>B41</f>
        <v>2026.31</v>
      </c>
      <c r="L35" s="32">
        <f>B42</f>
        <v>2057.39</v>
      </c>
      <c r="M35" s="32">
        <f>B43</f>
        <v>2169.4899999999998</v>
      </c>
      <c r="N35" s="32">
        <f>B44</f>
        <v>2169.4899999999998</v>
      </c>
      <c r="O35" s="32">
        <f>B45</f>
        <v>2171.83</v>
      </c>
      <c r="P35" s="32">
        <f>B46</f>
        <v>2171.83</v>
      </c>
      <c r="Q35" s="32">
        <f>B47</f>
        <v>4368.8</v>
      </c>
      <c r="R35" s="32">
        <f>B48</f>
        <v>4370.3</v>
      </c>
      <c r="S35" s="32">
        <f>B49</f>
        <v>4445.9399999999996</v>
      </c>
      <c r="T35" s="32">
        <f>B50</f>
        <v>4445.9399999999996</v>
      </c>
      <c r="U35" s="32">
        <f>B51</f>
        <v>4479.75</v>
      </c>
      <c r="V35" s="32">
        <f>B52</f>
        <v>4479.75</v>
      </c>
    </row>
    <row r="36" spans="1:25" x14ac:dyDescent="0.35">
      <c r="A36" s="56"/>
      <c r="B36" s="18">
        <v>1186.22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42</v>
      </c>
      <c r="I36" s="57" t="s">
        <v>43</v>
      </c>
      <c r="J36" s="57" t="s">
        <v>44</v>
      </c>
      <c r="K36" s="57" t="s">
        <v>45</v>
      </c>
      <c r="L36" s="57" t="s">
        <v>46</v>
      </c>
      <c r="M36" s="57" t="s">
        <v>47</v>
      </c>
      <c r="N36" s="57" t="s">
        <v>94</v>
      </c>
      <c r="O36" s="57" t="s">
        <v>95</v>
      </c>
      <c r="P36" s="57" t="s">
        <v>96</v>
      </c>
      <c r="Q36" s="57" t="s">
        <v>97</v>
      </c>
      <c r="R36" s="57" t="s">
        <v>98</v>
      </c>
      <c r="S36" s="57" t="s">
        <v>99</v>
      </c>
      <c r="T36" s="57" t="s">
        <v>100</v>
      </c>
      <c r="U36" s="57" t="s">
        <v>101</v>
      </c>
      <c r="V36" s="57" t="s">
        <v>102</v>
      </c>
      <c r="W36" s="57" t="s">
        <v>48</v>
      </c>
      <c r="Y36" s="146"/>
    </row>
    <row r="37" spans="1:25" x14ac:dyDescent="0.35">
      <c r="A37" s="56"/>
      <c r="B37" s="18">
        <v>1186.22</v>
      </c>
      <c r="D37" s="58">
        <v>298.14999999999998</v>
      </c>
      <c r="E37" s="32" cm="1">
        <f t="array" ref="E37">(    (Tabella12[Theta vib 1]/Tabella11[[#This Row],[Temperatura]]) /(EXP(Tabella12[Theta vib 1]/Tabella11[[#This Row],[Temperatura]])-1) - LN(1-EXP(-Tabella12[Theta vib 1]/Tabella11[[#This Row],[Temperatura]]))    )</f>
        <v>0.69031353749591928</v>
      </c>
      <c r="F37" s="32" cm="1">
        <f t="array" ref="F37">(    (Tabella12[Theta vib2]/Tabella11[[#This Row],[Temperatura]]) /(EXP(Tabella12[Theta vib2]/Tabella11[[#This Row],[Temperatura]])-1) - LN(1-EXP(-Tabella12[Theta vib3]/Tabella11[[#This Row],[Temperatura]]))    )</f>
        <v>9.475542850880242E-2</v>
      </c>
      <c r="G37" s="32" cm="1">
        <f t="array" ref="G37">(    (Tabella12[Theta vib3]/Tabella11[[#This Row],[Temperatura]]) /(EXP(Tabella12[Theta vib3]/Tabella11[[#This Row],[Temperatura]])-1) - LN(1-EXP(-Tabella12[Theta vib3]/Tabella11[[#This Row],[Temperatura]]))    )</f>
        <v>9.475542850880242E-2</v>
      </c>
      <c r="H37" s="32" cm="1">
        <f t="array" ref="H37" xml:space="preserve">   (Tabella12[Theta vib4]/Tabella11[[#This Row],[Temperatura]]) /(EXP(Tabella12[Theta vib4]/Tabella11[[#This Row],[Temperatura]])-1) - LN(1-EXP(-Tabella12[Theta vib4]/Tabella11[[#This Row],[Temperatura]]))</f>
        <v>4.7356367232051291E-2</v>
      </c>
      <c r="I37" s="32" cm="1">
        <f t="array" ref="I37">(    (Tabella12[Theta vib5]/Tabella11[[#This Row],[Temperatura]]) /(EXP(Tabella12[Theta vib5]/Tabella11[[#This Row],[Temperatura]])-1) - LN(1-EXP(-Tabella12[Theta vib5]/Tabella11[[#This Row],[Temperatura]]))    )</f>
        <v>1.9225063852009214E-2</v>
      </c>
      <c r="J37" s="32" cm="1">
        <f t="array" ref="J37">(    (Tabella12[Theta vib6]/Tabella11[[#This Row],[Temperatura]]) /(EXP(Tabella12[Theta vib6]/Tabella11[[#This Row],[Temperatura]])-1) - LN(1-EXP(-Tabella12[Theta vib6]/Tabella11[[#This Row],[Temperatura]]))    )</f>
        <v>1.9225063852009214E-2</v>
      </c>
      <c r="K37" s="32" cm="1">
        <f t="array" ref="K37">(    (Tabella12[Theta vib7]/Tabella11[[#This Row],[Temperatura]]) /(EXP(Tabella12[Theta vib7]/Tabella11[[#This Row],[Temperatura]])-1) - LN(1-EXP(-Tabella12[Theta vib7]/Tabella11[[#This Row],[Temperatura]]))    )</f>
        <v>8.7248160409371892E-3</v>
      </c>
      <c r="L37" s="32" cm="1">
        <f t="array" ref="L37">(    (Tabella12[Theta vib8]/Tabella11[[#This Row],[Temperatura]]) /(EXP(Tabella12[Theta vib8]/Tabella11[[#This Row],[Temperatura]])-1) - LN(1-EXP(-Tabella12[Theta vib8]/Tabella11[[#This Row],[Temperatura]]))    )</f>
        <v>7.9654064349841021E-3</v>
      </c>
      <c r="M37" s="32" cm="1">
        <f t="array" ref="M37">(    (Tabella12[Theta vib9]/Tabella11[[#This Row],[Temperatura]]) /(EXP(Tabella12[Theta vib9]/Tabella11[[#This Row],[Temperatura]])-1) - LN(1-EXP(-Tabella12[Theta vib9]/Tabella11[[#This Row],[Temperatura]]))    )</f>
        <v>5.7277397971940763E-3</v>
      </c>
      <c r="N37" s="32" cm="1">
        <f t="array" ref="N37">(    (Tabella12[Theta vib10]/Tabella11[[#This Row],[Temperatura]]) /(EXP(Tabella12[Theta vib10]/Tabella11[[#This Row],[Temperatura]])-1) - LN(1-EXP(-Tabella12[Theta vib10]/Tabella11[[#This Row],[Temperatura]]))    )</f>
        <v>5.7277397971940763E-3</v>
      </c>
      <c r="O37" s="32" cm="1">
        <f t="array" ref="O37">(    (Tabella12[Theta vib10]/Tabella11[[#This Row],[Temperatura]]) /(EXP(Tabella12[Theta vib11]/Tabella11[[#This Row],[Temperatura]])-1) - LN(1-EXP(-Tabella12[Theta vib11]/Tabella11[[#This Row],[Temperatura]]))    )</f>
        <v>5.6829332692267844E-3</v>
      </c>
      <c r="P37" s="32" cm="1">
        <f t="array" ref="P37">(    (Tabella12[Theta vib12]/Tabella11[[#This Row],[Temperatura]]) /(EXP(Tabella12[Theta vib12]/Tabella11[[#This Row],[Temperatura]])-1) - LN(1-EXP(-Tabella12[Theta vib12]/Tabella11[[#This Row],[Temperatura]]))    )</f>
        <v>5.6883224731866461E-3</v>
      </c>
      <c r="Q37" s="32" cm="1">
        <f t="array" ref="Q37">(    (Tabella12[Theta vib13]/Tabella11[[#This Row],[Temperatura]]) /(EXP(Tabella12[Theta vib13]/Tabella11[[#This Row],[Temperatura]])-1) - LN(1-EXP(-Tabella12[Theta vib13]/Tabella11[[#This Row],[Temperatura]]))    )</f>
        <v>6.7743830094382722E-6</v>
      </c>
      <c r="R37" s="32" cm="1">
        <f t="array" ref="R37">(    (Tabella12[Theta vib14]/Tabella11[[#This Row],[Temperatura]]) /(EXP(Tabella12[Theta vib14]/Tabella11[[#This Row],[Temperatura]])-1) - LN(1-EXP(-Tabella12[Theta vib14]/Tabella11[[#This Row],[Temperatura]]))    )</f>
        <v>6.7425529189031643E-6</v>
      </c>
      <c r="S37" s="32" cm="1">
        <f t="array" ref="S37">(    (Tabella12[Theta vib15]/Tabella11[[#This Row],[Temperatura]]) /(EXP(Tabella12[Theta vib15]/Tabella11[[#This Row],[Temperatura]])-1) - LN(1-EXP(-Tabella12[Theta vib15]/Tabella11[[#This Row],[Temperatura]]))    )</f>
        <v>5.3164896760420451E-6</v>
      </c>
      <c r="T37" s="32" cm="1">
        <f t="array" ref="T37">(    (Tabella12[Theta vib16]/Tabella11[[#This Row],[Temperatura]]) /(EXP(Tabella12[Theta vib16]/Tabella11[[#This Row],[Temperatura]])-1) - LN(1-EXP(-Tabella12[Theta vib16]/Tabella11[[#This Row],[Temperatura]]))    )</f>
        <v>5.3164896760420451E-6</v>
      </c>
      <c r="U37" s="32" cm="1">
        <f t="array" ref="U37">(    (Tabella12[Theta vib17]/Tabella11[[#This Row],[Temperatura]]) /(EXP(Tabella12[Theta vib17]/Tabella11[[#This Row],[Temperatura]])-1) - LN(1-EXP(-Tabella12[Theta vib17]/Tabella11[[#This Row],[Temperatura]]))    )</f>
        <v>4.780357844392587E-6</v>
      </c>
      <c r="V37" s="32" cm="1">
        <f t="array" ref="V37">(    (Tabella12[Theta vib18]/Tabella11[[#This Row],[Temperatura]]) /(EXP(Tabella12[Theta vib18]/Tabella11[[#This Row],[Temperatura]])-1) - LN(1-EXP(-Tabella12[Theta vib18]/Tabella11[[#This Row],[Temperatura]]))    )</f>
        <v>4.780357844392587E-6</v>
      </c>
      <c r="W37" s="32" cm="1">
        <f t="array" ref="W37">Tabella3[Rydberg R]*SUM(Tabella11[[#This Row],[S vib 1]:[S vib 18]])</f>
        <v>8.3575444874067291</v>
      </c>
      <c r="Y37" s="147"/>
    </row>
    <row r="38" spans="1:25" x14ac:dyDescent="0.35">
      <c r="A38" s="56"/>
      <c r="B38" s="18">
        <v>1436.64</v>
      </c>
      <c r="D38" s="58">
        <v>400</v>
      </c>
      <c r="E38" s="59" cm="1">
        <f t="array" ref="E38">(    (Tabella12[Theta vib 1]/Tabella11[[#This Row],[Temperatura]]) /(EXP(Tabella12[Theta vib 1]/Tabella11[[#This Row],[Temperatura]])-1) - LN(1-EXP(-Tabella12[Theta vib 1]/Tabella11[[#This Row],[Temperatura]]))    )</f>
        <v>0.94650481635392025</v>
      </c>
      <c r="F38" s="32" cm="1">
        <f t="array" ref="F38">(    (Tabella12[Theta vib2]/Tabella11[[#This Row],[Temperatura]]) /(EXP(Tabella12[Theta vib2]/Tabella11[[#This Row],[Temperatura]])-1) - LN(1-EXP(-Tabella12[Theta vib3]/Tabella11[[#This Row],[Temperatura]]))    )</f>
        <v>0.21403149624889656</v>
      </c>
      <c r="G38" s="32" cm="1">
        <f t="array" ref="G38">(    (Tabella12[Theta vib3]/Tabella11[[#This Row],[Temperatura]]) /(EXP(Tabella12[Theta vib3]/Tabella11[[#This Row],[Temperatura]])-1) - LN(1-EXP(-Tabella12[Theta vib3]/Tabella11[[#This Row],[Temperatura]]))    )</f>
        <v>0.21403149624889656</v>
      </c>
      <c r="H38" s="32" cm="1">
        <f t="array" ref="H38" xml:space="preserve">   (Tabella12[Theta vib4]/Tabella11[[#This Row],[Temperatura]]) /(EXP(Tabella12[Theta vib4]/Tabella11[[#This Row],[Temperatura]])-1) - LN(1-EXP(-Tabella12[Theta vib4]/Tabella11[[#This Row],[Temperatura]]))</f>
        <v>0.1297087731336497</v>
      </c>
      <c r="I38" s="32" cm="1">
        <f t="array" ref="I38">(    (Tabella12[Theta vib5]/Tabella11[[#This Row],[Temperatura]]) /(EXP(Tabella12[Theta vib5]/Tabella11[[#This Row],[Temperatura]])-1) - LN(1-EXP(-Tabella12[Theta vib5]/Tabella11[[#This Row],[Temperatura]]))    )</f>
        <v>6.7869448493185047E-2</v>
      </c>
      <c r="J38" s="32" cm="1">
        <f t="array" ref="J38">(    (Tabella12[Theta vib6]/Tabella11[[#This Row],[Temperatura]]) /(EXP(Tabella12[Theta vib6]/Tabella11[[#This Row],[Temperatura]])-1) - LN(1-EXP(-Tabella12[Theta vib6]/Tabella11[[#This Row],[Temperatura]]))    )</f>
        <v>6.7869448493185047E-2</v>
      </c>
      <c r="K38" s="32" cm="1">
        <f t="array" ref="K38">(    (Tabella12[Theta vib7]/Tabella11[[#This Row],[Temperatura]]) /(EXP(Tabella12[Theta vib7]/Tabella11[[#This Row],[Temperatura]])-1) - LN(1-EXP(-Tabella12[Theta vib7]/Tabella11[[#This Row],[Temperatura]]))    )</f>
        <v>3.8491995766476342E-2</v>
      </c>
      <c r="L38" s="32" cm="1">
        <f t="array" ref="L38">(    (Tabella12[Theta vib8]/Tabella11[[#This Row],[Temperatura]]) /(EXP(Tabella12[Theta vib8]/Tabella11[[#This Row],[Temperatura]])-1) - LN(1-EXP(-Tabella12[Theta vib8]/Tabella11[[#This Row],[Temperatura]]))    )</f>
        <v>3.6055130439591777E-2</v>
      </c>
      <c r="M38" s="32" cm="1">
        <f t="array" ref="M38">(    (Tabella12[Theta vib9]/Tabella11[[#This Row],[Temperatura]]) /(EXP(Tabella12[Theta vib9]/Tabella11[[#This Row],[Temperatura]])-1) - LN(1-EXP(-Tabella12[Theta vib9]/Tabella11[[#This Row],[Temperatura]]))    )</f>
        <v>2.8448772429532108E-2</v>
      </c>
      <c r="N38" s="32" cm="1">
        <f t="array" ref="N38">(    (Tabella12[Theta vib10]/Tabella11[[#This Row],[Temperatura]]) /(EXP(Tabella12[Theta vib10]/Tabella11[[#This Row],[Temperatura]])-1) - LN(1-EXP(-Tabella12[Theta vib10]/Tabella11[[#This Row],[Temperatura]]))    )</f>
        <v>2.8448772429532108E-2</v>
      </c>
      <c r="O38" s="32" cm="1">
        <f t="array" ref="O38">(    (Tabella12[Theta vib10]/Tabella11[[#This Row],[Temperatura]]) /(EXP(Tabella12[Theta vib11]/Tabella11[[#This Row],[Temperatura]])-1) - LN(1-EXP(-Tabella12[Theta vib11]/Tabella11[[#This Row],[Temperatura]]))    )</f>
        <v>2.8282158935932701E-2</v>
      </c>
      <c r="P38" s="32" cm="1">
        <f t="array" ref="P38">(    (Tabella12[Theta vib12]/Tabella11[[#This Row],[Temperatura]]) /(EXP(Tabella12[Theta vib12]/Tabella11[[#This Row],[Temperatura]])-1) - LN(1-EXP(-Tabella12[Theta vib12]/Tabella11[[#This Row],[Temperatura]]))    )</f>
        <v>2.8307923924585542E-2</v>
      </c>
      <c r="Q38" s="32" cm="1">
        <f t="array" ref="Q38">(    (Tabella12[Theta vib13]/Tabella11[[#This Row],[Temperatura]]) /(EXP(Tabella12[Theta vib13]/Tabella11[[#This Row],[Temperatura]])-1) - LN(1-EXP(-Tabella12[Theta vib13]/Tabella11[[#This Row],[Temperatura]]))    )</f>
        <v>2.1527435625232321E-4</v>
      </c>
      <c r="R38" s="32" cm="1">
        <f t="array" ref="R38">(    (Tabella12[Theta vib14]/Tabella11[[#This Row],[Temperatura]]) /(EXP(Tabella12[Theta vib14]/Tabella11[[#This Row],[Temperatura]])-1) - LN(1-EXP(-Tabella12[Theta vib14]/Tabella11[[#This Row],[Temperatura]]))    )</f>
        <v>2.1453603525674268E-4</v>
      </c>
      <c r="S38" s="32" cm="1">
        <f t="array" ref="S38">(    (Tabella12[Theta vib15]/Tabella11[[#This Row],[Temperatura]]) /(EXP(Tabella12[Theta vib15]/Tabella11[[#This Row],[Temperatura]])-1) - LN(1-EXP(-Tabella12[Theta vib15]/Tabella11[[#This Row],[Temperatura]]))    )</f>
        <v>1.8038740821938912E-4</v>
      </c>
      <c r="T38" s="32" cm="1">
        <f t="array" ref="T38">(    (Tabella12[Theta vib16]/Tabella11[[#This Row],[Temperatura]]) /(EXP(Tabella12[Theta vib16]/Tabella11[[#This Row],[Temperatura]])-1) - LN(1-EXP(-Tabella12[Theta vib16]/Tabella11[[#This Row],[Temperatura]]))    )</f>
        <v>1.8038740821938912E-4</v>
      </c>
      <c r="U38" s="32" cm="1">
        <f t="array" ref="U38">(    (Tabella12[Theta vib17]/Tabella11[[#This Row],[Temperatura]]) /(EXP(Tabella12[Theta vib17]/Tabella11[[#This Row],[Temperatura]])-1) - LN(1-EXP(-Tabella12[Theta vib17]/Tabella11[[#This Row],[Temperatura]]))    )</f>
        <v>1.6692312897786146E-4</v>
      </c>
      <c r="V38" s="32" cm="1">
        <f t="array" ref="V38">(    (Tabella12[Theta vib18]/Tabella11[[#This Row],[Temperatura]]) /(EXP(Tabella12[Theta vib18]/Tabella11[[#This Row],[Temperatura]])-1) - LN(1-EXP(-Tabella12[Theta vib18]/Tabella11[[#This Row],[Temperatura]]))    )</f>
        <v>1.6692312897786146E-4</v>
      </c>
      <c r="W38" s="32" cm="1">
        <f t="array" ref="W38">Tabella3[Rydberg R]*SUM(Tabella11[[#This Row],[S vib 1]:[S vib 18]])</f>
        <v>15.208604368641248</v>
      </c>
      <c r="Y38" s="147"/>
    </row>
    <row r="39" spans="1:25" x14ac:dyDescent="0.35">
      <c r="A39" s="56"/>
      <c r="B39" s="18">
        <v>1754.08</v>
      </c>
      <c r="D39" s="58">
        <v>500</v>
      </c>
      <c r="E39" s="59" cm="1">
        <f t="array" ref="E39">(    (Tabella12[Theta vib 1]/Tabella11[[#This Row],[Temperatura]]) /(EXP(Tabella12[Theta vib 1]/Tabella11[[#This Row],[Temperatura]])-1) - LN(1-EXP(-Tabella12[Theta vib 1]/Tabella11[[#This Row],[Temperatura]]))    )</f>
        <v>1.1521029431851637</v>
      </c>
      <c r="F39" s="32" cm="1">
        <f t="array" ref="F39">(    (Tabella12[Theta vib2]/Tabella11[[#This Row],[Temperatura]]) /(EXP(Tabella12[Theta vib2]/Tabella11[[#This Row],[Temperatura]])-1) - LN(1-EXP(-Tabella12[Theta vib3]/Tabella11[[#This Row],[Temperatura]]))    )</f>
        <v>0.34188139710665844</v>
      </c>
      <c r="G39" s="32" cm="1">
        <f t="array" ref="G39">(    (Tabella12[Theta vib3]/Tabella11[[#This Row],[Temperatura]]) /(EXP(Tabella12[Theta vib3]/Tabella11[[#This Row],[Temperatura]])-1) - LN(1-EXP(-Tabella12[Theta vib3]/Tabella11[[#This Row],[Temperatura]]))    )</f>
        <v>0.34188139710665844</v>
      </c>
      <c r="H39" s="32" cm="1">
        <f t="array" ref="H39" xml:space="preserve">   (Tabella12[Theta vib4]/Tabella11[[#This Row],[Temperatura]]) /(EXP(Tabella12[Theta vib4]/Tabella11[[#This Row],[Temperatura]])-1) - LN(1-EXP(-Tabella12[Theta vib4]/Tabella11[[#This Row],[Temperatura]]))</f>
        <v>0.23027757542024227</v>
      </c>
      <c r="I39" s="32" cm="1">
        <f t="array" ref="I39">(    (Tabella12[Theta vib5]/Tabella11[[#This Row],[Temperatura]]) /(EXP(Tabella12[Theta vib5]/Tabella11[[#This Row],[Temperatura]])-1) - LN(1-EXP(-Tabella12[Theta vib5]/Tabella11[[#This Row],[Temperatura]]))    )</f>
        <v>0.13873044103929322</v>
      </c>
      <c r="J39" s="32" cm="1">
        <f t="array" ref="J39">(    (Tabella12[Theta vib6]/Tabella11[[#This Row],[Temperatura]]) /(EXP(Tabella12[Theta vib6]/Tabella11[[#This Row],[Temperatura]])-1) - LN(1-EXP(-Tabella12[Theta vib6]/Tabella11[[#This Row],[Temperatura]]))    )</f>
        <v>0.13873044103929322</v>
      </c>
      <c r="K39" s="32" cm="1">
        <f t="array" ref="K39">(    (Tabella12[Theta vib7]/Tabella11[[#This Row],[Temperatura]]) /(EXP(Tabella12[Theta vib7]/Tabella11[[#This Row],[Temperatura]])-1) - LN(1-EXP(-Tabella12[Theta vib7]/Tabella11[[#This Row],[Temperatura]]))    )</f>
        <v>8.9196393638263927E-2</v>
      </c>
      <c r="L39" s="32" cm="1">
        <f t="array" ref="L39">(    (Tabella12[Theta vib8]/Tabella11[[#This Row],[Temperatura]]) /(EXP(Tabella12[Theta vib8]/Tabella11[[#This Row],[Temperatura]])-1) - LN(1-EXP(-Tabella12[Theta vib8]/Tabella11[[#This Row],[Temperatura]]))    )</f>
        <v>8.4772198142957444E-2</v>
      </c>
      <c r="M39" s="32" cm="1">
        <f t="array" ref="M39">(    (Tabella12[Theta vib9]/Tabella11[[#This Row],[Temperatura]]) /(EXP(Tabella12[Theta vib9]/Tabella11[[#This Row],[Temperatura]])-1) - LN(1-EXP(-Tabella12[Theta vib9]/Tabella11[[#This Row],[Temperatura]]))    )</f>
        <v>7.0507380968754405E-2</v>
      </c>
      <c r="N39" s="32" cm="1">
        <f t="array" ref="N39">(    (Tabella12[Theta vib10]/Tabella11[[#This Row],[Temperatura]]) /(EXP(Tabella12[Theta vib10]/Tabella11[[#This Row],[Temperatura]])-1) - LN(1-EXP(-Tabella12[Theta vib10]/Tabella11[[#This Row],[Temperatura]]))    )</f>
        <v>7.0507380968754405E-2</v>
      </c>
      <c r="O39" s="32" cm="1">
        <f t="array" ref="O39">(    (Tabella12[Theta vib10]/Tabella11[[#This Row],[Temperatura]]) /(EXP(Tabella12[Theta vib11]/Tabella11[[#This Row],[Temperatura]])-1) - LN(1-EXP(-Tabella12[Theta vib11]/Tabella11[[#This Row],[Temperatura]]))    )</f>
        <v>7.0174249530405131E-2</v>
      </c>
      <c r="P39" s="32" cm="1">
        <f t="array" ref="P39">(    (Tabella12[Theta vib12]/Tabella11[[#This Row],[Temperatura]]) /(EXP(Tabella12[Theta vib12]/Tabella11[[#This Row],[Temperatura]])-1) - LN(1-EXP(-Tabella12[Theta vib12]/Tabella11[[#This Row],[Temperatura]]))    )</f>
        <v>7.0235837551203273E-2</v>
      </c>
      <c r="Q39" s="32" cm="1">
        <f t="array" ref="Q39">(    (Tabella12[Theta vib13]/Tabella11[[#This Row],[Temperatura]]) /(EXP(Tabella12[Theta vib13]/Tabella11[[#This Row],[Temperatura]])-1) - LN(1-EXP(-Tabella12[Theta vib13]/Tabella11[[#This Row],[Temperatura]]))    )</f>
        <v>1.5625235468312508E-3</v>
      </c>
      <c r="R39" s="32" cm="1">
        <f t="array" ref="R39">(    (Tabella12[Theta vib14]/Tabella11[[#This Row],[Temperatura]]) /(EXP(Tabella12[Theta vib14]/Tabella11[[#This Row],[Temperatura]])-1) - LN(1-EXP(-Tabella12[Theta vib14]/Tabella11[[#This Row],[Temperatura]]))    )</f>
        <v>1.5583222405832031E-3</v>
      </c>
      <c r="S39" s="32" cm="1">
        <f t="array" ref="S39">(    (Tabella12[Theta vib15]/Tabella11[[#This Row],[Temperatura]]) /(EXP(Tabella12[Theta vib15]/Tabella11[[#This Row],[Temperatura]])-1) - LN(1-EXP(-Tabella12[Theta vib15]/Tabella11[[#This Row],[Temperatura]]))    )</f>
        <v>1.3603201240582491E-3</v>
      </c>
      <c r="T39" s="32" cm="1">
        <f t="array" ref="T39">(    (Tabella12[Theta vib16]/Tabella11[[#This Row],[Temperatura]]) /(EXP(Tabella12[Theta vib16]/Tabella11[[#This Row],[Temperatura]])-1) - LN(1-EXP(-Tabella12[Theta vib16]/Tabella11[[#This Row],[Temperatura]]))    )</f>
        <v>1.3603201240582491E-3</v>
      </c>
      <c r="U39" s="32" cm="1">
        <f t="array" ref="U39">(    (Tabella12[Theta vib17]/Tabella11[[#This Row],[Temperatura]]) /(EXP(Tabella12[Theta vib17]/Tabella11[[#This Row],[Temperatura]])-1) - LN(1-EXP(-Tabella12[Theta vib17]/Tabella11[[#This Row],[Temperatura]]))    )</f>
        <v>1.2800564970981657E-3</v>
      </c>
      <c r="V39" s="32" cm="1">
        <f t="array" ref="V39">(    (Tabella12[Theta vib18]/Tabella11[[#This Row],[Temperatura]]) /(EXP(Tabella12[Theta vib18]/Tabella11[[#This Row],[Temperatura]])-1) - LN(1-EXP(-Tabella12[Theta vib18]/Tabella11[[#This Row],[Temperatura]]))    )</f>
        <v>1.2800564970981657E-3</v>
      </c>
      <c r="W39" s="32" cm="1">
        <f t="array" ref="W39">Tabella3[Rydberg R]*SUM(Tabella11[[#This Row],[S vib 1]:[S vib 18]])</f>
        <v>23.342015990942567</v>
      </c>
      <c r="Y39" s="147"/>
    </row>
    <row r="40" spans="1:25" x14ac:dyDescent="0.35">
      <c r="A40" s="56"/>
      <c r="B40" s="18">
        <v>1754.08</v>
      </c>
      <c r="D40" s="58">
        <v>600</v>
      </c>
      <c r="E40" s="58" cm="1">
        <f t="array" ref="E40">(    (Tabella12[Theta vib 1]/Tabella11[[#This Row],[Temperatura]]) /(EXP(Tabella12[Theta vib 1]/Tabella11[[#This Row],[Temperatura]])-1) - LN(1-EXP(-Tabella12[Theta vib 1]/Tabella11[[#This Row],[Temperatura]]))    )</f>
        <v>1.3247337342524808</v>
      </c>
      <c r="F40" s="32" cm="1">
        <f t="array" ref="F40">(    (Tabella12[Theta vib2]/Tabella11[[#This Row],[Temperatura]]) /(EXP(Tabella12[Theta vib2]/Tabella11[[#This Row],[Temperatura]])-1) - LN(1-EXP(-Tabella12[Theta vib3]/Tabella11[[#This Row],[Temperatura]]))    )</f>
        <v>0.46684158267505149</v>
      </c>
      <c r="G40" s="32" cm="1">
        <f t="array" ref="G40">(    (Tabella12[Theta vib3]/Tabella11[[#This Row],[Temperatura]]) /(EXP(Tabella12[Theta vib3]/Tabella11[[#This Row],[Temperatura]])-1) - LN(1-EXP(-Tabella12[Theta vib3]/Tabella11[[#This Row],[Temperatura]]))    )</f>
        <v>0.46684158267505149</v>
      </c>
      <c r="H40" s="32" cm="1">
        <f t="array" ref="H40" xml:space="preserve">   (Tabella12[Theta vib4]/Tabella11[[#This Row],[Temperatura]]) /(EXP(Tabella12[Theta vib4]/Tabella11[[#This Row],[Temperatura]])-1) - LN(1-EXP(-Tabella12[Theta vib4]/Tabella11[[#This Row],[Temperatura]]))</f>
        <v>0.33602291264956241</v>
      </c>
      <c r="I40" s="32" cm="1">
        <f t="array" ref="I40">(    (Tabella12[Theta vib5]/Tabella11[[#This Row],[Temperatura]]) /(EXP(Tabella12[Theta vib5]/Tabella11[[#This Row],[Temperatura]])-1) - LN(1-EXP(-Tabella12[Theta vib5]/Tabella11[[#This Row],[Temperatura]]))    )</f>
        <v>0.22129786076469077</v>
      </c>
      <c r="J40" s="32" cm="1">
        <f t="array" ref="J40">(    (Tabella12[Theta vib6]/Tabella11[[#This Row],[Temperatura]]) /(EXP(Tabella12[Theta vib6]/Tabella11[[#This Row],[Temperatura]])-1) - LN(1-EXP(-Tabella12[Theta vib6]/Tabella11[[#This Row],[Temperatura]]))    )</f>
        <v>0.22129786076469077</v>
      </c>
      <c r="K40" s="32" cm="1">
        <f t="array" ref="K40">(    (Tabella12[Theta vib7]/Tabella11[[#This Row],[Temperatura]]) /(EXP(Tabella12[Theta vib7]/Tabella11[[#This Row],[Temperatura]])-1) - LN(1-EXP(-Tabella12[Theta vib7]/Tabella11[[#This Row],[Temperatura]]))    )</f>
        <v>0.15412504489542417</v>
      </c>
      <c r="L40" s="32" cm="1">
        <f t="array" ref="L40">(    (Tabella12[Theta vib8]/Tabella11[[#This Row],[Temperatura]]) /(EXP(Tabella12[Theta vib8]/Tabella11[[#This Row],[Temperatura]])-1) - LN(1-EXP(-Tabella12[Theta vib8]/Tabella11[[#This Row],[Temperatura]]))    )</f>
        <v>0.14784907952494736</v>
      </c>
      <c r="M40" s="32" cm="1">
        <f t="array" ref="M40">(    (Tabella12[Theta vib9]/Tabella11[[#This Row],[Temperatura]]) /(EXP(Tabella12[Theta vib9]/Tabella11[[#This Row],[Temperatura]])-1) - LN(1-EXP(-Tabella12[Theta vib9]/Tabella11[[#This Row],[Temperatura]]))    )</f>
        <v>0.12719820148199071</v>
      </c>
      <c r="N40" s="32" cm="1">
        <f t="array" ref="N40">(    (Tabella12[Theta vib10]/Tabella11[[#This Row],[Temperatura]]) /(EXP(Tabella12[Theta vib10]/Tabella11[[#This Row],[Temperatura]])-1) - LN(1-EXP(-Tabella12[Theta vib10]/Tabella11[[#This Row],[Temperatura]]))    )</f>
        <v>0.12719820148199071</v>
      </c>
      <c r="O40" s="32" cm="1">
        <f t="array" ref="O40">(    (Tabella12[Theta vib10]/Tabella11[[#This Row],[Temperatura]]) /(EXP(Tabella12[Theta vib11]/Tabella11[[#This Row],[Temperatura]])-1) - LN(1-EXP(-Tabella12[Theta vib11]/Tabella11[[#This Row],[Temperatura]]))    )</f>
        <v>0.12669093260785977</v>
      </c>
      <c r="P40" s="32" cm="1">
        <f t="array" ref="P40">(    (Tabella12[Theta vib12]/Tabella11[[#This Row],[Temperatura]]) /(EXP(Tabella12[Theta vib12]/Tabella11[[#This Row],[Temperatura]])-1) - LN(1-EXP(-Tabella12[Theta vib12]/Tabella11[[#This Row],[Temperatura]]))    )</f>
        <v>0.1267982907997488</v>
      </c>
      <c r="Q40" s="32" cm="1">
        <f t="array" ref="Q40">(    (Tabella12[Theta vib13]/Tabella11[[#This Row],[Temperatura]]) /(EXP(Tabella12[Theta vib13]/Tabella11[[#This Row],[Temperatura]])-1) - LN(1-EXP(-Tabella12[Theta vib13]/Tabella11[[#This Row],[Temperatura]]))    )</f>
        <v>5.703459212572968E-3</v>
      </c>
      <c r="R40" s="32" cm="1">
        <f t="array" ref="R40">(    (Tabella12[Theta vib14]/Tabella11[[#This Row],[Temperatura]]) /(EXP(Tabella12[Theta vib14]/Tabella11[[#This Row],[Temperatura]])-1) - LN(1-EXP(-Tabella12[Theta vib14]/Tabella11[[#This Row],[Temperatura]]))    )</f>
        <v>5.6909267308997008E-3</v>
      </c>
      <c r="S40" s="32" cm="1">
        <f t="array" ref="S40">(    (Tabella12[Theta vib15]/Tabella11[[#This Row],[Temperatura]]) /(EXP(Tabella12[Theta vib15]/Tabella11[[#This Row],[Temperatura]])-1) - LN(1-EXP(-Tabella12[Theta vib15]/Tabella11[[#This Row],[Temperatura]]))    )</f>
        <v>5.0928331441377813E-3</v>
      </c>
      <c r="T40" s="32" cm="1">
        <f t="array" ref="T40">(    (Tabella12[Theta vib16]/Tabella11[[#This Row],[Temperatura]]) /(EXP(Tabella12[Theta vib16]/Tabella11[[#This Row],[Temperatura]])-1) - LN(1-EXP(-Tabella12[Theta vib16]/Tabella11[[#This Row],[Temperatura]]))    )</f>
        <v>5.0928331441377813E-3</v>
      </c>
      <c r="U40" s="32" cm="1">
        <f t="array" ref="U40">(    (Tabella12[Theta vib17]/Tabella11[[#This Row],[Temperatura]]) /(EXP(Tabella12[Theta vib17]/Tabella11[[#This Row],[Temperatura]])-1) - LN(1-EXP(-Tabella12[Theta vib17]/Tabella11[[#This Row],[Temperatura]]))    )</f>
        <v>4.8458922700479528E-3</v>
      </c>
      <c r="V40" s="32" cm="1">
        <f t="array" ref="V40">(    (Tabella12[Theta vib18]/Tabella11[[#This Row],[Temperatura]]) /(EXP(Tabella12[Theta vib18]/Tabella11[[#This Row],[Temperatura]])-1) - LN(1-EXP(-Tabella12[Theta vib18]/Tabella11[[#This Row],[Temperatura]]))    )</f>
        <v>4.8458922700479528E-3</v>
      </c>
      <c r="W40" s="32" cm="1">
        <f t="array" ref="W40">Tabella3[Rydberg R]*SUM(Tabella11[[#This Row],[S vib 1]:[S vib 18]])</f>
        <v>32.244875556782446</v>
      </c>
      <c r="Y40" s="147"/>
    </row>
    <row r="41" spans="1:25" x14ac:dyDescent="0.35">
      <c r="A41" s="56"/>
      <c r="B41" s="18">
        <v>2026.31</v>
      </c>
      <c r="D41" s="58">
        <v>700</v>
      </c>
      <c r="E41" s="58" cm="1">
        <f t="array" ref="E41">(    (Tabella12[Theta vib 1]/Tabella11[[#This Row],[Temperatura]]) /(EXP(Tabella12[Theta vib 1]/Tabella11[[#This Row],[Temperatura]])-1) - LN(1-EXP(-Tabella12[Theta vib 1]/Tabella11[[#This Row],[Temperatura]]))    )</f>
        <v>1.4729856007239008</v>
      </c>
      <c r="F41" s="32" cm="1">
        <f t="array" ref="F41">(    (Tabella12[Theta vib2]/Tabella11[[#This Row],[Temperatura]]) /(EXP(Tabella12[Theta vib2]/Tabella11[[#This Row],[Temperatura]])-1) - LN(1-EXP(-Tabella12[Theta vib3]/Tabella11[[#This Row],[Temperatura]]))    )</f>
        <v>0.58422288246410692</v>
      </c>
      <c r="G41" s="32" cm="1">
        <f t="array" ref="G41">(    (Tabella12[Theta vib3]/Tabella11[[#This Row],[Temperatura]]) /(EXP(Tabella12[Theta vib3]/Tabella11[[#This Row],[Temperatura]])-1) - LN(1-EXP(-Tabella12[Theta vib3]/Tabella11[[#This Row],[Temperatura]]))    )</f>
        <v>0.58422288246410692</v>
      </c>
      <c r="H41" s="32" cm="1">
        <f t="array" ref="H41" xml:space="preserve">   (Tabella12[Theta vib4]/Tabella11[[#This Row],[Temperatura]]) /(EXP(Tabella12[Theta vib4]/Tabella11[[#This Row],[Temperatura]])-1) - LN(1-EXP(-Tabella12[Theta vib4]/Tabella11[[#This Row],[Temperatura]]))</f>
        <v>0.43989565892258853</v>
      </c>
      <c r="I41" s="32" cm="1">
        <f t="array" ref="I41">(    (Tabella12[Theta vib5]/Tabella11[[#This Row],[Temperatura]]) /(EXP(Tabella12[Theta vib5]/Tabella11[[#This Row],[Temperatura]])-1) - LN(1-EXP(-Tabella12[Theta vib5]/Tabella11[[#This Row],[Temperatura]]))    )</f>
        <v>0.3077978416809839</v>
      </c>
      <c r="J41" s="32" cm="1">
        <f t="array" ref="J41">(    (Tabella12[Theta vib6]/Tabella11[[#This Row],[Temperatura]]) /(EXP(Tabella12[Theta vib6]/Tabella11[[#This Row],[Temperatura]])-1) - LN(1-EXP(-Tabella12[Theta vib6]/Tabella11[[#This Row],[Temperatura]]))    )</f>
        <v>0.3077978416809839</v>
      </c>
      <c r="K41" s="32" cm="1">
        <f t="array" ref="K41">(    (Tabella12[Theta vib7]/Tabella11[[#This Row],[Temperatura]]) /(EXP(Tabella12[Theta vib7]/Tabella11[[#This Row],[Temperatura]])-1) - LN(1-EXP(-Tabella12[Theta vib7]/Tabella11[[#This Row],[Temperatura]]))    )</f>
        <v>0.22639727161204917</v>
      </c>
      <c r="L41" s="32" cm="1">
        <f t="array" ref="L41">(    (Tabella12[Theta vib8]/Tabella11[[#This Row],[Temperatura]]) /(EXP(Tabella12[Theta vib8]/Tabella11[[#This Row],[Temperatura]])-1) - LN(1-EXP(-Tabella12[Theta vib8]/Tabella11[[#This Row],[Temperatura]]))    )</f>
        <v>0.21856598142338246</v>
      </c>
      <c r="M41" s="32" cm="1">
        <f t="array" ref="M41">(    (Tabella12[Theta vib9]/Tabella11[[#This Row],[Temperatura]]) /(EXP(Tabella12[Theta vib9]/Tabella11[[#This Row],[Temperatura]])-1) - LN(1-EXP(-Tabella12[Theta vib9]/Tabella11[[#This Row],[Temperatura]]))    )</f>
        <v>0.19244761243059424</v>
      </c>
      <c r="N41" s="32" cm="1">
        <f t="array" ref="N41">(    (Tabella12[Theta vib10]/Tabella11[[#This Row],[Temperatura]]) /(EXP(Tabella12[Theta vib10]/Tabella11[[#This Row],[Temperatura]])-1) - LN(1-EXP(-Tabella12[Theta vib10]/Tabella11[[#This Row],[Temperatura]]))    )</f>
        <v>0.19244761243059424</v>
      </c>
      <c r="O41" s="32" cm="1">
        <f t="array" ref="O41">(    (Tabella12[Theta vib10]/Tabella11[[#This Row],[Temperatura]]) /(EXP(Tabella12[Theta vib11]/Tabella11[[#This Row],[Temperatura]])-1) - LN(1-EXP(-Tabella12[Theta vib11]/Tabella11[[#This Row],[Temperatura]]))    )</f>
        <v>0.1917787956013759</v>
      </c>
      <c r="P41" s="32" cm="1">
        <f t="array" ref="P41">(    (Tabella12[Theta vib12]/Tabella11[[#This Row],[Temperatura]]) /(EXP(Tabella12[Theta vib12]/Tabella11[[#This Row],[Temperatura]])-1) - LN(1-EXP(-Tabella12[Theta vib12]/Tabella11[[#This Row],[Temperatura]]))    )</f>
        <v>0.19193606168463129</v>
      </c>
      <c r="Q41" s="32" cm="1">
        <f t="array" ref="Q41">(    (Tabella12[Theta vib13]/Tabella11[[#This Row],[Temperatura]]) /(EXP(Tabella12[Theta vib13]/Tabella11[[#This Row],[Temperatura]])-1) - LN(1-EXP(-Tabella12[Theta vib13]/Tabella11[[#This Row],[Temperatura]]))    )</f>
        <v>1.4128674948194741E-2</v>
      </c>
      <c r="R41" s="32" cm="1">
        <f t="array" ref="R41">(    (Tabella12[Theta vib14]/Tabella11[[#This Row],[Temperatura]]) /(EXP(Tabella12[Theta vib14]/Tabella11[[#This Row],[Temperatura]])-1) - LN(1-EXP(-Tabella12[Theta vib14]/Tabella11[[#This Row],[Temperatura]]))    )</f>
        <v>1.4102549469696548E-2</v>
      </c>
      <c r="S41" s="32" cm="1">
        <f t="array" ref="S41">(    (Tabella12[Theta vib15]/Tabella11[[#This Row],[Temperatura]]) /(EXP(Tabella12[Theta vib15]/Tabella11[[#This Row],[Temperatura]])-1) - LN(1-EXP(-Tabella12[Theta vib15]/Tabella11[[#This Row],[Temperatura]]))    )</f>
        <v>1.2844588895836298E-2</v>
      </c>
      <c r="T41" s="32" cm="1">
        <f t="array" ref="T41">(    (Tabella12[Theta vib16]/Tabella11[[#This Row],[Temperatura]]) /(EXP(Tabella12[Theta vib16]/Tabella11[[#This Row],[Temperatura]])-1) - LN(1-EXP(-Tabella12[Theta vib16]/Tabella11[[#This Row],[Temperatura]]))    )</f>
        <v>1.2844588895836298E-2</v>
      </c>
      <c r="U41" s="32" cm="1">
        <f t="array" ref="U41">(    (Tabella12[Theta vib17]/Tabella11[[#This Row],[Temperatura]]) /(EXP(Tabella12[Theta vib17]/Tabella11[[#This Row],[Temperatura]])-1) - LN(1-EXP(-Tabella12[Theta vib17]/Tabella11[[#This Row],[Temperatura]]))    )</f>
        <v>1.2318415163869906E-2</v>
      </c>
      <c r="V41" s="32" cm="1">
        <f t="array" ref="V41">(    (Tabella12[Theta vib18]/Tabella11[[#This Row],[Temperatura]]) /(EXP(Tabella12[Theta vib18]/Tabella11[[#This Row],[Temperatura]])-1) - LN(1-EXP(-Tabella12[Theta vib18]/Tabella11[[#This Row],[Temperatura]]))    )</f>
        <v>1.2318415163869906E-2</v>
      </c>
      <c r="W41" s="32" cm="1">
        <f t="array" ref="W41">Tabella3[Rydberg R]*SUM(Tabella11[[#This Row],[S vib 1]:[S vib 18]])</f>
        <v>41.481296959657257</v>
      </c>
      <c r="Y41" s="147"/>
    </row>
    <row r="42" spans="1:25" x14ac:dyDescent="0.35">
      <c r="A42" s="56"/>
      <c r="B42" s="18">
        <v>2057.39</v>
      </c>
      <c r="D42" s="58">
        <v>800</v>
      </c>
      <c r="E42" s="58" cm="1">
        <f t="array" ref="E42">(    (Tabella12[Theta vib 1]/Tabella11[[#This Row],[Temperatura]]) /(EXP(Tabella12[Theta vib 1]/Tabella11[[#This Row],[Temperatura]])-1) - LN(1-EXP(-Tabella12[Theta vib 1]/Tabella11[[#This Row],[Temperatura]]))    )</f>
        <v>1.6026657756723237</v>
      </c>
      <c r="F42" s="32" cm="1">
        <f t="array" ref="F42">(    (Tabella12[Theta vib2]/Tabella11[[#This Row],[Temperatura]]) /(EXP(Tabella12[Theta vib2]/Tabella11[[#This Row],[Temperatura]])-1) - LN(1-EXP(-Tabella12[Theta vib3]/Tabella11[[#This Row],[Temperatura]]))    )</f>
        <v>0.69293544342979363</v>
      </c>
      <c r="G42" s="32" cm="1">
        <f t="array" ref="G42">(    (Tabella12[Theta vib3]/Tabella11[[#This Row],[Temperatura]]) /(EXP(Tabella12[Theta vib3]/Tabella11[[#This Row],[Temperatura]])-1) - LN(1-EXP(-Tabella12[Theta vib3]/Tabella11[[#This Row],[Temperatura]]))    )</f>
        <v>0.69293544342979363</v>
      </c>
      <c r="H42" s="32" cm="1">
        <f t="array" ref="H42" xml:space="preserve">   (Tabella12[Theta vib4]/Tabella11[[#This Row],[Temperatura]]) /(EXP(Tabella12[Theta vib4]/Tabella11[[#This Row],[Temperatura]])-1) - LN(1-EXP(-Tabella12[Theta vib4]/Tabella11[[#This Row],[Temperatura]]))</f>
        <v>0.5389388835136788</v>
      </c>
      <c r="I42" s="32" cm="1">
        <f t="array" ref="I42">(    (Tabella12[Theta vib5]/Tabella11[[#This Row],[Temperatura]]) /(EXP(Tabella12[Theta vib5]/Tabella11[[#This Row],[Temperatura]])-1) - LN(1-EXP(-Tabella12[Theta vib5]/Tabella11[[#This Row],[Temperatura]]))    )</f>
        <v>0.39386766144506813</v>
      </c>
      <c r="J42" s="32" cm="1">
        <f t="array" ref="J42">(    (Tabella12[Theta vib6]/Tabella11[[#This Row],[Temperatura]]) /(EXP(Tabella12[Theta vib6]/Tabella11[[#This Row],[Temperatura]])-1) - LN(1-EXP(-Tabella12[Theta vib6]/Tabella11[[#This Row],[Temperatura]]))    )</f>
        <v>0.39386766144506813</v>
      </c>
      <c r="K42" s="32" cm="1">
        <f t="array" ref="K42">(    (Tabella12[Theta vib7]/Tabella11[[#This Row],[Temperatura]]) /(EXP(Tabella12[Theta vib7]/Tabella11[[#This Row],[Temperatura]])-1) - LN(1-EXP(-Tabella12[Theta vib7]/Tabella11[[#This Row],[Temperatura]]))    )</f>
        <v>0.30130592648026688</v>
      </c>
      <c r="L42" s="32" cm="1">
        <f t="array" ref="L42">(    (Tabella12[Theta vib8]/Tabella11[[#This Row],[Temperatura]]) /(EXP(Tabella12[Theta vib8]/Tabella11[[#This Row],[Temperatura]])-1) - LN(1-EXP(-Tabella12[Theta vib8]/Tabella11[[#This Row],[Temperatura]]))    )</f>
        <v>0.29222077580045186</v>
      </c>
      <c r="M42" s="32" cm="1">
        <f t="array" ref="M42">(    (Tabella12[Theta vib9]/Tabella11[[#This Row],[Temperatura]]) /(EXP(Tabella12[Theta vib9]/Tabella11[[#This Row],[Temperatura]])-1) - LN(1-EXP(-Tabella12[Theta vib9]/Tabella11[[#This Row],[Temperatura]]))    )</f>
        <v>0.26163609844190844</v>
      </c>
      <c r="N42" s="32" cm="1">
        <f t="array" ref="N42">(    (Tabella12[Theta vib10]/Tabella11[[#This Row],[Temperatura]]) /(EXP(Tabella12[Theta vib10]/Tabella11[[#This Row],[Temperatura]])-1) - LN(1-EXP(-Tabella12[Theta vib10]/Tabella11[[#This Row],[Temperatura]]))    )</f>
        <v>0.26163609844190844</v>
      </c>
      <c r="O42" s="32" cm="1">
        <f t="array" ref="O42">(    (Tabella12[Theta vib10]/Tabella11[[#This Row],[Temperatura]]) /(EXP(Tabella12[Theta vib11]/Tabella11[[#This Row],[Temperatura]])-1) - LN(1-EXP(-Tabella12[Theta vib11]/Tabella11[[#This Row],[Temperatura]]))    )</f>
        <v>0.26082493798501188</v>
      </c>
      <c r="P42" s="32" cm="1">
        <f t="array" ref="P42">(    (Tabella12[Theta vib12]/Tabella11[[#This Row],[Temperatura]]) /(EXP(Tabella12[Theta vib12]/Tabella11[[#This Row],[Temperatura]])-1) - LN(1-EXP(-Tabella12[Theta vib12]/Tabella11[[#This Row],[Temperatura]]))    )</f>
        <v>0.2610323641879615</v>
      </c>
      <c r="Q42" s="32" cm="1">
        <f t="array" ref="Q42">(    (Tabella12[Theta vib13]/Tabella11[[#This Row],[Temperatura]]) /(EXP(Tabella12[Theta vib13]/Tabella11[[#This Row],[Temperatura]])-1) - LN(1-EXP(-Tabella12[Theta vib13]/Tabella11[[#This Row],[Temperatura]]))    )</f>
        <v>2.7562836953309317E-2</v>
      </c>
      <c r="R42" s="32" cm="1">
        <f t="array" ref="R42">(    (Tabella12[Theta vib14]/Tabella11[[#This Row],[Temperatura]]) /(EXP(Tabella12[Theta vib14]/Tabella11[[#This Row],[Temperatura]])-1) - LN(1-EXP(-Tabella12[Theta vib14]/Tabella11[[#This Row],[Temperatura]]))    )</f>
        <v>2.7518988526843449E-2</v>
      </c>
      <c r="S42" s="32" cm="1">
        <f t="array" ref="S42">(    (Tabella12[Theta vib15]/Tabella11[[#This Row],[Temperatura]]) /(EXP(Tabella12[Theta vib15]/Tabella11[[#This Row],[Temperatura]])-1) - LN(1-EXP(-Tabella12[Theta vib15]/Tabella11[[#This Row],[Temperatura]]))    )</f>
        <v>2.5393666482911702E-2</v>
      </c>
      <c r="T42" s="32" cm="1">
        <f t="array" ref="T42">(    (Tabella12[Theta vib16]/Tabella11[[#This Row],[Temperatura]]) /(EXP(Tabella12[Theta vib16]/Tabella11[[#This Row],[Temperatura]])-1) - LN(1-EXP(-Tabella12[Theta vib16]/Tabella11[[#This Row],[Temperatura]]))    )</f>
        <v>2.5393666482911702E-2</v>
      </c>
      <c r="U42" s="32" cm="1">
        <f t="array" ref="U42">(    (Tabella12[Theta vib17]/Tabella11[[#This Row],[Temperatura]]) /(EXP(Tabella12[Theta vib17]/Tabella11[[#This Row],[Temperatura]])-1) - LN(1-EXP(-Tabella12[Theta vib17]/Tabella11[[#This Row],[Temperatura]]))    )</f>
        <v>2.4496134475884168E-2</v>
      </c>
      <c r="V42" s="32" cm="1">
        <f t="array" ref="V42">(    (Tabella12[Theta vib18]/Tabella11[[#This Row],[Temperatura]]) /(EXP(Tabella12[Theta vib18]/Tabella11[[#This Row],[Temperatura]])-1) - LN(1-EXP(-Tabella12[Theta vib18]/Tabella11[[#This Row],[Temperatura]]))    )</f>
        <v>2.4496134475884168E-2</v>
      </c>
      <c r="W42" s="32" cm="1">
        <f t="array" ref="W42">Tabella3[Rydberg R]*SUM(Tabella11[[#This Row],[S vib 1]:[S vib 18]])</f>
        <v>50.790794737396652</v>
      </c>
      <c r="Y42" s="147"/>
    </row>
    <row r="43" spans="1:25" x14ac:dyDescent="0.35">
      <c r="A43" s="137"/>
      <c r="B43" s="18">
        <v>2169.4899999999998</v>
      </c>
      <c r="D43" s="58">
        <v>900</v>
      </c>
      <c r="E43" s="58" cm="1">
        <f t="array" ref="E43">(    (Tabella12[Theta vib 1]/Tabella11[[#This Row],[Temperatura]]) /(EXP(Tabella12[Theta vib 1]/Tabella11[[#This Row],[Temperatura]])-1) - LN(1-EXP(-Tabella12[Theta vib 1]/Tabella11[[#This Row],[Temperatura]]))    )</f>
        <v>1.7177980397340593</v>
      </c>
      <c r="F43" s="32" cm="1">
        <f t="array" ref="F43">(    (Tabella12[Theta vib2]/Tabella11[[#This Row],[Temperatura]]) /(EXP(Tabella12[Theta vib2]/Tabella11[[#This Row],[Temperatura]])-1) - LN(1-EXP(-Tabella12[Theta vib3]/Tabella11[[#This Row],[Temperatura]]))    )</f>
        <v>0.79324493097389626</v>
      </c>
      <c r="G43" s="32" cm="1">
        <f t="array" ref="G43">(    (Tabella12[Theta vib3]/Tabella11[[#This Row],[Temperatura]]) /(EXP(Tabella12[Theta vib3]/Tabella11[[#This Row],[Temperatura]])-1) - LN(1-EXP(-Tabella12[Theta vib3]/Tabella11[[#This Row],[Temperatura]]))    )</f>
        <v>0.79324493097389626</v>
      </c>
      <c r="H43" s="32" cm="1">
        <f t="array" ref="H43" xml:space="preserve">   (Tabella12[Theta vib4]/Tabella11[[#This Row],[Temperatura]]) /(EXP(Tabella12[Theta vib4]/Tabella11[[#This Row],[Temperatura]])-1) - LN(1-EXP(-Tabella12[Theta vib4]/Tabella11[[#This Row],[Temperatura]]))</f>
        <v>0.63216602652211662</v>
      </c>
      <c r="I43" s="32" cm="1">
        <f t="array" ref="I43">(    (Tabella12[Theta vib5]/Tabella11[[#This Row],[Temperatura]]) /(EXP(Tabella12[Theta vib5]/Tabella11[[#This Row],[Temperatura]])-1) - LN(1-EXP(-Tabella12[Theta vib5]/Tabella11[[#This Row],[Temperatura]]))    )</f>
        <v>0.47730979236845189</v>
      </c>
      <c r="J43" s="32" cm="1">
        <f t="array" ref="J43">(    (Tabella12[Theta vib6]/Tabella11[[#This Row],[Temperatura]]) /(EXP(Tabella12[Theta vib6]/Tabella11[[#This Row],[Temperatura]])-1) - LN(1-EXP(-Tabella12[Theta vib6]/Tabella11[[#This Row],[Temperatura]]))    )</f>
        <v>0.47730979236845189</v>
      </c>
      <c r="K43" s="32" cm="1">
        <f t="array" ref="K43">(    (Tabella12[Theta vib7]/Tabella11[[#This Row],[Temperatura]]) /(EXP(Tabella12[Theta vib7]/Tabella11[[#This Row],[Temperatura]])-1) - LN(1-EXP(-Tabella12[Theta vib7]/Tabella11[[#This Row],[Temperatura]]))    )</f>
        <v>0.37603502196945215</v>
      </c>
      <c r="L43" s="32" cm="1">
        <f t="array" ref="L43">(    (Tabella12[Theta vib8]/Tabella11[[#This Row],[Temperatura]]) /(EXP(Tabella12[Theta vib8]/Tabella11[[#This Row],[Temperatura]])-1) - LN(1-EXP(-Tabella12[Theta vib8]/Tabella11[[#This Row],[Temperatura]]))    )</f>
        <v>0.36595209698330328</v>
      </c>
      <c r="M43" s="32" cm="1">
        <f t="array" ref="M43">(    (Tabella12[Theta vib9]/Tabella11[[#This Row],[Temperatura]]) /(EXP(Tabella12[Theta vib9]/Tabella11[[#This Row],[Temperatura]])-1) - LN(1-EXP(-Tabella12[Theta vib9]/Tabella11[[#This Row],[Temperatura]]))    )</f>
        <v>0.33177971779331128</v>
      </c>
      <c r="N43" s="32" cm="1">
        <f t="array" ref="N43">(    (Tabella12[Theta vib10]/Tabella11[[#This Row],[Temperatura]]) /(EXP(Tabella12[Theta vib10]/Tabella11[[#This Row],[Temperatura]])-1) - LN(1-EXP(-Tabella12[Theta vib10]/Tabella11[[#This Row],[Temperatura]]))    )</f>
        <v>0.33177971779331128</v>
      </c>
      <c r="O43" s="32" cm="1">
        <f t="array" ref="O43">(    (Tabella12[Theta vib10]/Tabella11[[#This Row],[Temperatura]]) /(EXP(Tabella12[Theta vib11]/Tabella11[[#This Row],[Temperatura]])-1) - LN(1-EXP(-Tabella12[Theta vib11]/Tabella11[[#This Row],[Temperatura]]))    )</f>
        <v>0.33084568761373867</v>
      </c>
      <c r="P43" s="32" cm="1">
        <f t="array" ref="P43">(    (Tabella12[Theta vib12]/Tabella11[[#This Row],[Temperatura]]) /(EXP(Tabella12[Theta vib12]/Tabella11[[#This Row],[Temperatura]])-1) - LN(1-EXP(-Tabella12[Theta vib12]/Tabella11[[#This Row],[Temperatura]]))    )</f>
        <v>0.33110136597523715</v>
      </c>
      <c r="Q43" s="32" cm="1">
        <f t="array" ref="Q43">(    (Tabella12[Theta vib13]/Tabella11[[#This Row],[Temperatura]]) /(EXP(Tabella12[Theta vib13]/Tabella11[[#This Row],[Temperatura]])-1) - LN(1-EXP(-Tabella12[Theta vib13]/Tabella11[[#This Row],[Temperatura]]))    )</f>
        <v>4.5963811938022618E-2</v>
      </c>
      <c r="R43" s="32" cm="1">
        <f t="array" ref="R43">(    (Tabella12[Theta vib14]/Tabella11[[#This Row],[Temperatura]]) /(EXP(Tabella12[Theta vib14]/Tabella11[[#This Row],[Temperatura]])-1) - LN(1-EXP(-Tabella12[Theta vib14]/Tabella11[[#This Row],[Temperatura]]))    )</f>
        <v>4.5899792628462624E-2</v>
      </c>
      <c r="S43" s="32" cm="1">
        <f t="array" ref="S43">(    (Tabella12[Theta vib15]/Tabella11[[#This Row],[Temperatura]]) /(EXP(Tabella12[Theta vib15]/Tabella11[[#This Row],[Temperatura]])-1) - LN(1-EXP(-Tabella12[Theta vib15]/Tabella11[[#This Row],[Temperatura]]))    )</f>
        <v>4.278111391415336E-2</v>
      </c>
      <c r="T43" s="32" cm="1">
        <f t="array" ref="T43">(    (Tabella12[Theta vib16]/Tabella11[[#This Row],[Temperatura]]) /(EXP(Tabella12[Theta vib16]/Tabella11[[#This Row],[Temperatura]])-1) - LN(1-EXP(-Tabella12[Theta vib16]/Tabella11[[#This Row],[Temperatura]]))    )</f>
        <v>4.278111391415336E-2</v>
      </c>
      <c r="U43" s="32" cm="1">
        <f t="array" ref="U43">(    (Tabella12[Theta vib17]/Tabella11[[#This Row],[Temperatura]]) /(EXP(Tabella12[Theta vib17]/Tabella11[[#This Row],[Temperatura]])-1) - LN(1-EXP(-Tabella12[Theta vib17]/Tabella11[[#This Row],[Temperatura]]))    )</f>
        <v>4.1454435871532962E-2</v>
      </c>
      <c r="V43" s="32" cm="1">
        <f t="array" ref="V43">(    (Tabella12[Theta vib18]/Tabella11[[#This Row],[Temperatura]]) /(EXP(Tabella12[Theta vib18]/Tabella11[[#This Row],[Temperatura]])-1) - LN(1-EXP(-Tabella12[Theta vib18]/Tabella11[[#This Row],[Temperatura]]))    )</f>
        <v>4.1454435871532962E-2</v>
      </c>
      <c r="W43" s="32" cm="1">
        <f t="array" ref="W43">Tabella3[Rydberg R]*SUM(Tabella11[[#This Row],[S vib 1]:[S vib 18]])</f>
        <v>60.021289368696266</v>
      </c>
      <c r="Y43" s="147"/>
    </row>
    <row r="44" spans="1:25" x14ac:dyDescent="0.35">
      <c r="A44" s="60"/>
      <c r="B44" s="18">
        <v>2169.4899999999998</v>
      </c>
      <c r="D44" s="58">
        <v>1000</v>
      </c>
      <c r="E44" s="58" cm="1">
        <f t="array" ref="E44">(    (Tabella12[Theta vib 1]/Tabella11[[#This Row],[Temperatura]]) /(EXP(Tabella12[Theta vib 1]/Tabella11[[#This Row],[Temperatura]])-1) - LN(1-EXP(-Tabella12[Theta vib 1]/Tabella11[[#This Row],[Temperatura]]))    )</f>
        <v>1.8212572613455613</v>
      </c>
      <c r="F44" s="32" cm="1">
        <f t="array" ref="F44">(    (Tabella12[Theta vib2]/Tabella11[[#This Row],[Temperatura]]) /(EXP(Tabella12[Theta vib2]/Tabella11[[#This Row],[Temperatura]])-1) - LN(1-EXP(-Tabella12[Theta vib3]/Tabella11[[#This Row],[Temperatura]]))    )</f>
        <v>0.88586969187875952</v>
      </c>
      <c r="G44" s="32" cm="1">
        <f t="array" ref="G44">(    (Tabella12[Theta vib3]/Tabella11[[#This Row],[Temperatura]]) /(EXP(Tabella12[Theta vib3]/Tabella11[[#This Row],[Temperatura]])-1) - LN(1-EXP(-Tabella12[Theta vib3]/Tabella11[[#This Row],[Temperatura]]))    )</f>
        <v>0.88586969187875952</v>
      </c>
      <c r="H44" s="32" cm="1">
        <f t="array" ref="H44" xml:space="preserve">   (Tabella12[Theta vib4]/Tabella11[[#This Row],[Temperatura]]) /(EXP(Tabella12[Theta vib4]/Tabella11[[#This Row],[Temperatura]])-1) - LN(1-EXP(-Tabella12[Theta vib4]/Tabella11[[#This Row],[Temperatura]]))</f>
        <v>0.71948272388352885</v>
      </c>
      <c r="I44" s="32" cm="1">
        <f t="array" ref="I44">(    (Tabella12[Theta vib5]/Tabella11[[#This Row],[Temperatura]]) /(EXP(Tabella12[Theta vib5]/Tabella11[[#This Row],[Temperatura]])-1) - LN(1-EXP(-Tabella12[Theta vib5]/Tabella11[[#This Row],[Temperatura]]))    )</f>
        <v>0.55713687014518221</v>
      </c>
      <c r="J44" s="32" cm="1">
        <f t="array" ref="J44">(    (Tabella12[Theta vib6]/Tabella11[[#This Row],[Temperatura]]) /(EXP(Tabella12[Theta vib6]/Tabella11[[#This Row],[Temperatura]])-1) - LN(1-EXP(-Tabella12[Theta vib6]/Tabella11[[#This Row],[Temperatura]]))    )</f>
        <v>0.55713687014518221</v>
      </c>
      <c r="K44" s="32" cm="1">
        <f t="array" ref="K44">(    (Tabella12[Theta vib7]/Tabella11[[#This Row],[Temperatura]]) /(EXP(Tabella12[Theta vib7]/Tabella11[[#This Row],[Temperatura]])-1) - LN(1-EXP(-Tabella12[Theta vib7]/Tabella11[[#This Row],[Temperatura]]))    )</f>
        <v>0.44902474489270372</v>
      </c>
      <c r="L44" s="32" cm="1">
        <f t="array" ref="L44">(    (Tabella12[Theta vib8]/Tabella11[[#This Row],[Temperatura]]) /(EXP(Tabella12[Theta vib8]/Tabella11[[#This Row],[Temperatura]])-1) - LN(1-EXP(-Tabella12[Theta vib8]/Tabella11[[#This Row],[Temperatura]]))    )</f>
        <v>0.43814787015835033</v>
      </c>
      <c r="M44" s="32" cm="1">
        <f t="array" ref="M44">(    (Tabella12[Theta vib9]/Tabella11[[#This Row],[Temperatura]]) /(EXP(Tabella12[Theta vib9]/Tabella11[[#This Row],[Temperatura]])-1) - LN(1-EXP(-Tabella12[Theta vib9]/Tabella11[[#This Row],[Temperatura]]))    )</f>
        <v>0.40110091096193617</v>
      </c>
      <c r="N44" s="32" cm="1">
        <f t="array" ref="N44">(    (Tabella12[Theta vib10]/Tabella11[[#This Row],[Temperatura]]) /(EXP(Tabella12[Theta vib10]/Tabella11[[#This Row],[Temperatura]])-1) - LN(1-EXP(-Tabella12[Theta vib10]/Tabella11[[#This Row],[Temperatura]]))    )</f>
        <v>0.40110091096193617</v>
      </c>
      <c r="O44" s="32" cm="1">
        <f t="array" ref="O44">(    (Tabella12[Theta vib10]/Tabella11[[#This Row],[Temperatura]]) /(EXP(Tabella12[Theta vib11]/Tabella11[[#This Row],[Temperatura]])-1) - LN(1-EXP(-Tabella12[Theta vib11]/Tabella11[[#This Row],[Temperatura]]))    )</f>
        <v>0.40006144676656386</v>
      </c>
      <c r="P44" s="32" cm="1">
        <f t="array" ref="P44">(    (Tabella12[Theta vib12]/Tabella11[[#This Row],[Temperatura]]) /(EXP(Tabella12[Theta vib12]/Tabella11[[#This Row],[Temperatura]])-1) - LN(1-EXP(-Tabella12[Theta vib12]/Tabella11[[#This Row],[Temperatura]]))    )</f>
        <v>0.4003624374745931</v>
      </c>
      <c r="Q44" s="32" cm="1">
        <f t="array" ref="Q44">(    (Tabella12[Theta vib13]/Tabella11[[#This Row],[Temperatura]]) /(EXP(Tabella12[Theta vib13]/Tabella11[[#This Row],[Temperatura]])-1) - LN(1-EXP(-Tabella12[Theta vib13]/Tabella11[[#This Row],[Temperatura]]))    )</f>
        <v>6.8794354519766759E-2</v>
      </c>
      <c r="R44" s="32" cm="1">
        <f t="array" ref="R44">(    (Tabella12[Theta vib14]/Tabella11[[#This Row],[Temperatura]]) /(EXP(Tabella12[Theta vib14]/Tabella11[[#This Row],[Temperatura]])-1) - LN(1-EXP(-Tabella12[Theta vib14]/Tabella11[[#This Row],[Temperatura]]))    )</f>
        <v>6.8709256317906295E-2</v>
      </c>
      <c r="S44" s="32" cm="1">
        <f t="array" ref="S44">(    (Tabella12[Theta vib15]/Tabella11[[#This Row],[Temperatura]]) /(EXP(Tabella12[Theta vib15]/Tabella11[[#This Row],[Temperatura]])-1) - LN(1-EXP(-Tabella12[Theta vib15]/Tabella11[[#This Row],[Temperatura]]))    )</f>
        <v>6.4547385984965899E-2</v>
      </c>
      <c r="T44" s="32" cm="1">
        <f t="array" ref="T44">(    (Tabella12[Theta vib16]/Tabella11[[#This Row],[Temperatura]]) /(EXP(Tabella12[Theta vib16]/Tabella11[[#This Row],[Temperatura]])-1) - LN(1-EXP(-Tabella12[Theta vib16]/Tabella11[[#This Row],[Temperatura]]))    )</f>
        <v>6.4547385984965899E-2</v>
      </c>
      <c r="U44" s="32" cm="1">
        <f t="array" ref="U44">(    (Tabella12[Theta vib17]/Tabella11[[#This Row],[Temperatura]]) /(EXP(Tabella12[Theta vib17]/Tabella11[[#This Row],[Temperatura]])-1) - LN(1-EXP(-Tabella12[Theta vib17]/Tabella11[[#This Row],[Temperatura]]))    )</f>
        <v>6.2766839695858986E-2</v>
      </c>
      <c r="V44" s="32" cm="1">
        <f t="array" ref="V44">(    (Tabella12[Theta vib18]/Tabella11[[#This Row],[Temperatura]]) /(EXP(Tabella12[Theta vib18]/Tabella11[[#This Row],[Temperatura]])-1) - LN(1-EXP(-Tabella12[Theta vib18]/Tabella11[[#This Row],[Temperatura]]))    )</f>
        <v>6.2766839695858986E-2</v>
      </c>
      <c r="W44" s="32" cm="1">
        <f t="array" ref="W44">Tabella3[Rydberg R]*SUM(Tabella11[[#This Row],[S vib 1]:[S vib 18]])</f>
        <v>69.082238304784497</v>
      </c>
      <c r="Y44" s="147"/>
    </row>
    <row r="45" spans="1:25" x14ac:dyDescent="0.35">
      <c r="A45" s="60"/>
      <c r="B45" s="18">
        <v>2171.83</v>
      </c>
      <c r="D45" s="58">
        <v>1100</v>
      </c>
      <c r="E45" s="58" cm="1">
        <f t="array" ref="E45">(    (Tabella12[Theta vib 1]/Tabella11[[#This Row],[Temperatura]]) /(EXP(Tabella12[Theta vib 1]/Tabella11[[#This Row],[Temperatura]])-1) - LN(1-EXP(-Tabella12[Theta vib 1]/Tabella11[[#This Row],[Temperatura]]))    )</f>
        <v>1.915157889590168</v>
      </c>
      <c r="F45" s="32" cm="1">
        <f t="array" ref="F45">(    (Tabella12[Theta vib2]/Tabella11[[#This Row],[Temperatura]]) /(EXP(Tabella12[Theta vib2]/Tabella11[[#This Row],[Temperatura]])-1) - LN(1-EXP(-Tabella12[Theta vib3]/Tabella11[[#This Row],[Temperatura]]))    )</f>
        <v>0.97162622432549584</v>
      </c>
      <c r="G45" s="32" cm="1">
        <f t="array" ref="G45">(    (Tabella12[Theta vib3]/Tabella11[[#This Row],[Temperatura]]) /(EXP(Tabella12[Theta vib3]/Tabella11[[#This Row],[Temperatura]])-1) - LN(1-EXP(-Tabella12[Theta vib3]/Tabella11[[#This Row],[Temperatura]]))    )</f>
        <v>0.97162622432549584</v>
      </c>
      <c r="H45" s="32" cm="1">
        <f t="array" ref="H45" xml:space="preserve">   (Tabella12[Theta vib4]/Tabella11[[#This Row],[Temperatura]]) /(EXP(Tabella12[Theta vib4]/Tabella11[[#This Row],[Temperatura]])-1) - LN(1-EXP(-Tabella12[Theta vib4]/Tabella11[[#This Row],[Temperatura]]))</f>
        <v>0.80117540144085742</v>
      </c>
      <c r="I45" s="32" cm="1">
        <f t="array" ref="I45">(    (Tabella12[Theta vib5]/Tabella11[[#This Row],[Temperatura]]) /(EXP(Tabella12[Theta vib5]/Tabella11[[#This Row],[Temperatura]])-1) - LN(1-EXP(-Tabella12[Theta vib5]/Tabella11[[#This Row],[Temperatura]]))    )</f>
        <v>0.63300540954991025</v>
      </c>
      <c r="J45" s="32" cm="1">
        <f t="array" ref="J45">(    (Tabella12[Theta vib6]/Tabella11[[#This Row],[Temperatura]]) /(EXP(Tabella12[Theta vib6]/Tabella11[[#This Row],[Temperatura]])-1) - LN(1-EXP(-Tabella12[Theta vib6]/Tabella11[[#This Row],[Temperatura]]))    )</f>
        <v>0.63300540954991025</v>
      </c>
      <c r="K45" s="32" cm="1">
        <f t="array" ref="K45">(    (Tabella12[Theta vib7]/Tabella11[[#This Row],[Temperatura]]) /(EXP(Tabella12[Theta vib7]/Tabella11[[#This Row],[Temperatura]])-1) - LN(1-EXP(-Tabella12[Theta vib7]/Tabella11[[#This Row],[Temperatura]]))    )</f>
        <v>0.51947675572712271</v>
      </c>
      <c r="L45" s="32" cm="1">
        <f t="array" ref="L45">(    (Tabella12[Theta vib8]/Tabella11[[#This Row],[Temperatura]]) /(EXP(Tabella12[Theta vib8]/Tabella11[[#This Row],[Temperatura]])-1) - LN(1-EXP(-Tabella12[Theta vib8]/Tabella11[[#This Row],[Temperatura]]))    )</f>
        <v>0.5079643481210081</v>
      </c>
      <c r="M45" s="32" cm="1">
        <f t="array" ref="M45">(    (Tabella12[Theta vib9]/Tabella11[[#This Row],[Temperatura]]) /(EXP(Tabella12[Theta vib9]/Tabella11[[#This Row],[Temperatura]])-1) - LN(1-EXP(-Tabella12[Theta vib9]/Tabella11[[#This Row],[Temperatura]]))    )</f>
        <v>0.4686043870039176</v>
      </c>
      <c r="N45" s="32" cm="1">
        <f t="array" ref="N45">(    (Tabella12[Theta vib10]/Tabella11[[#This Row],[Temperatura]]) /(EXP(Tabella12[Theta vib10]/Tabella11[[#This Row],[Temperatura]])-1) - LN(1-EXP(-Tabella12[Theta vib10]/Tabella11[[#This Row],[Temperatura]]))    )</f>
        <v>0.4686043870039176</v>
      </c>
      <c r="O45" s="32" cm="1">
        <f t="array" ref="O45">(    (Tabella12[Theta vib10]/Tabella11[[#This Row],[Temperatura]]) /(EXP(Tabella12[Theta vib11]/Tabella11[[#This Row],[Temperatura]])-1) - LN(1-EXP(-Tabella12[Theta vib11]/Tabella11[[#This Row],[Temperatura]]))    )</f>
        <v>0.4674743480630052</v>
      </c>
      <c r="P45" s="32" cm="1">
        <f t="array" ref="P45">(    (Tabella12[Theta vib12]/Tabella11[[#This Row],[Temperatura]]) /(EXP(Tabella12[Theta vib12]/Tabella11[[#This Row],[Temperatura]])-1) - LN(1-EXP(-Tabella12[Theta vib12]/Tabella11[[#This Row],[Temperatura]]))    )</f>
        <v>0.4678173331202316</v>
      </c>
      <c r="Q45" s="32" cm="1">
        <f t="array" ref="Q45">(    (Tabella12[Theta vib13]/Tabella11[[#This Row],[Temperatura]]) /(EXP(Tabella12[Theta vib13]/Tabella11[[#This Row],[Temperatura]])-1) - LN(1-EXP(-Tabella12[Theta vib13]/Tabella11[[#This Row],[Temperatura]]))    )</f>
        <v>9.5295392641799773E-2</v>
      </c>
      <c r="R45" s="32" cm="1">
        <f t="array" ref="R45">(    (Tabella12[Theta vib14]/Tabella11[[#This Row],[Temperatura]]) /(EXP(Tabella12[Theta vib14]/Tabella11[[#This Row],[Temperatura]])-1) - LN(1-EXP(-Tabella12[Theta vib14]/Tabella11[[#This Row],[Temperatura]]))    )</f>
        <v>9.51894433651225E-2</v>
      </c>
      <c r="S45" s="32" cm="1">
        <f t="array" ref="S45">(    (Tabella12[Theta vib15]/Tabella11[[#This Row],[Temperatura]]) /(EXP(Tabella12[Theta vib15]/Tabella11[[#This Row],[Temperatura]])-1) - LN(1-EXP(-Tabella12[Theta vib15]/Tabella11[[#This Row],[Temperatura]]))    )</f>
        <v>8.9991592847645185E-2</v>
      </c>
      <c r="T45" s="32" cm="1">
        <f t="array" ref="T45">(    (Tabella12[Theta vib16]/Tabella11[[#This Row],[Temperatura]]) /(EXP(Tabella12[Theta vib16]/Tabella11[[#This Row],[Temperatura]])-1) - LN(1-EXP(-Tabella12[Theta vib16]/Tabella11[[#This Row],[Temperatura]]))    )</f>
        <v>8.9991592847645185E-2</v>
      </c>
      <c r="U45" s="32" cm="1">
        <f t="array" ref="U45">(    (Tabella12[Theta vib17]/Tabella11[[#This Row],[Temperatura]]) /(EXP(Tabella12[Theta vib17]/Tabella11[[#This Row],[Temperatura]])-1) - LN(1-EXP(-Tabella12[Theta vib17]/Tabella11[[#This Row],[Temperatura]]))    )</f>
        <v>8.7757770302394039E-2</v>
      </c>
      <c r="V45" s="32" cm="1">
        <f t="array" ref="V45">(    (Tabella12[Theta vib18]/Tabella11[[#This Row],[Temperatura]]) /(EXP(Tabella12[Theta vib18]/Tabella11[[#This Row],[Temperatura]])-1) - LN(1-EXP(-Tabella12[Theta vib18]/Tabella11[[#This Row],[Temperatura]]))    )</f>
        <v>8.7757770302394039E-2</v>
      </c>
      <c r="W45" s="32" cm="1">
        <f t="array" ref="W45">Tabella3[Rydberg R]*SUM(Tabella11[[#This Row],[S vib 1]:[S vib 18]])</f>
        <v>77.919166683201169</v>
      </c>
      <c r="Y45" s="147"/>
    </row>
    <row r="46" spans="1:25" x14ac:dyDescent="0.35">
      <c r="A46" s="60"/>
      <c r="B46" s="18">
        <v>2171.83</v>
      </c>
      <c r="D46" s="58">
        <v>1200</v>
      </c>
      <c r="E46" s="58" cm="1">
        <f t="array" ref="E46">(    (Tabella12[Theta vib 1]/Tabella11[[#This Row],[Temperatura]]) /(EXP(Tabella12[Theta vib 1]/Tabella11[[#This Row],[Temperatura]])-1) - LN(1-EXP(-Tabella12[Theta vib 1]/Tabella11[[#This Row],[Temperatura]]))    )</f>
        <v>2.001095582995744</v>
      </c>
      <c r="F46" s="32" cm="1">
        <f t="array" ref="F46">(    (Tabella12[Theta vib2]/Tabella11[[#This Row],[Temperatura]]) /(EXP(Tabella12[Theta vib2]/Tabella11[[#This Row],[Temperatura]])-1) - LN(1-EXP(-Tabella12[Theta vib3]/Tabella11[[#This Row],[Temperatura]]))    )</f>
        <v>1.0512954244008332</v>
      </c>
      <c r="G46" s="32" cm="1">
        <f t="array" ref="G46">(    (Tabella12[Theta vib3]/Tabella11[[#This Row],[Temperatura]]) /(EXP(Tabella12[Theta vib3]/Tabella11[[#This Row],[Temperatura]])-1) - LN(1-EXP(-Tabella12[Theta vib3]/Tabella11[[#This Row],[Temperatura]]))    )</f>
        <v>1.0512954244008332</v>
      </c>
      <c r="H46" s="32" cm="1">
        <f t="array" ref="H46" xml:space="preserve">   (Tabella12[Theta vib4]/Tabella11[[#This Row],[Temperatura]]) /(EXP(Tabella12[Theta vib4]/Tabella11[[#This Row],[Temperatura]])-1) - LN(1-EXP(-Tabella12[Theta vib4]/Tabella11[[#This Row],[Temperatura]]))</f>
        <v>0.87767311642257262</v>
      </c>
      <c r="I46" s="32" cm="1">
        <f t="array" ref="I46">(    (Tabella12[Theta vib5]/Tabella11[[#This Row],[Temperatura]]) /(EXP(Tabella12[Theta vib5]/Tabella11[[#This Row],[Temperatura]])-1) - LN(1-EXP(-Tabella12[Theta vib5]/Tabella11[[#This Row],[Temperatura]]))    )</f>
        <v>0.70490370426527016</v>
      </c>
      <c r="J46" s="32" cm="1">
        <f t="array" ref="J46">(    (Tabella12[Theta vib6]/Tabella11[[#This Row],[Temperatura]]) /(EXP(Tabella12[Theta vib6]/Tabella11[[#This Row],[Temperatura]])-1) - LN(1-EXP(-Tabella12[Theta vib6]/Tabella11[[#This Row],[Temperatura]]))    )</f>
        <v>0.70490370426527016</v>
      </c>
      <c r="K46" s="32" cm="1">
        <f t="array" ref="K46">(    (Tabella12[Theta vib7]/Tabella11[[#This Row],[Temperatura]]) /(EXP(Tabella12[Theta vib7]/Tabella11[[#This Row],[Temperatura]])-1) - LN(1-EXP(-Tabella12[Theta vib7]/Tabella11[[#This Row],[Temperatura]]))    )</f>
        <v>0.58703646745287585</v>
      </c>
      <c r="L46" s="32" cm="1">
        <f t="array" ref="L46">(    (Tabella12[Theta vib8]/Tabella11[[#This Row],[Temperatura]]) /(EXP(Tabella12[Theta vib8]/Tabella11[[#This Row],[Temperatura]])-1) - LN(1-EXP(-Tabella12[Theta vib8]/Tabella11[[#This Row],[Temperatura]]))    )</f>
        <v>0.57501094250026918</v>
      </c>
      <c r="M46" s="32" cm="1">
        <f t="array" ref="M46">(    (Tabella12[Theta vib9]/Tabella11[[#This Row],[Temperatura]]) /(EXP(Tabella12[Theta vib9]/Tabella11[[#This Row],[Temperatura]])-1) - LN(1-EXP(-Tabella12[Theta vib9]/Tabella11[[#This Row],[Temperatura]]))    )</f>
        <v>0.53377602252949075</v>
      </c>
      <c r="N46" s="32" cm="1">
        <f t="array" ref="N46">(    (Tabella12[Theta vib10]/Tabella11[[#This Row],[Temperatura]]) /(EXP(Tabella12[Theta vib10]/Tabella11[[#This Row],[Temperatura]])-1) - LN(1-EXP(-Tabella12[Theta vib10]/Tabella11[[#This Row],[Temperatura]]))    )</f>
        <v>0.53377602252949075</v>
      </c>
      <c r="O46" s="32" cm="1">
        <f t="array" ref="O46">(    (Tabella12[Theta vib10]/Tabella11[[#This Row],[Temperatura]]) /(EXP(Tabella12[Theta vib11]/Tabella11[[#This Row],[Temperatura]])-1) - LN(1-EXP(-Tabella12[Theta vib11]/Tabella11[[#This Row],[Temperatura]]))    )</f>
        <v>0.53256782491571908</v>
      </c>
      <c r="P46" s="32" cm="1">
        <f t="array" ref="P46">(    (Tabella12[Theta vib12]/Tabella11[[#This Row],[Temperatura]]) /(EXP(Tabella12[Theta vib12]/Tabella11[[#This Row],[Temperatura]])-1) - LN(1-EXP(-Tabella12[Theta vib12]/Tabella11[[#This Row],[Temperatura]]))    )</f>
        <v>0.53294946084180017</v>
      </c>
      <c r="Q46" s="32" cm="1">
        <f t="array" ref="Q46">(    (Tabella12[Theta vib13]/Tabella11[[#This Row],[Temperatura]]) /(EXP(Tabella12[Theta vib13]/Tabella11[[#This Row],[Temperatura]])-1) - LN(1-EXP(-Tabella12[Theta vib13]/Tabella11[[#This Row],[Temperatura]]))    )</f>
        <v>0.12467071995894889</v>
      </c>
      <c r="R46" s="32" cm="1">
        <f t="array" ref="R46">(    (Tabella12[Theta vib14]/Tabella11[[#This Row],[Temperatura]]) /(EXP(Tabella12[Theta vib14]/Tabella11[[#This Row],[Temperatura]])-1) - LN(1-EXP(-Tabella12[Theta vib14]/Tabella11[[#This Row],[Temperatura]]))    )</f>
        <v>0.12454487102494674</v>
      </c>
      <c r="S46" s="32" cm="1">
        <f t="array" ref="S46">(    (Tabella12[Theta vib15]/Tabella11[[#This Row],[Temperatura]]) /(EXP(Tabella12[Theta vib15]/Tabella11[[#This Row],[Temperatura]])-1) - LN(1-EXP(-Tabella12[Theta vib15]/Tabella11[[#This Row],[Temperatura]]))    )</f>
        <v>0.11835516004894051</v>
      </c>
      <c r="T46" s="32" cm="1">
        <f t="array" ref="T46">(    (Tabella12[Theta vib16]/Tabella11[[#This Row],[Temperatura]]) /(EXP(Tabella12[Theta vib16]/Tabella11[[#This Row],[Temperatura]])-1) - LN(1-EXP(-Tabella12[Theta vib16]/Tabella11[[#This Row],[Temperatura]]))    )</f>
        <v>0.11835516004894051</v>
      </c>
      <c r="U46" s="32" cm="1">
        <f t="array" ref="U46">(    (Tabella12[Theta vib17]/Tabella11[[#This Row],[Temperatura]]) /(EXP(Tabella12[Theta vib17]/Tabella11[[#This Row],[Temperatura]])-1) - LN(1-EXP(-Tabella12[Theta vib17]/Tabella11[[#This Row],[Temperatura]]))    )</f>
        <v>0.11568538388196736</v>
      </c>
      <c r="V46" s="32" cm="1">
        <f t="array" ref="V46">(    (Tabella12[Theta vib18]/Tabella11[[#This Row],[Temperatura]]) /(EXP(Tabella12[Theta vib18]/Tabella11[[#This Row],[Temperatura]])-1) - LN(1-EXP(-Tabella12[Theta vib18]/Tabella11[[#This Row],[Temperatura]]))    )</f>
        <v>0.11568538388196736</v>
      </c>
      <c r="W46" s="32" cm="1">
        <f t="array" ref="W46">Tabella3[Rydberg R]*SUM(Tabella11[[#This Row],[S vib 1]:[S vib 18]])</f>
        <v>86.500180132652488</v>
      </c>
      <c r="Y46" s="147"/>
    </row>
    <row r="47" spans="1:25" x14ac:dyDescent="0.35">
      <c r="A47" s="60"/>
      <c r="B47" s="138">
        <v>4368.8</v>
      </c>
      <c r="D47" s="58">
        <v>1300</v>
      </c>
      <c r="E47" s="58" cm="1">
        <f t="array" ref="E47">(    (Tabella12[Theta vib 1]/Tabella11[[#This Row],[Temperatura]]) /(EXP(Tabella12[Theta vib 1]/Tabella11[[#This Row],[Temperatura]])-1) - LN(1-EXP(-Tabella12[Theta vib 1]/Tabella11[[#This Row],[Temperatura]]))    )</f>
        <v>2.0803017513799502</v>
      </c>
      <c r="F47" s="32" cm="1">
        <f t="array" ref="F47">(    (Tabella12[Theta vib2]/Tabella11[[#This Row],[Temperatura]]) /(EXP(Tabella12[Theta vib2]/Tabella11[[#This Row],[Temperatura]])-1) - LN(1-EXP(-Tabella12[Theta vib3]/Tabella11[[#This Row],[Temperatura]]))    )</f>
        <v>1.1255781736741217</v>
      </c>
      <c r="G47" s="32" cm="1">
        <f t="array" ref="G47">(    (Tabella12[Theta vib3]/Tabella11[[#This Row],[Temperatura]]) /(EXP(Tabella12[Theta vib3]/Tabella11[[#This Row],[Temperatura]])-1) - LN(1-EXP(-Tabella12[Theta vib3]/Tabella11[[#This Row],[Temperatura]]))    )</f>
        <v>1.1255781736741217</v>
      </c>
      <c r="H47" s="32" cm="1">
        <f t="array" ref="H47" xml:space="preserve">   (Tabella12[Theta vib4]/Tabella11[[#This Row],[Temperatura]]) /(EXP(Tabella12[Theta vib4]/Tabella11[[#This Row],[Temperatura]])-1) - LN(1-EXP(-Tabella12[Theta vib4]/Tabella11[[#This Row],[Temperatura]]))</f>
        <v>0.94943817679929188</v>
      </c>
      <c r="I47" s="32" cm="1">
        <f t="array" ref="I47">(    (Tabella12[Theta vib5]/Tabella11[[#This Row],[Temperatura]]) /(EXP(Tabella12[Theta vib5]/Tabella11[[#This Row],[Temperatura]])-1) - LN(1-EXP(-Tabella12[Theta vib5]/Tabella11[[#This Row],[Temperatura]]))    )</f>
        <v>0.77298371837854785</v>
      </c>
      <c r="J47" s="32" cm="1">
        <f t="array" ref="J47">(    (Tabella12[Theta vib6]/Tabella11[[#This Row],[Temperatura]]) /(EXP(Tabella12[Theta vib6]/Tabella11[[#This Row],[Temperatura]])-1) - LN(1-EXP(-Tabella12[Theta vib6]/Tabella11[[#This Row],[Temperatura]]))    )</f>
        <v>0.77298371837854785</v>
      </c>
      <c r="K47" s="32" cm="1">
        <f t="array" ref="K47">(    (Tabella12[Theta vib7]/Tabella11[[#This Row],[Temperatura]]) /(EXP(Tabella12[Theta vib7]/Tabella11[[#This Row],[Temperatura]])-1) - LN(1-EXP(-Tabella12[Theta vib7]/Tabella11[[#This Row],[Temperatura]]))    )</f>
        <v>0.65160178069117514</v>
      </c>
      <c r="L47" s="32" cm="1">
        <f t="array" ref="L47">(    (Tabella12[Theta vib8]/Tabella11[[#This Row],[Temperatura]]) /(EXP(Tabella12[Theta vib8]/Tabella11[[#This Row],[Temperatura]])-1) - LN(1-EXP(-Tabella12[Theta vib8]/Tabella11[[#This Row],[Temperatura]]))    )</f>
        <v>0.63915798923644951</v>
      </c>
      <c r="M47" s="32" cm="1">
        <f t="array" ref="M47">(    (Tabella12[Theta vib9]/Tabella11[[#This Row],[Temperatura]]) /(EXP(Tabella12[Theta vib9]/Tabella11[[#This Row],[Temperatura]])-1) - LN(1-EXP(-Tabella12[Theta vib9]/Tabella11[[#This Row],[Temperatura]]))    )</f>
        <v>0.5963898954314053</v>
      </c>
      <c r="N47" s="32" cm="1">
        <f t="array" ref="N47">(    (Tabella12[Theta vib10]/Tabella11[[#This Row],[Temperatura]]) /(EXP(Tabella12[Theta vib10]/Tabella11[[#This Row],[Temperatura]])-1) - LN(1-EXP(-Tabella12[Theta vib10]/Tabella11[[#This Row],[Temperatura]]))    )</f>
        <v>0.5963898954314053</v>
      </c>
      <c r="O47" s="32" cm="1">
        <f t="array" ref="O47">(    (Tabella12[Theta vib10]/Tabella11[[#This Row],[Temperatura]]) /(EXP(Tabella12[Theta vib11]/Tabella11[[#This Row],[Temperatura]])-1) - LN(1-EXP(-Tabella12[Theta vib11]/Tabella11[[#This Row],[Temperatura]]))    )</f>
        <v>0.59511385036167663</v>
      </c>
      <c r="P47" s="32" cm="1">
        <f t="array" ref="P47">(    (Tabella12[Theta vib12]/Tabella11[[#This Row],[Temperatura]]) /(EXP(Tabella12[Theta vib12]/Tabella11[[#This Row],[Temperatura]])-1) - LN(1-EXP(-Tabella12[Theta vib12]/Tabella11[[#This Row],[Temperatura]]))    )</f>
        <v>0.59553094566183729</v>
      </c>
      <c r="Q47" s="32" cm="1">
        <f t="array" ref="Q47">(    (Tabella12[Theta vib13]/Tabella11[[#This Row],[Temperatura]]) /(EXP(Tabella12[Theta vib13]/Tabella11[[#This Row],[Temperatura]])-1) - LN(1-EXP(-Tabella12[Theta vib13]/Tabella11[[#This Row],[Temperatura]]))    )</f>
        <v>0.15618612806545784</v>
      </c>
      <c r="R47" s="32" cm="1">
        <f t="array" ref="R47">(    (Tabella12[Theta vib14]/Tabella11[[#This Row],[Temperatura]]) /(EXP(Tabella12[Theta vib14]/Tabella11[[#This Row],[Temperatura]])-1) - LN(1-EXP(-Tabella12[Theta vib14]/Tabella11[[#This Row],[Temperatura]]))    )</f>
        <v>0.1560417291669432</v>
      </c>
      <c r="S47" s="32" cm="1">
        <f t="array" ref="S47">(    (Tabella12[Theta vib15]/Tabella11[[#This Row],[Temperatura]]) /(EXP(Tabella12[Theta vib15]/Tabella11[[#This Row],[Temperatura]])-1) - LN(1-EXP(-Tabella12[Theta vib15]/Tabella11[[#This Row],[Temperatura]]))    )</f>
        <v>0.14892501729855295</v>
      </c>
      <c r="T47" s="32" cm="1">
        <f t="array" ref="T47">(    (Tabella12[Theta vib16]/Tabella11[[#This Row],[Temperatura]]) /(EXP(Tabella12[Theta vib16]/Tabella11[[#This Row],[Temperatura]])-1) - LN(1-EXP(-Tabella12[Theta vib16]/Tabella11[[#This Row],[Temperatura]]))    )</f>
        <v>0.14892501729855295</v>
      </c>
      <c r="U47" s="32" cm="1">
        <f t="array" ref="U47">(    (Tabella12[Theta vib17]/Tabella11[[#This Row],[Temperatura]]) /(EXP(Tabella12[Theta vib17]/Tabella11[[#This Row],[Temperatura]])-1) - LN(1-EXP(-Tabella12[Theta vib17]/Tabella11[[#This Row],[Temperatura]]))    )</f>
        <v>0.14584627346966378</v>
      </c>
      <c r="V47" s="32" cm="1">
        <f t="array" ref="V47">(    (Tabella12[Theta vib18]/Tabella11[[#This Row],[Temperatura]]) /(EXP(Tabella12[Theta vib18]/Tabella11[[#This Row],[Temperatura]])-1) - LN(1-EXP(-Tabella12[Theta vib18]/Tabella11[[#This Row],[Temperatura]]))    )</f>
        <v>0.14584627346966378</v>
      </c>
      <c r="W47" s="32" cm="1">
        <f t="array" ref="W47">Tabella3[Rydberg R]*SUM(Tabella11[[#This Row],[S vib 1]:[S vib 18]])</f>
        <v>94.808308223501754</v>
      </c>
      <c r="Y47" s="147"/>
    </row>
    <row r="48" spans="1:25" x14ac:dyDescent="0.35">
      <c r="A48" s="60"/>
      <c r="B48" s="138">
        <v>4370.3</v>
      </c>
      <c r="D48" s="58">
        <v>1400</v>
      </c>
      <c r="E48" s="58" cm="1">
        <f t="array" ref="E48">(    (Tabella12[Theta vib 1]/Tabella11[[#This Row],[Temperatura]]) /(EXP(Tabella12[Theta vib 1]/Tabella11[[#This Row],[Temperatura]])-1) - LN(1-EXP(-Tabella12[Theta vib 1]/Tabella11[[#This Row],[Temperatura]]))    )</f>
        <v>2.1537453557317146</v>
      </c>
      <c r="F48" s="32" cm="1">
        <f t="array" ref="F48">(    (Tabella12[Theta vib2]/Tabella11[[#This Row],[Temperatura]]) /(EXP(Tabella12[Theta vib2]/Tabella11[[#This Row],[Temperatura]])-1) - LN(1-EXP(-Tabella12[Theta vib3]/Tabella11[[#This Row],[Temperatura]]))    )</f>
        <v>1.1950868038119202</v>
      </c>
      <c r="G48" s="32" cm="1">
        <f t="array" ref="G48">(    (Tabella12[Theta vib3]/Tabella11[[#This Row],[Temperatura]]) /(EXP(Tabella12[Theta vib3]/Tabella11[[#This Row],[Temperatura]])-1) - LN(1-EXP(-Tabella12[Theta vib3]/Tabella11[[#This Row],[Temperatura]]))    )</f>
        <v>1.1950868038119202</v>
      </c>
      <c r="H48" s="32" cm="1">
        <f t="array" ref="H48" xml:space="preserve">   (Tabella12[Theta vib4]/Tabella11[[#This Row],[Temperatura]]) /(EXP(Tabella12[Theta vib4]/Tabella11[[#This Row],[Temperatura]])-1) - LN(1-EXP(-Tabella12[Theta vib4]/Tabella11[[#This Row],[Temperatura]]))</f>
        <v>1.0169175828704922</v>
      </c>
      <c r="I48" s="32" cm="1">
        <f t="array" ref="I48">(    (Tabella12[Theta vib5]/Tabella11[[#This Row],[Temperatura]]) /(EXP(Tabella12[Theta vib5]/Tabella11[[#This Row],[Temperatura]])-1) - LN(1-EXP(-Tabella12[Theta vib5]/Tabella11[[#This Row],[Temperatura]]))    )</f>
        <v>0.83747127588387893</v>
      </c>
      <c r="J48" s="32" cm="1">
        <f t="array" ref="J48">(    (Tabella12[Theta vib6]/Tabella11[[#This Row],[Temperatura]]) /(EXP(Tabella12[Theta vib6]/Tabella11[[#This Row],[Temperatura]])-1) - LN(1-EXP(-Tabella12[Theta vib6]/Tabella11[[#This Row],[Temperatura]]))    )</f>
        <v>0.83747127588387893</v>
      </c>
      <c r="K48" s="32" cm="1">
        <f t="array" ref="K48">(    (Tabella12[Theta vib7]/Tabella11[[#This Row],[Temperatura]]) /(EXP(Tabella12[Theta vib7]/Tabella11[[#This Row],[Temperatura]])-1) - LN(1-EXP(-Tabella12[Theta vib7]/Tabella11[[#This Row],[Temperatura]]))    )</f>
        <v>0.71321062901116794</v>
      </c>
      <c r="L48" s="32" cm="1">
        <f t="array" ref="L48">(    (Tabella12[Theta vib8]/Tabella11[[#This Row],[Temperatura]]) /(EXP(Tabella12[Theta vib8]/Tabella11[[#This Row],[Temperatura]])-1) - LN(1-EXP(-Tabella12[Theta vib8]/Tabella11[[#This Row],[Temperatura]]))    )</f>
        <v>0.70042256204993203</v>
      </c>
      <c r="M48" s="32" cm="1">
        <f t="array" ref="M48">(    (Tabella12[Theta vib9]/Tabella11[[#This Row],[Temperatura]]) /(EXP(Tabella12[Theta vib9]/Tabella11[[#This Row],[Temperatura]])-1) - LN(1-EXP(-Tabella12[Theta vib9]/Tabella11[[#This Row],[Temperatura]]))    )</f>
        <v>0.65638934570972907</v>
      </c>
      <c r="N48" s="32" cm="1">
        <f t="array" ref="N48">(    (Tabella12[Theta vib10]/Tabella11[[#This Row],[Temperatura]]) /(EXP(Tabella12[Theta vib10]/Tabella11[[#This Row],[Temperatura]])-1) - LN(1-EXP(-Tabella12[Theta vib10]/Tabella11[[#This Row],[Temperatura]]))    )</f>
        <v>0.65638934570972907</v>
      </c>
      <c r="O48" s="32" cm="1">
        <f t="array" ref="O48">(    (Tabella12[Theta vib10]/Tabella11[[#This Row],[Temperatura]]) /(EXP(Tabella12[Theta vib11]/Tabella11[[#This Row],[Temperatura]])-1) - LN(1-EXP(-Tabella12[Theta vib11]/Tabella11[[#This Row],[Temperatura]]))    )</f>
        <v>0.65505402136272461</v>
      </c>
      <c r="P48" s="32" cm="1">
        <f t="array" ref="P48">(    (Tabella12[Theta vib12]/Tabella11[[#This Row],[Temperatura]]) /(EXP(Tabella12[Theta vib12]/Tabella11[[#This Row],[Temperatura]])-1) - LN(1-EXP(-Tabella12[Theta vib12]/Tabella11[[#This Row],[Temperatura]]))    )</f>
        <v>0.65550361621865461</v>
      </c>
      <c r="Q48" s="32" cm="1">
        <f t="array" ref="Q48">(    (Tabella12[Theta vib13]/Tabella11[[#This Row],[Temperatura]]) /(EXP(Tabella12[Theta vib13]/Tabella11[[#This Row],[Temperatura]])-1) - LN(1-EXP(-Tabella12[Theta vib13]/Tabella11[[#This Row],[Temperatura]]))    )</f>
        <v>0.1892105898453543</v>
      </c>
      <c r="R48" s="32" cm="1">
        <f t="array" ref="R48">(    (Tabella12[Theta vib14]/Tabella11[[#This Row],[Temperatura]]) /(EXP(Tabella12[Theta vib14]/Tabella11[[#This Row],[Temperatura]])-1) - LN(1-EXP(-Tabella12[Theta vib14]/Tabella11[[#This Row],[Temperatura]]))    )</f>
        <v>0.18904916330883664</v>
      </c>
      <c r="S48" s="32" cm="1">
        <f t="array" ref="S48">(    (Tabella12[Theta vib15]/Tabella11[[#This Row],[Temperatura]]) /(EXP(Tabella12[Theta vib15]/Tabella11[[#This Row],[Temperatura]])-1) - LN(1-EXP(-Tabella12[Theta vib15]/Tabella11[[#This Row],[Temperatura]]))    )</f>
        <v>0.1810796881335538</v>
      </c>
      <c r="T48" s="32" cm="1">
        <f t="array" ref="T48">(    (Tabella12[Theta vib16]/Tabella11[[#This Row],[Temperatura]]) /(EXP(Tabella12[Theta vib16]/Tabella11[[#This Row],[Temperatura]])-1) - LN(1-EXP(-Tabella12[Theta vib16]/Tabella11[[#This Row],[Temperatura]]))    )</f>
        <v>0.1810796881335538</v>
      </c>
      <c r="U48" s="32" cm="1">
        <f t="array" ref="U48">(    (Tabella12[Theta vib17]/Tabella11[[#This Row],[Temperatura]]) /(EXP(Tabella12[Theta vib17]/Tabella11[[#This Row],[Temperatura]])-1) - LN(1-EXP(-Tabella12[Theta vib17]/Tabella11[[#This Row],[Temperatura]]))    )</f>
        <v>0.17762356631353943</v>
      </c>
      <c r="V48" s="32" cm="1">
        <f t="array" ref="V48">(    (Tabella12[Theta vib18]/Tabella11[[#This Row],[Temperatura]]) /(EXP(Tabella12[Theta vib18]/Tabella11[[#This Row],[Temperatura]])-1) - LN(1-EXP(-Tabella12[Theta vib18]/Tabella11[[#This Row],[Temperatura]]))    )</f>
        <v>0.17762356631353943</v>
      </c>
      <c r="W48" s="32" cm="1">
        <f t="array" ref="W48">Tabella3[Rydberg R]*SUM(Tabella11[[#This Row],[S vib 1]:[S vib 18]])</f>
        <v>102.83672316454066</v>
      </c>
      <c r="Y48" s="147"/>
    </row>
    <row r="49" spans="1:25" x14ac:dyDescent="0.35">
      <c r="A49" s="60"/>
      <c r="B49" s="138">
        <v>4445.9399999999996</v>
      </c>
      <c r="D49" s="58">
        <v>1500</v>
      </c>
      <c r="E49" s="58" cm="1">
        <f t="array" ref="E49">(    (Tabella12[Theta vib 1]/Tabella11[[#This Row],[Temperatura]]) /(EXP(Tabella12[Theta vib 1]/Tabella11[[#This Row],[Temperatura]])-1) - LN(1-EXP(-Tabella12[Theta vib 1]/Tabella11[[#This Row],[Temperatura]]))    )</f>
        <v>2.2222018620865693</v>
      </c>
      <c r="F49" s="32" cm="1">
        <f t="array" ref="F49">(    (Tabella12[Theta vib2]/Tabella11[[#This Row],[Temperatura]]) /(EXP(Tabella12[Theta vib2]/Tabella11[[#This Row],[Temperatura]])-1) - LN(1-EXP(-Tabella12[Theta vib3]/Tabella11[[#This Row],[Temperatura]]))    )</f>
        <v>1.2603502939344606</v>
      </c>
      <c r="G49" s="32" cm="1">
        <f t="array" ref="G49">(    (Tabella12[Theta vib3]/Tabella11[[#This Row],[Temperatura]]) /(EXP(Tabella12[Theta vib3]/Tabella11[[#This Row],[Temperatura]])-1) - LN(1-EXP(-Tabella12[Theta vib3]/Tabella11[[#This Row],[Temperatura]]))    )</f>
        <v>1.2603502939344606</v>
      </c>
      <c r="H49" s="32" cm="1">
        <f t="array" ref="H49" xml:space="preserve">   (Tabella12[Theta vib4]/Tabella11[[#This Row],[Temperatura]]) /(EXP(Tabella12[Theta vib4]/Tabella11[[#This Row],[Temperatura]])-1) - LN(1-EXP(-Tabella12[Theta vib4]/Tabella11[[#This Row],[Temperatura]]))</f>
        <v>1.0805233262810559</v>
      </c>
      <c r="I49" s="32" cm="1">
        <f t="array" ref="I49">(    (Tabella12[Theta vib5]/Tabella11[[#This Row],[Temperatura]]) /(EXP(Tabella12[Theta vib5]/Tabella11[[#This Row],[Temperatura]])-1) - LN(1-EXP(-Tabella12[Theta vib5]/Tabella11[[#This Row],[Temperatura]]))    )</f>
        <v>0.89861846909271703</v>
      </c>
      <c r="J49" s="32" cm="1">
        <f t="array" ref="J49">(    (Tabella12[Theta vib6]/Tabella11[[#This Row],[Temperatura]]) /(EXP(Tabella12[Theta vib6]/Tabella11[[#This Row],[Temperatura]])-1) - LN(1-EXP(-Tabella12[Theta vib6]/Tabella11[[#This Row],[Temperatura]]))    )</f>
        <v>0.89861846909271703</v>
      </c>
      <c r="K49" s="32" cm="1">
        <f t="array" ref="K49">(    (Tabella12[Theta vib7]/Tabella11[[#This Row],[Temperatura]]) /(EXP(Tabella12[Theta vib7]/Tabella11[[#This Row],[Temperatura]])-1) - LN(1-EXP(-Tabella12[Theta vib7]/Tabella11[[#This Row],[Temperatura]]))    )</f>
        <v>0.77197542723996504</v>
      </c>
      <c r="L49" s="32" cm="1">
        <f t="array" ref="L49">(    (Tabella12[Theta vib8]/Tabella11[[#This Row],[Temperatura]]) /(EXP(Tabella12[Theta vib8]/Tabella11[[#This Row],[Temperatura]])-1) - LN(1-EXP(-Tabella12[Theta vib8]/Tabella11[[#This Row],[Temperatura]]))    )</f>
        <v>0.7589013027617213</v>
      </c>
      <c r="M49" s="32" cm="1">
        <f t="array" ref="M49">(    (Tabella12[Theta vib9]/Tabella11[[#This Row],[Temperatura]]) /(EXP(Tabella12[Theta vib9]/Tabella11[[#This Row],[Temperatura]])-1) - LN(1-EXP(-Tabella12[Theta vib9]/Tabella11[[#This Row],[Temperatura]]))    )</f>
        <v>0.71381476385848752</v>
      </c>
      <c r="N49" s="32" cm="1">
        <f t="array" ref="N49">(    (Tabella12[Theta vib10]/Tabella11[[#This Row],[Temperatura]]) /(EXP(Tabella12[Theta vib10]/Tabella11[[#This Row],[Temperatura]])-1) - LN(1-EXP(-Tabella12[Theta vib10]/Tabella11[[#This Row],[Temperatura]]))    )</f>
        <v>0.71381476385848752</v>
      </c>
      <c r="O49" s="32" cm="1">
        <f t="array" ref="O49">(    (Tabella12[Theta vib10]/Tabella11[[#This Row],[Temperatura]]) /(EXP(Tabella12[Theta vib11]/Tabella11[[#This Row],[Temperatura]])-1) - LN(1-EXP(-Tabella12[Theta vib11]/Tabella11[[#This Row],[Temperatura]]))    )</f>
        <v>0.71242730829637091</v>
      </c>
      <c r="P49" s="32" cm="1">
        <f t="array" ref="P49">(    (Tabella12[Theta vib12]/Tabella11[[#This Row],[Temperatura]]) /(EXP(Tabella12[Theta vib12]/Tabella11[[#This Row],[Temperatura]])-1) - LN(1-EXP(-Tabella12[Theta vib12]/Tabella11[[#This Row],[Temperatura]]))    )</f>
        <v>0.71290670136315781</v>
      </c>
      <c r="Q49" s="32" cm="1">
        <f t="array" ref="Q49">(    (Tabella12[Theta vib13]/Tabella11[[#This Row],[Temperatura]]) /(EXP(Tabella12[Theta vib13]/Tabella11[[#This Row],[Temperatura]])-1) - LN(1-EXP(-Tabella12[Theta vib13]/Tabella11[[#This Row],[Temperatura]]))    )</f>
        <v>0.22322460405242331</v>
      </c>
      <c r="R49" s="32" cm="1">
        <f t="array" ref="R49">(    (Tabella12[Theta vib14]/Tabella11[[#This Row],[Temperatura]]) /(EXP(Tabella12[Theta vib14]/Tabella11[[#This Row],[Temperatura]])-1) - LN(1-EXP(-Tabella12[Theta vib14]/Tabella11[[#This Row],[Temperatura]]))    )</f>
        <v>0.22304770143999025</v>
      </c>
      <c r="S49" s="32" cm="1">
        <f t="array" ref="S49">(    (Tabella12[Theta vib15]/Tabella11[[#This Row],[Temperatura]]) /(EXP(Tabella12[Theta vib15]/Tabella11[[#This Row],[Temperatura]])-1) - LN(1-EXP(-Tabella12[Theta vib15]/Tabella11[[#This Row],[Temperatura]]))    )</f>
        <v>0.21430176852642652</v>
      </c>
      <c r="T49" s="32" cm="1">
        <f t="array" ref="T49">(    (Tabella12[Theta vib16]/Tabella11[[#This Row],[Temperatura]]) /(EXP(Tabella12[Theta vib16]/Tabella11[[#This Row],[Temperatura]])-1) - LN(1-EXP(-Tabella12[Theta vib16]/Tabella11[[#This Row],[Temperatura]]))    )</f>
        <v>0.21430176852642652</v>
      </c>
      <c r="U49" s="32" cm="1">
        <f t="array" ref="U49">(    (Tabella12[Theta vib17]/Tabella11[[#This Row],[Temperatura]]) /(EXP(Tabella12[Theta vib17]/Tabella11[[#This Row],[Temperatura]])-1) - LN(1-EXP(-Tabella12[Theta vib17]/Tabella11[[#This Row],[Temperatura]]))    )</f>
        <v>0.21050115066190433</v>
      </c>
      <c r="V49" s="32" cm="1">
        <f t="array" ref="V49">(    (Tabella12[Theta vib18]/Tabella11[[#This Row],[Temperatura]]) /(EXP(Tabella12[Theta vib18]/Tabella11[[#This Row],[Temperatura]])-1) - LN(1-EXP(-Tabella12[Theta vib18]/Tabella11[[#This Row],[Temperatura]]))    )</f>
        <v>0.21050115066190433</v>
      </c>
      <c r="W49" s="32" cm="1">
        <f t="array" ref="W49">Tabella3[Rydberg R]*SUM(Tabella11[[#This Row],[S vib 1]:[S vib 18]])</f>
        <v>110.58552167452973</v>
      </c>
      <c r="Y49" s="147"/>
    </row>
    <row r="50" spans="1:25" x14ac:dyDescent="0.35">
      <c r="A50" s="60"/>
      <c r="B50" s="138">
        <v>4445.9399999999996</v>
      </c>
      <c r="D50" s="58">
        <v>1600</v>
      </c>
      <c r="E50" s="58" cm="1">
        <f t="array" ref="E50">(    (Tabella12[Theta vib 1]/Tabella11[[#This Row],[Temperatura]]) /(EXP(Tabella12[Theta vib 1]/Tabella11[[#This Row],[Temperatura]])-1) - LN(1-EXP(-Tabella12[Theta vib 1]/Tabella11[[#This Row],[Temperatura]]))    )</f>
        <v>2.2863011501627311</v>
      </c>
      <c r="F50" s="32" cm="1">
        <f t="array" ref="F50">(    (Tabella12[Theta vib2]/Tabella11[[#This Row],[Temperatura]]) /(EXP(Tabella12[Theta vib2]/Tabella11[[#This Row],[Temperatura]])-1) - LN(1-EXP(-Tabella12[Theta vib3]/Tabella11[[#This Row],[Temperatura]]))    )</f>
        <v>1.3218239594573749</v>
      </c>
      <c r="G50" s="32" cm="1">
        <f t="array" ref="G50">(    (Tabella12[Theta vib3]/Tabella11[[#This Row],[Temperatura]]) /(EXP(Tabella12[Theta vib3]/Tabella11[[#This Row],[Temperatura]])-1) - LN(1-EXP(-Tabella12[Theta vib3]/Tabella11[[#This Row],[Temperatura]]))    )</f>
        <v>1.3218239594573749</v>
      </c>
      <c r="H50" s="32" cm="1">
        <f t="array" ref="H50" xml:space="preserve">   (Tabella12[Theta vib4]/Tabella11[[#This Row],[Temperatura]]) /(EXP(Tabella12[Theta vib4]/Tabella11[[#This Row],[Temperatura]])-1) - LN(1-EXP(-Tabella12[Theta vib4]/Tabella11[[#This Row],[Temperatura]]))</f>
        <v>1.1406263200587214</v>
      </c>
      <c r="I50" s="32" cm="1">
        <f t="array" ref="I50">(    (Tabella12[Theta vib5]/Tabella11[[#This Row],[Temperatura]]) /(EXP(Tabella12[Theta vib5]/Tabella11[[#This Row],[Temperatura]])-1) - LN(1-EXP(-Tabella12[Theta vib5]/Tabella11[[#This Row],[Temperatura]]))    )</f>
        <v>0.95667888760341957</v>
      </c>
      <c r="J50" s="32" cm="1">
        <f t="array" ref="J50">(    (Tabella12[Theta vib6]/Tabella11[[#This Row],[Temperatura]]) /(EXP(Tabella12[Theta vib6]/Tabella11[[#This Row],[Temperatura]])-1) - LN(1-EXP(-Tabella12[Theta vib6]/Tabella11[[#This Row],[Temperatura]]))    )</f>
        <v>0.95667888760341957</v>
      </c>
      <c r="K50" s="32" cm="1">
        <f t="array" ref="K50">(    (Tabella12[Theta vib7]/Tabella11[[#This Row],[Temperatura]]) /(EXP(Tabella12[Theta vib7]/Tabella11[[#This Row],[Temperatura]])-1) - LN(1-EXP(-Tabella12[Theta vib7]/Tabella11[[#This Row],[Temperatura]]))    )</f>
        <v>0.8280450356712854</v>
      </c>
      <c r="L50" s="32" cm="1">
        <f t="array" ref="L50">(    (Tabella12[Theta vib8]/Tabella11[[#This Row],[Temperatura]]) /(EXP(Tabella12[Theta vib8]/Tabella11[[#This Row],[Temperatura]])-1) - LN(1-EXP(-Tabella12[Theta vib8]/Tabella11[[#This Row],[Temperatura]]))    )</f>
        <v>0.81473109033467495</v>
      </c>
      <c r="M50" s="32" cm="1">
        <f t="array" ref="M50">(    (Tabella12[Theta vib9]/Tabella11[[#This Row],[Temperatura]]) /(EXP(Tabella12[Theta vib9]/Tabella11[[#This Row],[Temperatura]])-1) - LN(1-EXP(-Tabella12[Theta vib9]/Tabella11[[#This Row],[Temperatura]]))    )</f>
        <v>0.76876000914158338</v>
      </c>
      <c r="N50" s="32" cm="1">
        <f t="array" ref="N50">(    (Tabella12[Theta vib10]/Tabella11[[#This Row],[Temperatura]]) /(EXP(Tabella12[Theta vib10]/Tabella11[[#This Row],[Temperatura]])-1) - LN(1-EXP(-Tabella12[Theta vib10]/Tabella11[[#This Row],[Temperatura]]))    )</f>
        <v>0.76876000914158338</v>
      </c>
      <c r="O50" s="32" cm="1">
        <f t="array" ref="O50">(    (Tabella12[Theta vib10]/Tabella11[[#This Row],[Temperatura]]) /(EXP(Tabella12[Theta vib11]/Tabella11[[#This Row],[Temperatura]])-1) - LN(1-EXP(-Tabella12[Theta vib11]/Tabella11[[#This Row],[Temperatura]]))    )</f>
        <v>0.76732641932436318</v>
      </c>
      <c r="P50" s="32" cm="1">
        <f t="array" ref="P50">(    (Tabella12[Theta vib12]/Tabella11[[#This Row],[Temperatura]]) /(EXP(Tabella12[Theta vib12]/Tabella11[[#This Row],[Temperatura]])-1) - LN(1-EXP(-Tabella12[Theta vib12]/Tabella11[[#This Row],[Temperatura]]))    )</f>
        <v>0.76783316693841042</v>
      </c>
      <c r="Q50" s="32" cm="1">
        <f t="array" ref="Q50">(    (Tabella12[Theta vib13]/Tabella11[[#This Row],[Temperatura]]) /(EXP(Tabella12[Theta vib13]/Tabella11[[#This Row],[Temperatura]])-1) - LN(1-EXP(-Tabella12[Theta vib13]/Tabella11[[#This Row],[Temperatura]]))    )</f>
        <v>0.25781249842216064</v>
      </c>
      <c r="R50" s="32" cm="1">
        <f t="array" ref="R50">(    (Tabella12[Theta vib14]/Tabella11[[#This Row],[Temperatura]]) /(EXP(Tabella12[Theta vib14]/Tabella11[[#This Row],[Temperatura]])-1) - LN(1-EXP(-Tabella12[Theta vib14]/Tabella11[[#This Row],[Temperatura]]))    )</f>
        <v>0.25762161632508912</v>
      </c>
      <c r="S50" s="32" cm="1">
        <f t="array" ref="S50">(    (Tabella12[Theta vib15]/Tabella11[[#This Row],[Temperatura]]) /(EXP(Tabella12[Theta vib15]/Tabella11[[#This Row],[Temperatura]])-1) - LN(1-EXP(-Tabella12[Theta vib15]/Tabella11[[#This Row],[Temperatura]]))    )</f>
        <v>0.24817324566054944</v>
      </c>
      <c r="T50" s="32" cm="1">
        <f t="array" ref="T50">(    (Tabella12[Theta vib16]/Tabella11[[#This Row],[Temperatura]]) /(EXP(Tabella12[Theta vib16]/Tabella11[[#This Row],[Temperatura]])-1) - LN(1-EXP(-Tabella12[Theta vib16]/Tabella11[[#This Row],[Temperatura]]))    )</f>
        <v>0.24817324566054944</v>
      </c>
      <c r="U50" s="32" cm="1">
        <f t="array" ref="U50">(    (Tabella12[Theta vib17]/Tabella11[[#This Row],[Temperatura]]) /(EXP(Tabella12[Theta vib17]/Tabella11[[#This Row],[Temperatura]])-1) - LN(1-EXP(-Tabella12[Theta vib17]/Tabella11[[#This Row],[Temperatura]]))    )</f>
        <v>0.24406029593150291</v>
      </c>
      <c r="V50" s="32" cm="1">
        <f t="array" ref="V50">(    (Tabella12[Theta vib18]/Tabella11[[#This Row],[Temperatura]]) /(EXP(Tabella12[Theta vib18]/Tabella11[[#This Row],[Temperatura]])-1) - LN(1-EXP(-Tabella12[Theta vib18]/Tabella11[[#This Row],[Temperatura]]))    )</f>
        <v>0.24406029593150291</v>
      </c>
      <c r="W50" s="32" cm="1">
        <f t="array" ref="W50">Tabella3[Rydberg R]*SUM(Tabella11[[#This Row],[S vib 1]:[S vib 18]])</f>
        <v>118.05946667894199</v>
      </c>
      <c r="Y50" s="147"/>
    </row>
    <row r="51" spans="1:25" x14ac:dyDescent="0.35">
      <c r="A51" s="60"/>
      <c r="B51" s="138">
        <v>4479.75</v>
      </c>
      <c r="D51" s="58">
        <v>1700</v>
      </c>
      <c r="E51" s="58" cm="1">
        <f t="array" ref="E51">(    (Tabella12[Theta vib 1]/Tabella11[[#This Row],[Temperatura]]) /(EXP(Tabella12[Theta vib 1]/Tabella11[[#This Row],[Temperatura]])-1) - LN(1-EXP(-Tabella12[Theta vib 1]/Tabella11[[#This Row],[Temperatura]]))    )</f>
        <v>2.3465615705582681</v>
      </c>
      <c r="F51" s="32" cm="1">
        <f t="array" ref="F51">(    (Tabella12[Theta vib2]/Tabella11[[#This Row],[Temperatura]]) /(EXP(Tabella12[Theta vib2]/Tabella11[[#This Row],[Temperatura]])-1) - LN(1-EXP(-Tabella12[Theta vib3]/Tabella11[[#This Row],[Temperatura]]))    )</f>
        <v>1.3798998361682631</v>
      </c>
      <c r="G51" s="32" cm="1">
        <f t="array" ref="G51">(    (Tabella12[Theta vib3]/Tabella11[[#This Row],[Temperatura]]) /(EXP(Tabella12[Theta vib3]/Tabella11[[#This Row],[Temperatura]])-1) - LN(1-EXP(-Tabella12[Theta vib3]/Tabella11[[#This Row],[Temperatura]]))    )</f>
        <v>1.3798998361682631</v>
      </c>
      <c r="H51" s="32" cm="1">
        <f t="array" ref="H51" xml:space="preserve">   (Tabella12[Theta vib4]/Tabella11[[#This Row],[Temperatura]]) /(EXP(Tabella12[Theta vib4]/Tabella11[[#This Row],[Temperatura]])-1) - LN(1-EXP(-Tabella12[Theta vib4]/Tabella11[[#This Row],[Temperatura]]))</f>
        <v>1.1975566093734886</v>
      </c>
      <c r="I51" s="32" cm="1">
        <f t="array" ref="I51">(    (Tabella12[Theta vib5]/Tabella11[[#This Row],[Temperatura]]) /(EXP(Tabella12[Theta vib5]/Tabella11[[#This Row],[Temperatura]])-1) - LN(1-EXP(-Tabella12[Theta vib5]/Tabella11[[#This Row],[Temperatura]]))    )</f>
        <v>1.0118952349106094</v>
      </c>
      <c r="J51" s="32" cm="1">
        <f t="array" ref="J51">(    (Tabella12[Theta vib6]/Tabella11[[#This Row],[Temperatura]]) /(EXP(Tabella12[Theta vib6]/Tabella11[[#This Row],[Temperatura]])-1) - LN(1-EXP(-Tabella12[Theta vib6]/Tabella11[[#This Row],[Temperatura]]))    )</f>
        <v>1.0118952349106094</v>
      </c>
      <c r="K51" s="32" cm="1">
        <f t="array" ref="K51">(    (Tabella12[Theta vib7]/Tabella11[[#This Row],[Temperatura]]) /(EXP(Tabella12[Theta vib7]/Tabella11[[#This Row],[Temperatura]])-1) - LN(1-EXP(-Tabella12[Theta vib7]/Tabella11[[#This Row],[Temperatura]]))    )</f>
        <v>0.88158283940505666</v>
      </c>
      <c r="L51" s="32" cm="1">
        <f t="array" ref="L51">(    (Tabella12[Theta vib8]/Tabella11[[#This Row],[Temperatura]]) /(EXP(Tabella12[Theta vib8]/Tabella11[[#This Row],[Temperatura]])-1) - LN(1-EXP(-Tabella12[Theta vib8]/Tabella11[[#This Row],[Temperatura]]))    )</f>
        <v>0.86806614236385049</v>
      </c>
      <c r="M51" s="32" cm="1">
        <f t="array" ref="M51">(    (Tabella12[Theta vib9]/Tabella11[[#This Row],[Temperatura]]) /(EXP(Tabella12[Theta vib9]/Tabella11[[#This Row],[Temperatura]])-1) - LN(1-EXP(-Tabella12[Theta vib9]/Tabella11[[#This Row],[Temperatura]]))    )</f>
        <v>0.82134620722708962</v>
      </c>
      <c r="N51" s="32" cm="1">
        <f t="array" ref="N51">(    (Tabella12[Theta vib10]/Tabella11[[#This Row],[Temperatura]]) /(EXP(Tabella12[Theta vib10]/Tabella11[[#This Row],[Temperatura]])-1) - LN(1-EXP(-Tabella12[Theta vib10]/Tabella11[[#This Row],[Temperatura]]))    )</f>
        <v>0.82134620722708962</v>
      </c>
      <c r="O51" s="32" cm="1">
        <f t="array" ref="O51">(    (Tabella12[Theta vib10]/Tabella11[[#This Row],[Temperatura]]) /(EXP(Tabella12[Theta vib11]/Tabella11[[#This Row],[Temperatura]])-1) - LN(1-EXP(-Tabella12[Theta vib11]/Tabella11[[#This Row],[Temperatura]]))    )</f>
        <v>0.81987154649543859</v>
      </c>
      <c r="P51" s="32" cm="1">
        <f t="array" ref="P51">(    (Tabella12[Theta vib12]/Tabella11[[#This Row],[Temperatura]]) /(EXP(Tabella12[Theta vib12]/Tabella11[[#This Row],[Temperatura]])-1) - LN(1-EXP(-Tabella12[Theta vib12]/Tabella11[[#This Row],[Temperatura]]))    )</f>
        <v>0.82040344833993206</v>
      </c>
      <c r="Q51" s="32" cm="1">
        <f t="array" ref="Q51">(    (Tabella12[Theta vib13]/Tabella11[[#This Row],[Temperatura]]) /(EXP(Tabella12[Theta vib13]/Tabella11[[#This Row],[Temperatura]])-1) - LN(1-EXP(-Tabella12[Theta vib13]/Tabella11[[#This Row],[Temperatura]]))    )</f>
        <v>0.29264839888165001</v>
      </c>
      <c r="R51" s="32" cm="1">
        <f t="array" ref="R51">(    (Tabella12[Theta vib14]/Tabella11[[#This Row],[Temperatura]]) /(EXP(Tabella12[Theta vib14]/Tabella11[[#This Row],[Temperatura]])-1) - LN(1-EXP(-Tabella12[Theta vib14]/Tabella11[[#This Row],[Temperatura]]))    )</f>
        <v>0.29244493414065065</v>
      </c>
      <c r="S51" s="32" cm="1">
        <f t="array" ref="S51">(    (Tabella12[Theta vib15]/Tabella11[[#This Row],[Temperatura]]) /(EXP(Tabella12[Theta vib15]/Tabella11[[#This Row],[Temperatura]])-1) - LN(1-EXP(-Tabella12[Theta vib15]/Tabella11[[#This Row],[Temperatura]]))    )</f>
        <v>0.2823634975872456</v>
      </c>
      <c r="T51" s="32" cm="1">
        <f t="array" ref="T51">(    (Tabella12[Theta vib16]/Tabella11[[#This Row],[Temperatura]]) /(EXP(Tabella12[Theta vib16]/Tabella11[[#This Row],[Temperatura]])-1) - LN(1-EXP(-Tabella12[Theta vib16]/Tabella11[[#This Row],[Temperatura]]))    )</f>
        <v>0.2823634975872456</v>
      </c>
      <c r="U51" s="32" cm="1">
        <f t="array" ref="U51">(    (Tabella12[Theta vib17]/Tabella11[[#This Row],[Temperatura]]) /(EXP(Tabella12[Theta vib17]/Tabella11[[#This Row],[Temperatura]])-1) - LN(1-EXP(-Tabella12[Theta vib17]/Tabella11[[#This Row],[Temperatura]]))    )</f>
        <v>0.27796854259215104</v>
      </c>
      <c r="V51" s="32" cm="1">
        <f t="array" ref="V51">(    (Tabella12[Theta vib18]/Tabella11[[#This Row],[Temperatura]]) /(EXP(Tabella12[Theta vib18]/Tabella11[[#This Row],[Temperatura]])-1) - LN(1-EXP(-Tabella12[Theta vib18]/Tabella11[[#This Row],[Temperatura]]))    )</f>
        <v>0.27796854259215104</v>
      </c>
      <c r="W51" s="32" cm="1">
        <f t="array" ref="W51">Tabella3[Rydberg R]*SUM(Tabella11[[#This Row],[S vib 1]:[S vib 18]])</f>
        <v>125.26637664074374</v>
      </c>
      <c r="Y51" s="147"/>
    </row>
    <row r="52" spans="1:25" x14ac:dyDescent="0.35">
      <c r="A52" s="60"/>
      <c r="B52" s="138">
        <v>4479.75</v>
      </c>
      <c r="D52" s="58">
        <v>1800</v>
      </c>
      <c r="E52" s="58" cm="1">
        <f t="array" ref="E52">(    (Tabella12[Theta vib 1]/Tabella11[[#This Row],[Temperatura]]) /(EXP(Tabella12[Theta vib 1]/Tabella11[[#This Row],[Temperatura]])-1) - LN(1-EXP(-Tabella12[Theta vib 1]/Tabella11[[#This Row],[Temperatura]]))    )</f>
        <v>2.4034146572604875</v>
      </c>
      <c r="F52" s="32" cm="1">
        <f t="array" ref="F52">(    (Tabella12[Theta vib2]/Tabella11[[#This Row],[Temperatura]]) /(EXP(Tabella12[Theta vib2]/Tabella11[[#This Row],[Temperatura]])-1) - LN(1-EXP(-Tabella12[Theta vib3]/Tabella11[[#This Row],[Temperatura]]))    )</f>
        <v>1.4349162962203164</v>
      </c>
      <c r="G52" s="32" cm="1">
        <f t="array" ref="G52">(    (Tabella12[Theta vib3]/Tabella11[[#This Row],[Temperatura]]) /(EXP(Tabella12[Theta vib3]/Tabella11[[#This Row],[Temperatura]])-1) - LN(1-EXP(-Tabella12[Theta vib3]/Tabella11[[#This Row],[Temperatura]]))    )</f>
        <v>1.4349162962203164</v>
      </c>
      <c r="H52" s="32" cm="1">
        <f t="array" ref="H52" xml:space="preserve">   (Tabella12[Theta vib4]/Tabella11[[#This Row],[Temperatura]]) /(EXP(Tabella12[Theta vib4]/Tabella11[[#This Row],[Temperatura]])-1) - LN(1-EXP(-Tabella12[Theta vib4]/Tabella11[[#This Row],[Temperatura]]))</f>
        <v>1.2516062864199231</v>
      </c>
      <c r="I52" s="32" cm="1">
        <f t="array" ref="I52">(    (Tabella12[Theta vib5]/Tabella11[[#This Row],[Temperatura]]) /(EXP(Tabella12[Theta vib5]/Tabella11[[#This Row],[Temperatura]])-1) - LN(1-EXP(-Tabella12[Theta vib5]/Tabella11[[#This Row],[Temperatura]]))    )</f>
        <v>1.0644936759713006</v>
      </c>
      <c r="J52" s="32" cm="1">
        <f t="array" ref="J52">(    (Tabella12[Theta vib6]/Tabella11[[#This Row],[Temperatura]]) /(EXP(Tabella12[Theta vib6]/Tabella11[[#This Row],[Temperatura]])-1) - LN(1-EXP(-Tabella12[Theta vib6]/Tabella11[[#This Row],[Temperatura]]))    )</f>
        <v>1.0644936759713006</v>
      </c>
      <c r="K52" s="32" cm="1">
        <f t="array" ref="K52">(    (Tabella12[Theta vib7]/Tabella11[[#This Row],[Temperatura]]) /(EXP(Tabella12[Theta vib7]/Tabella11[[#This Row],[Temperatura]])-1) - LN(1-EXP(-Tabella12[Theta vib7]/Tabella11[[#This Row],[Temperatura]]))    )</f>
        <v>0.93275429333668447</v>
      </c>
      <c r="L52" s="32" cm="1">
        <f t="array" ref="L52">(    (Tabella12[Theta vib8]/Tabella11[[#This Row],[Temperatura]]) /(EXP(Tabella12[Theta vib8]/Tabella11[[#This Row],[Temperatura]])-1) - LN(1-EXP(-Tabella12[Theta vib8]/Tabella11[[#This Row],[Temperatura]]))    )</f>
        <v>0.91906483912522274</v>
      </c>
      <c r="M52" s="32" cm="1">
        <f t="array" ref="M52">(    (Tabella12[Theta vib9]/Tabella11[[#This Row],[Temperatura]]) /(EXP(Tabella12[Theta vib9]/Tabella11[[#This Row],[Temperatura]])-1) - LN(1-EXP(-Tabella12[Theta vib9]/Tabella11[[#This Row],[Temperatura]]))    )</f>
        <v>0.87170609207936645</v>
      </c>
      <c r="N52" s="32" cm="1">
        <f t="array" ref="N52">(    (Tabella12[Theta vib10]/Tabella11[[#This Row],[Temperatura]]) /(EXP(Tabella12[Theta vib10]/Tabella11[[#This Row],[Temperatura]])-1) - LN(1-EXP(-Tabella12[Theta vib10]/Tabella11[[#This Row],[Temperatura]]))    )</f>
        <v>0.87170609207936645</v>
      </c>
      <c r="O52" s="32" cm="1">
        <f t="array" ref="O52">(    (Tabella12[Theta vib10]/Tabella11[[#This Row],[Temperatura]]) /(EXP(Tabella12[Theta vib11]/Tabella11[[#This Row],[Temperatura]])-1) - LN(1-EXP(-Tabella12[Theta vib11]/Tabella11[[#This Row],[Temperatura]]))    )</f>
        <v>0.87019466377198551</v>
      </c>
      <c r="P52" s="32" cm="1">
        <f t="array" ref="P52">(    (Tabella12[Theta vib12]/Tabella11[[#This Row],[Temperatura]]) /(EXP(Tabella12[Theta vib12]/Tabella11[[#This Row],[Temperatura]])-1) - LN(1-EXP(-Tabella12[Theta vib12]/Tabella11[[#This Row],[Temperatura]]))    )</f>
        <v>0.87074974268767136</v>
      </c>
      <c r="Q52" s="32" cm="1">
        <f t="array" ref="Q52">(    (Tabella12[Theta vib13]/Tabella11[[#This Row],[Temperatura]]) /(EXP(Tabella12[Theta vib13]/Tabella11[[#This Row],[Temperatura]])-1) - LN(1-EXP(-Tabella12[Theta vib13]/Tabella11[[#This Row],[Temperatura]]))    )</f>
        <v>0.32748091291239695</v>
      </c>
      <c r="R52" s="32" cm="1">
        <f t="array" ref="R52">(    (Tabella12[Theta vib14]/Tabella11[[#This Row],[Temperatura]]) /(EXP(Tabella12[Theta vib14]/Tabella11[[#This Row],[Temperatura]])-1) - LN(1-EXP(-Tabella12[Theta vib14]/Tabella11[[#This Row],[Temperatura]]))    )</f>
        <v>0.32726614270749216</v>
      </c>
      <c r="S52" s="32" cm="1">
        <f t="array" ref="S52">(    (Tabella12[Theta vib15]/Tabella11[[#This Row],[Temperatura]]) /(EXP(Tabella12[Theta vib15]/Tabella11[[#This Row],[Temperatura]])-1) - LN(1-EXP(-Tabella12[Theta vib15]/Tabella11[[#This Row],[Temperatura]]))    )</f>
        <v>0.316615270337053</v>
      </c>
      <c r="T52" s="32" cm="1">
        <f t="array" ref="T52">(    (Tabella12[Theta vib16]/Tabella11[[#This Row],[Temperatura]]) /(EXP(Tabella12[Theta vib16]/Tabella11[[#This Row],[Temperatura]])-1) - LN(1-EXP(-Tabella12[Theta vib16]/Tabella11[[#This Row],[Temperatura]]))    )</f>
        <v>0.316615270337053</v>
      </c>
      <c r="U52" s="32" cm="1">
        <f t="array" ref="U52">(    (Tabella12[Theta vib17]/Tabella11[[#This Row],[Temperatura]]) /(EXP(Tabella12[Theta vib17]/Tabella11[[#This Row],[Temperatura]])-1) - LN(1-EXP(-Tabella12[Theta vib17]/Tabella11[[#This Row],[Temperatura]]))    )</f>
        <v>0.31196625479815354</v>
      </c>
      <c r="V52" s="32" cm="1">
        <f t="array" ref="V52">(    (Tabella12[Theta vib18]/Tabella11[[#This Row],[Temperatura]]) /(EXP(Tabella12[Theta vib18]/Tabella11[[#This Row],[Temperatura]])-1) - LN(1-EXP(-Tabella12[Theta vib18]/Tabella11[[#This Row],[Temperatura]]))    )</f>
        <v>0.31196625479815354</v>
      </c>
      <c r="W52" s="32" cm="1">
        <f t="array" ref="W52">Tabella3[Rydberg R]*SUM(Tabella11[[#This Row],[S vib 1]:[S vib 18]])</f>
        <v>132.21597524295669</v>
      </c>
      <c r="Y52" s="147"/>
    </row>
    <row r="53" spans="1:25" x14ac:dyDescent="0.35">
      <c r="D53" s="58">
        <v>1900</v>
      </c>
      <c r="E53" s="58" cm="1">
        <f t="array" ref="E53">(    (Tabella12[Theta vib 1]/Tabella11[[#This Row],[Temperatura]]) /(EXP(Tabella12[Theta vib 1]/Tabella11[[#This Row],[Temperatura]])-1) - LN(1-EXP(-Tabella12[Theta vib 1]/Tabella11[[#This Row],[Temperatura]]))    )</f>
        <v>2.4572233926478475</v>
      </c>
      <c r="F53" s="32" cm="1">
        <f t="array" ref="F53">(    (Tabella12[Theta vib2]/Tabella11[[#This Row],[Temperatura]]) /(EXP(Tabella12[Theta vib2]/Tabella11[[#This Row],[Temperatura]])-1) - LN(1-EXP(-Tabella12[Theta vib3]/Tabella11[[#This Row],[Temperatura]]))    )</f>
        <v>1.4871664320865168</v>
      </c>
      <c r="G53" s="32" cm="1">
        <f t="array" ref="G53">(    (Tabella12[Theta vib3]/Tabella11[[#This Row],[Temperatura]]) /(EXP(Tabella12[Theta vib3]/Tabella11[[#This Row],[Temperatura]])-1) - LN(1-EXP(-Tabella12[Theta vib3]/Tabella11[[#This Row],[Temperatura]]))    )</f>
        <v>1.4871664320865168</v>
      </c>
      <c r="H53" s="32" cm="1">
        <f t="array" ref="H53" xml:space="preserve">   (Tabella12[Theta vib4]/Tabella11[[#This Row],[Temperatura]]) /(EXP(Tabella12[Theta vib4]/Tabella11[[#This Row],[Temperatura]])-1) - LN(1-EXP(-Tabella12[Theta vib4]/Tabella11[[#This Row],[Temperatura]]))</f>
        <v>1.3030333733081763</v>
      </c>
      <c r="I53" s="32" cm="1">
        <f t="array" ref="I53">(    (Tabella12[Theta vib5]/Tabella11[[#This Row],[Temperatura]]) /(EXP(Tabella12[Theta vib5]/Tabella11[[#This Row],[Temperatura]])-1) - LN(1-EXP(-Tabella12[Theta vib5]/Tabella11[[#This Row],[Temperatura]]))    )</f>
        <v>1.1146818182707081</v>
      </c>
      <c r="J53" s="32" cm="1">
        <f t="array" ref="J53">(    (Tabella12[Theta vib6]/Tabella11[[#This Row],[Temperatura]]) /(EXP(Tabella12[Theta vib6]/Tabella11[[#This Row],[Temperatura]])-1) - LN(1-EXP(-Tabella12[Theta vib6]/Tabella11[[#This Row],[Temperatura]]))    )</f>
        <v>1.1146818182707081</v>
      </c>
      <c r="K53" s="32" cm="1">
        <f t="array" ref="K53">(    (Tabella12[Theta vib7]/Tabella11[[#This Row],[Temperatura]]) /(EXP(Tabella12[Theta vib7]/Tabella11[[#This Row],[Temperatura]])-1) - LN(1-EXP(-Tabella12[Theta vib7]/Tabella11[[#This Row],[Temperatura]]))    )</f>
        <v>0.98172004598611939</v>
      </c>
      <c r="L53" s="32" cm="1">
        <f t="array" ref="L53">(    (Tabella12[Theta vib8]/Tabella11[[#This Row],[Temperatura]]) /(EXP(Tabella12[Theta vib8]/Tabella11[[#This Row],[Temperatura]])-1) - LN(1-EXP(-Tabella12[Theta vib8]/Tabella11[[#This Row],[Temperatura]]))    )</f>
        <v>0.96788232013344144</v>
      </c>
      <c r="M53" s="32" cm="1">
        <f t="array" ref="M53">(    (Tabella12[Theta vib9]/Tabella11[[#This Row],[Temperatura]]) /(EXP(Tabella12[Theta vib9]/Tabella11[[#This Row],[Temperatura]])-1) - LN(1-EXP(-Tabella12[Theta vib9]/Tabella11[[#This Row],[Temperatura]]))    )</f>
        <v>0.91997476284414448</v>
      </c>
      <c r="N53" s="32" cm="1">
        <f t="array" ref="N53">(    (Tabella12[Theta vib10]/Tabella11[[#This Row],[Temperatura]]) /(EXP(Tabella12[Theta vib10]/Tabella11[[#This Row],[Temperatura]])-1) - LN(1-EXP(-Tabella12[Theta vib10]/Tabella11[[#This Row],[Temperatura]]))    )</f>
        <v>0.91997476284414448</v>
      </c>
      <c r="O53" s="32" cm="1">
        <f t="array" ref="O53">(    (Tabella12[Theta vib10]/Tabella11[[#This Row],[Temperatura]]) /(EXP(Tabella12[Theta vib11]/Tabella11[[#This Row],[Temperatura]])-1) - LN(1-EXP(-Tabella12[Theta vib11]/Tabella11[[#This Row],[Temperatura]]))    )</f>
        <v>0.91843024836550469</v>
      </c>
      <c r="P53" s="32" cm="1">
        <f t="array" ref="P53">(    (Tabella12[Theta vib12]/Tabella11[[#This Row],[Temperatura]]) /(EXP(Tabella12[Theta vib12]/Tabella11[[#This Row],[Temperatura]])-1) - LN(1-EXP(-Tabella12[Theta vib12]/Tabella11[[#This Row],[Temperatura]]))    )</f>
        <v>0.919006728429826</v>
      </c>
      <c r="Q53" s="32" cm="1">
        <f t="array" ref="Q53">(    (Tabella12[Theta vib13]/Tabella11[[#This Row],[Temperatura]]) /(EXP(Tabella12[Theta vib13]/Tabella11[[#This Row],[Temperatura]])-1) - LN(1-EXP(-Tabella12[Theta vib13]/Tabella11[[#This Row],[Temperatura]]))    )</f>
        <v>0.36211886619460937</v>
      </c>
      <c r="R53" s="32" cm="1">
        <f t="array" ref="R53">(    (Tabella12[Theta vib14]/Tabella11[[#This Row],[Temperatura]]) /(EXP(Tabella12[Theta vib14]/Tabella11[[#This Row],[Temperatura]])-1) - LN(1-EXP(-Tabella12[Theta vib14]/Tabella11[[#This Row],[Temperatura]]))    )</f>
        <v>0.3618939430834226</v>
      </c>
      <c r="S53" s="32" cm="1">
        <f t="array" ref="S53">(    (Tabella12[Theta vib15]/Tabella11[[#This Row],[Temperatura]]) /(EXP(Tabella12[Theta vib15]/Tabella11[[#This Row],[Temperatura]])-1) - LN(1-EXP(-Tabella12[Theta vib15]/Tabella11[[#This Row],[Temperatura]]))    )</f>
        <v>0.35073120070620389</v>
      </c>
      <c r="T53" s="32" cm="1">
        <f t="array" ref="T53">(    (Tabella12[Theta vib16]/Tabella11[[#This Row],[Temperatura]]) /(EXP(Tabella12[Theta vib16]/Tabella11[[#This Row],[Temperatura]])-1) - LN(1-EXP(-Tabella12[Theta vib16]/Tabella11[[#This Row],[Temperatura]]))    )</f>
        <v>0.35073120070620389</v>
      </c>
      <c r="U53" s="32" cm="1">
        <f t="array" ref="U53">(    (Tabella12[Theta vib17]/Tabella11[[#This Row],[Temperatura]]) /(EXP(Tabella12[Theta vib17]/Tabella11[[#This Row],[Temperatura]])-1) - LN(1-EXP(-Tabella12[Theta vib17]/Tabella11[[#This Row],[Temperatura]]))    )</f>
        <v>0.34585349827573508</v>
      </c>
      <c r="V53" s="32" cm="1">
        <f t="array" ref="V53">(    (Tabella12[Theta vib18]/Tabella11[[#This Row],[Temperatura]]) /(EXP(Tabella12[Theta vib18]/Tabella11[[#This Row],[Temperatura]])-1) - LN(1-EXP(-Tabella12[Theta vib18]/Tabella11[[#This Row],[Temperatura]]))    )</f>
        <v>0.34585349827573508</v>
      </c>
      <c r="W53" s="32" cm="1">
        <f t="array" ref="W53">Tabella3[Rydberg R]*SUM(Tabella11[[#This Row],[S vib 1]:[S vib 18]])</f>
        <v>138.9190752627415</v>
      </c>
      <c r="Y53" s="147"/>
    </row>
    <row r="54" spans="1:25" x14ac:dyDescent="0.35">
      <c r="D54" s="58">
        <v>2000</v>
      </c>
      <c r="E54" s="58" cm="1">
        <f t="array" ref="E54">(    (Tabella12[Theta vib 1]/Tabella11[[#This Row],[Temperatura]]) /(EXP(Tabella12[Theta vib 1]/Tabella11[[#This Row],[Temperatura]])-1) - LN(1-EXP(-Tabella12[Theta vib 1]/Tabella11[[#This Row],[Temperatura]]))    )</f>
        <v>2.5082959324406997</v>
      </c>
      <c r="F54" s="32" cm="1">
        <f t="array" ref="F54">(    (Tabella12[Theta vib2]/Tabella11[[#This Row],[Temperatura]]) /(EXP(Tabella12[Theta vib2]/Tabella11[[#This Row],[Temperatura]])-1) - LN(1-EXP(-Tabella12[Theta vib3]/Tabella11[[#This Row],[Temperatura]]))    )</f>
        <v>1.5369051613795102</v>
      </c>
      <c r="G54" s="32" cm="1">
        <f t="array" ref="G54">(    (Tabella12[Theta vib3]/Tabella11[[#This Row],[Temperatura]]) /(EXP(Tabella12[Theta vib3]/Tabella11[[#This Row],[Temperatura]])-1) - LN(1-EXP(-Tabella12[Theta vib3]/Tabella11[[#This Row],[Temperatura]]))    )</f>
        <v>1.5369051613795102</v>
      </c>
      <c r="H54" s="32" cm="1">
        <f t="array" ref="H54" xml:space="preserve">   (Tabella12[Theta vib4]/Tabella11[[#This Row],[Temperatura]]) /(EXP(Tabella12[Theta vib4]/Tabella11[[#This Row],[Temperatura]])-1) - LN(1-EXP(-Tabella12[Theta vib4]/Tabella11[[#This Row],[Temperatura]]))</f>
        <v>1.3520658470650293</v>
      </c>
      <c r="I54" s="32" cm="1">
        <f t="array" ref="I54">(    (Tabella12[Theta vib5]/Tabella11[[#This Row],[Temperatura]]) /(EXP(Tabella12[Theta vib5]/Tabella11[[#This Row],[Temperatura]])-1) - LN(1-EXP(-Tabella12[Theta vib5]/Tabella11[[#This Row],[Temperatura]]))    )</f>
        <v>1.1626486158657552</v>
      </c>
      <c r="J54" s="32" cm="1">
        <f t="array" ref="J54">(    (Tabella12[Theta vib6]/Tabella11[[#This Row],[Temperatura]]) /(EXP(Tabella12[Theta vib6]/Tabella11[[#This Row],[Temperatura]])-1) - LN(1-EXP(-Tabella12[Theta vib6]/Tabella11[[#This Row],[Temperatura]]))    )</f>
        <v>1.1626486158657552</v>
      </c>
      <c r="K54" s="32" cm="1">
        <f t="array" ref="K54">(    (Tabella12[Theta vib7]/Tabella11[[#This Row],[Temperatura]]) /(EXP(Tabella12[Theta vib7]/Tabella11[[#This Row],[Temperatura]])-1) - LN(1-EXP(-Tabella12[Theta vib7]/Tabella11[[#This Row],[Temperatura]]))    )</f>
        <v>1.0286323555319996</v>
      </c>
      <c r="L54" s="32" cm="1">
        <f t="array" ref="L54">(    (Tabella12[Theta vib8]/Tabella11[[#This Row],[Temperatura]]) /(EXP(Tabella12[Theta vib8]/Tabella11[[#This Row],[Temperatura]])-1) - LN(1-EXP(-Tabella12[Theta vib8]/Tabella11[[#This Row],[Temperatura]]))    )</f>
        <v>1.0146665145889056</v>
      </c>
      <c r="M54" s="32" cm="1">
        <f t="array" ref="M54">(    (Tabella12[Theta vib9]/Tabella11[[#This Row],[Temperatura]]) /(EXP(Tabella12[Theta vib9]/Tabella11[[#This Row],[Temperatura]])-1) - LN(1-EXP(-Tabella12[Theta vib9]/Tabella11[[#This Row],[Temperatura]]))    )</f>
        <v>0.96628435555356451</v>
      </c>
      <c r="N54" s="32" cm="1">
        <f t="array" ref="N54">(    (Tabella12[Theta vib10]/Tabella11[[#This Row],[Temperatura]]) /(EXP(Tabella12[Theta vib10]/Tabella11[[#This Row],[Temperatura]])-1) - LN(1-EXP(-Tabella12[Theta vib10]/Tabella11[[#This Row],[Temperatura]]))    )</f>
        <v>0.96628435555356451</v>
      </c>
      <c r="O54" s="32" cm="1">
        <f t="array" ref="O54">(    (Tabella12[Theta vib10]/Tabella11[[#This Row],[Temperatura]]) /(EXP(Tabella12[Theta vib11]/Tabella11[[#This Row],[Temperatura]])-1) - LN(1-EXP(-Tabella12[Theta vib11]/Tabella11[[#This Row],[Temperatura]]))    )</f>
        <v>0.9647099242686652</v>
      </c>
      <c r="P54" s="32" cm="1">
        <f t="array" ref="P54">(    (Tabella12[Theta vib12]/Tabella11[[#This Row],[Temperatura]]) /(EXP(Tabella12[Theta vib12]/Tabella11[[#This Row],[Temperatura]])-1) - LN(1-EXP(-Tabella12[Theta vib12]/Tabella11[[#This Row],[Temperatura]]))    )</f>
        <v>0.96530620927686361</v>
      </c>
      <c r="Q54" s="32" cm="1">
        <f t="array" ref="Q54">(    (Tabella12[Theta vib13]/Tabella11[[#This Row],[Temperatura]]) /(EXP(Tabella12[Theta vib13]/Tabella11[[#This Row],[Temperatura]])-1) - LN(1-EXP(-Tabella12[Theta vib13]/Tabella11[[#This Row],[Temperatura]]))    )</f>
        <v>0.39641898043270174</v>
      </c>
      <c r="R54" s="32" cm="1">
        <f t="array" ref="R54">(    (Tabella12[Theta vib14]/Tabella11[[#This Row],[Temperatura]]) /(EXP(Tabella12[Theta vib14]/Tabella11[[#This Row],[Temperatura]])-1) - LN(1-EXP(-Tabella12[Theta vib14]/Tabella11[[#This Row],[Temperatura]]))    )</f>
        <v>0.39618493589096343</v>
      </c>
      <c r="S54" s="32" cm="1">
        <f t="array" ref="S54">(    (Tabella12[Theta vib15]/Tabella11[[#This Row],[Temperatura]]) /(EXP(Tabella12[Theta vib15]/Tabella11[[#This Row],[Temperatura]])-1) - LN(1-EXP(-Tabella12[Theta vib15]/Tabella11[[#This Row],[Temperatura]]))    )</f>
        <v>0.38456194738143623</v>
      </c>
      <c r="T54" s="32" cm="1">
        <f t="array" ref="T54">(    (Tabella12[Theta vib16]/Tabella11[[#This Row],[Temperatura]]) /(EXP(Tabella12[Theta vib16]/Tabella11[[#This Row],[Temperatura]])-1) - LN(1-EXP(-Tabella12[Theta vib16]/Tabella11[[#This Row],[Temperatura]]))    )</f>
        <v>0.38456194738143623</v>
      </c>
      <c r="U54" s="32" cm="1">
        <f t="array" ref="U54">(    (Tabella12[Theta vib17]/Tabella11[[#This Row],[Temperatura]]) /(EXP(Tabella12[Theta vib17]/Tabella11[[#This Row],[Temperatura]])-1) - LN(1-EXP(-Tabella12[Theta vib17]/Tabella11[[#This Row],[Temperatura]]))    )</f>
        <v>0.37947838006358781</v>
      </c>
      <c r="V54" s="32" cm="1">
        <f t="array" ref="V54">(    (Tabella12[Theta vib18]/Tabella11[[#This Row],[Temperatura]]) /(EXP(Tabella12[Theta vib18]/Tabella11[[#This Row],[Temperatura]])-1) - LN(1-EXP(-Tabella12[Theta vib18]/Tabella11[[#This Row],[Temperatura]]))    )</f>
        <v>0.37947838006358781</v>
      </c>
      <c r="W54" s="32" cm="1">
        <f t="array" ref="W54">Tabella3[Rydberg R]*SUM(Tabella11[[#This Row],[S vib 1]:[S vib 18]])</f>
        <v>145.38700612829481</v>
      </c>
      <c r="Y54" s="148"/>
    </row>
    <row r="55" spans="1:25" x14ac:dyDescent="0.35">
      <c r="D55" s="139" t="s">
        <v>122</v>
      </c>
      <c r="E55" s="32">
        <f>E54-E37</f>
        <v>1.8179823949447804</v>
      </c>
      <c r="F55" s="32">
        <f t="shared" ref="F55" si="7">F54-F37</f>
        <v>1.4421497328707078</v>
      </c>
      <c r="G55" s="32">
        <f t="shared" ref="G55" si="8">G54-G37</f>
        <v>1.4421497328707078</v>
      </c>
      <c r="H55" s="32">
        <f t="shared" ref="H55" si="9">H54-H37</f>
        <v>1.3047094798329779</v>
      </c>
      <c r="I55" s="32">
        <f t="shared" ref="I55" si="10">I54-I37</f>
        <v>1.1434235520137459</v>
      </c>
      <c r="J55" s="32">
        <f t="shared" ref="J55" si="11">J54-J37</f>
        <v>1.1434235520137459</v>
      </c>
      <c r="K55" s="32">
        <f t="shared" ref="K55" si="12">K54-K37</f>
        <v>1.0199075394910624</v>
      </c>
      <c r="L55" s="32">
        <f t="shared" ref="L55" si="13">L54-L37</f>
        <v>1.0067011081539214</v>
      </c>
      <c r="M55" s="32">
        <f t="shared" ref="M55" si="14">M54-M37</f>
        <v>0.96055661575637041</v>
      </c>
      <c r="N55" s="32">
        <f t="shared" ref="N55" si="15">N54-N37</f>
        <v>0.96055661575637041</v>
      </c>
      <c r="O55" s="32">
        <f t="shared" ref="O55" si="16">O54-O37</f>
        <v>0.95902699099943844</v>
      </c>
      <c r="P55" s="32">
        <f>P54-P37</f>
        <v>0.95961788680367699</v>
      </c>
      <c r="Q55" s="32">
        <f t="shared" ref="Q55" si="17">Q54-Q37</f>
        <v>0.3964122060496923</v>
      </c>
      <c r="R55" s="32">
        <f t="shared" ref="R55" si="18">R54-R37</f>
        <v>0.39617819333804455</v>
      </c>
      <c r="S55" s="32">
        <f t="shared" ref="S55" si="19">S54-S37</f>
        <v>0.38455663089176018</v>
      </c>
      <c r="T55" s="32">
        <f t="shared" ref="T55" si="20">T54-T37</f>
        <v>0.38455663089176018</v>
      </c>
      <c r="U55" s="32">
        <f t="shared" ref="U55" si="21">U54-U37</f>
        <v>0.3794735997057434</v>
      </c>
      <c r="V55" s="32">
        <f t="shared" ref="V55" si="22">V54-V37</f>
        <v>0.3794735997057434</v>
      </c>
      <c r="W55" s="32">
        <f>W54-W37</f>
        <v>137.02946164088809</v>
      </c>
    </row>
    <row r="57" spans="1:25" x14ac:dyDescent="0.3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25" x14ac:dyDescent="0.35">
      <c r="A58" s="18">
        <v>298.14999999999998</v>
      </c>
      <c r="B58" s="32" cm="1">
        <f t="array" ref="B58">(Tabella3[Boltzmann k]*Tabella5[[#This Row],[Temperatura]])/101325</f>
        <v>4.0625758633111278E-26</v>
      </c>
      <c r="C58" s="32" cm="1">
        <f t="array" ref="C58">POWER((2*Tabella3[Pi Greco]*Tabella3[Massa '[kg']]*Tabella3[Boltzmann k]*Tabella5[[#This Row],[Temperatura]])/(POWER(Tabella3[Planck h],2)),1.5)*Tabella5[[#This Row],[Volume]]</f>
        <v>6470581.9145850465</v>
      </c>
      <c r="D58" s="32">
        <f t="shared" ref="D58:D75" si="23">T15</f>
        <v>6.5945590604710912E-35</v>
      </c>
      <c r="E58" s="32" cm="1">
        <f t="array" ref="E58">(SQRT(PI())/Tabella6[Simmetria])*(SQRT(POWER(Tabella5[[#This Row],[Temperatura]],3)/PRODUCT($G$7,$H$7,$I$7)))</f>
        <v>812.96149024707336</v>
      </c>
      <c r="F58" s="18" cm="1">
        <f t="array" ref="F58">Tabella636[Gel]*EXP(0)</f>
        <v>1</v>
      </c>
      <c r="H58" s="45">
        <v>298.14999999999998</v>
      </c>
      <c r="I58" s="18" cm="1">
        <f t="array" ref="I58">POWER((2*PI()*Tabella3[Massa '[kg']]*Tabella3[Boltzmann k]*Tabella1[[#This Row],[Temperatura]])/(POWER(Tabella3[Planck h],2)),1.5)</f>
        <v>1.5927288824365036E+32</v>
      </c>
      <c r="J58" s="32" cm="1">
        <f t="array" ref="J58">(Tabella1[[#This Row],[Temperatura]]*Tabella3[Boltzmann k])/101325</f>
        <v>4.0625758633111278E-26</v>
      </c>
      <c r="K58" s="32" cm="1">
        <f t="array" ref="K58">Tabella3[Rydberg R]*(2.5+LN(Tabella1[[#This Row],[Volume]]*Tabella1[[#This Row],[Translational Factor]]))</f>
        <v>151.18001635595064</v>
      </c>
      <c r="M58" s="45">
        <v>298.14999999999998</v>
      </c>
      <c r="N58" s="18" cm="1">
        <f t="array" ref="N58">Tabella3[Rydberg R]*(1.5+LN(SQRT(PI()*POWER(Tabella13[[#This Row],[Temperatura]],3)/(Tabella6[Simmetria]*Tabella6[Simmetria]*PRODUCT($G$7:$I$7)))))</f>
        <v>68.1842784062204</v>
      </c>
    </row>
    <row r="59" spans="1:25" x14ac:dyDescent="0.35">
      <c r="A59" s="18">
        <v>400</v>
      </c>
      <c r="B59" s="32" cm="1">
        <f t="array" ref="B59">(Tabella3[Boltzmann k]*Tabella5[[#This Row],[Temperatura]])/101325</f>
        <v>5.4503784850727862E-26</v>
      </c>
      <c r="C59" s="32" cm="1">
        <f t="array" ref="C59">POWER((2*Tabella3[Pi Greco]*Tabella3[Massa '[kg']]*Tabella3[Boltzmann k]*Tabella5[[#This Row],[Temperatura]])/(POWER(Tabella3[Planck h],2)),1.5)*Tabella5[[#This Row],[Volume]]</f>
        <v>13489824.004218774</v>
      </c>
      <c r="D59" s="32">
        <f t="shared" si="23"/>
        <v>4.7556422044129941E-26</v>
      </c>
      <c r="E59" s="32" cm="1">
        <f t="array" ref="E59">(SQRT(PI())/Tabella6[Simmetria])*(SQRT(POWER(Tabella5[[#This Row],[Temperatura]],3)/PRODUCT($G$7,$H$7,$I$7)))</f>
        <v>1263.3036186376701</v>
      </c>
      <c r="F59" s="18" cm="1">
        <f t="array" ref="F59">Tabella636[Gel]*EXP(0)</f>
        <v>1</v>
      </c>
      <c r="H59" s="45">
        <v>400</v>
      </c>
      <c r="I59" s="18" cm="1">
        <f t="array" ref="I59">POWER((2*PI()*Tabella3[Massa '[kg']]*Tabella3[Boltzmann k]*Tabella1[[#This Row],[Temperatura]])/(POWER(Tabella3[Planck h],2)),1.5)</f>
        <v>2.475025182409626E+32</v>
      </c>
      <c r="J59" s="32" cm="1">
        <f t="array" ref="J59">(Tabella1[[#This Row],[Temperatura]]*Tabella3[Boltzmann k])/101325</f>
        <v>5.4503784850727862E-26</v>
      </c>
      <c r="K59" s="32" cm="1">
        <f t="array" ref="K59">Tabella3[Rydberg R]*(2.5+LN(Tabella1[[#This Row],[Volume]]*Tabella1[[#This Row],[Translational Factor]]))</f>
        <v>157.2883991058572</v>
      </c>
      <c r="M59" s="45">
        <v>400</v>
      </c>
      <c r="N59" s="18" cm="1">
        <f t="array" ref="N59">Tabella3[Rydberg R]*(1.5+LN(SQRT(PI()*POWER(Tabella13[[#This Row],[Temperatura]],3)/(Tabella6[Simmetria]*Tabella6[Simmetria]*PRODUCT($G$7:$I$7)))))</f>
        <v>71.849308056164361</v>
      </c>
    </row>
    <row r="60" spans="1:25" x14ac:dyDescent="0.35">
      <c r="A60" s="18">
        <v>500</v>
      </c>
      <c r="B60" s="32" cm="1">
        <f t="array" ref="B60">(Tabella3[Boltzmann k]*Tabella5[[#This Row],[Temperatura]])/101325</f>
        <v>6.8129731063409828E-26</v>
      </c>
      <c r="C60" s="32" cm="1">
        <f t="array" ref="C60">POWER((2*Tabella3[Pi Greco]*Tabella3[Massa '[kg']]*Tabella3[Boltzmann k]*Tabella5[[#This Row],[Temperatura]])/(POWER(Tabella3[Planck h],2)),1.5)*Tabella5[[#This Row],[Volume]]</f>
        <v>23565752.717142001</v>
      </c>
      <c r="D60" s="32">
        <f t="shared" si="23"/>
        <v>8.7541783673708365E-21</v>
      </c>
      <c r="E60" s="32" cm="1">
        <f t="array" ref="E60">(SQRT(PI())/Tabella6[Simmetria])*(SQRT(POWER(Tabella5[[#This Row],[Temperatura]],3)/PRODUCT($G$7,$H$7,$I$7)))</f>
        <v>1765.520479684563</v>
      </c>
      <c r="F60" s="18" cm="1">
        <f t="array" ref="F60">Tabella636[Gel]*EXP(0)</f>
        <v>1</v>
      </c>
      <c r="H60" s="45">
        <v>500</v>
      </c>
      <c r="I60" s="18" cm="1">
        <f t="array" ref="I60">POWER((2*PI()*Tabella3[Massa '[kg']]*Tabella3[Boltzmann k]*Tabella1[[#This Row],[Temperatura]])/(POWER(Tabella3[Planck h],2)),1.5)</f>
        <v>3.4589528461823579E+32</v>
      </c>
      <c r="J60" s="32" cm="1">
        <f t="array" ref="J60">(Tabella1[[#This Row],[Temperatura]]*Tabella3[Boltzmann k])/101325</f>
        <v>6.8129731063409828E-26</v>
      </c>
      <c r="K60" s="32" cm="1">
        <f t="array" ref="K60">Tabella3[Rydberg R]*(2.5+LN(Tabella1[[#This Row],[Volume]]*Tabella1[[#This Row],[Translational Factor]]))</f>
        <v>161.92669589548163</v>
      </c>
      <c r="M60" s="45">
        <v>500</v>
      </c>
      <c r="N60" s="18" cm="1">
        <f t="array" ref="N60">Tabella3[Rydberg R]*(1.5+LN(SQRT(PI()*POWER(Tabella13[[#This Row],[Temperatura]],3)/(Tabella6[Simmetria]*Tabella6[Simmetria]*PRODUCT($G$7:$I$7)))))</f>
        <v>74.632286129939004</v>
      </c>
    </row>
    <row r="61" spans="1:25" x14ac:dyDescent="0.35">
      <c r="A61" s="18">
        <v>600</v>
      </c>
      <c r="B61" s="32" cm="1">
        <f t="array" ref="B61">(Tabella3[Boltzmann k]*Tabella5[[#This Row],[Temperatura]])/101325</f>
        <v>8.1755677276091782E-26</v>
      </c>
      <c r="C61" s="32" cm="1">
        <f t="array" ref="C61">POWER((2*Tabella3[Pi Greco]*Tabella3[Massa '[kg']]*Tabella3[Boltzmann k]*Tabella5[[#This Row],[Temperatura]])/(POWER(Tabella3[Planck h],2)),1.5)*Tabella5[[#This Row],[Volume]]</f>
        <v>37173583.721569471</v>
      </c>
      <c r="D61" s="32">
        <f t="shared" si="23"/>
        <v>3.3633402764428401E-17</v>
      </c>
      <c r="E61" s="32" cm="1">
        <f t="array" ref="E61">(SQRT(PI())/Tabella6[Simmetria])*(SQRT(POWER(Tabella5[[#This Row],[Temperatura]],3)/PRODUCT($G$7,$H$7,$I$7)))</f>
        <v>2320.8369419053838</v>
      </c>
      <c r="F61" s="18" cm="1">
        <f t="array" ref="F61">Tabella636[Gel]*EXP(0)</f>
        <v>1</v>
      </c>
      <c r="H61" s="45">
        <v>600</v>
      </c>
      <c r="I61" s="18" cm="1">
        <f t="array" ref="I61">POWER((2*PI()*Tabella3[Massa '[kg']]*Tabella3[Boltzmann k]*Tabella1[[#This Row],[Temperatura]])/(POWER(Tabella3[Planck h],2)),1.5)</f>
        <v>4.5469115980818042E+32</v>
      </c>
      <c r="J61" s="32" cm="1">
        <f t="array" ref="J61">(Tabella1[[#This Row],[Temperatura]]*Tabella3[Boltzmann k])/101325</f>
        <v>8.1755677276091782E-26</v>
      </c>
      <c r="K61" s="32" cm="1">
        <f t="array" ref="K61">Tabella3[Rydberg R]*(2.5+LN(Tabella1[[#This Row],[Volume]]*Tabella1[[#This Row],[Translational Factor]]))</f>
        <v>165.71646031652878</v>
      </c>
      <c r="M61" s="45">
        <v>600</v>
      </c>
      <c r="N61" s="18" cm="1">
        <f t="array" ref="N61">Tabella3[Rydberg R]*(1.5+LN(SQRT(PI()*POWER(Tabella13[[#This Row],[Temperatura]],3)/(Tabella6[Simmetria]*Tabella6[Simmetria]*PRODUCT($G$7:$I$7)))))</f>
        <v>76.906144782567338</v>
      </c>
    </row>
    <row r="62" spans="1:25" x14ac:dyDescent="0.35">
      <c r="A62" s="18">
        <v>700</v>
      </c>
      <c r="B62" s="32" cm="1">
        <f t="array" ref="B62">(Tabella3[Boltzmann k]*Tabella5[[#This Row],[Temperatura]])/101325</f>
        <v>9.5381623488773759E-26</v>
      </c>
      <c r="C62" s="32" cm="1">
        <f t="array" ref="C62">POWER((2*Tabella3[Pi Greco]*Tabella3[Massa '[kg']]*Tabella3[Boltzmann k]*Tabella5[[#This Row],[Temperatura]])/(POWER(Tabella3[Planck h],2)),1.5)*Tabella5[[#This Row],[Volume]]</f>
        <v>54651414.303576306</v>
      </c>
      <c r="D62" s="32">
        <f t="shared" si="23"/>
        <v>1.4290784546827811E-14</v>
      </c>
      <c r="E62" s="32" cm="1">
        <f t="array" ref="E62">(SQRT(PI())/Tabella6[Simmetria])*(SQRT(POWER(Tabella5[[#This Row],[Temperatura]],3)/PRODUCT($G$7,$H$7,$I$7)))</f>
        <v>2924.5888046228501</v>
      </c>
      <c r="F62" s="18" cm="1">
        <f t="array" ref="F62">Tabella636[Gel]*EXP(0)</f>
        <v>1</v>
      </c>
      <c r="H62" s="45">
        <v>700</v>
      </c>
      <c r="I62" s="18" cm="1">
        <f t="array" ref="I62">POWER((2*PI()*Tabella3[Massa '[kg']]*Tabella3[Boltzmann k]*Tabella1[[#This Row],[Temperatura]])/(POWER(Tabella3[Planck h],2)),1.5)</f>
        <v>5.729763481118423E+32</v>
      </c>
      <c r="J62" s="32" cm="1">
        <f t="array" ref="J62">(Tabella1[[#This Row],[Temperatura]]*Tabella3[Boltzmann k])/101325</f>
        <v>9.5381623488773759E-26</v>
      </c>
      <c r="K62" s="32" cm="1">
        <f t="array" ref="K62">Tabella3[Rydberg R]*(2.5+LN(Tabella1[[#This Row],[Volume]]*Tabella1[[#This Row],[Translational Factor]]))</f>
        <v>168.92066047893647</v>
      </c>
      <c r="M62" s="45">
        <v>700</v>
      </c>
      <c r="N62" s="18" cm="1">
        <f t="array" ref="N62">Tabella3[Rydberg R]*(1.5+LN(SQRT(PI()*POWER(Tabella13[[#This Row],[Temperatura]],3)/(Tabella6[Simmetria]*Tabella6[Simmetria]*PRODUCT($G$7:$I$7)))))</f>
        <v>78.828664880011885</v>
      </c>
    </row>
    <row r="63" spans="1:25" x14ac:dyDescent="0.35">
      <c r="A63" s="18">
        <v>800</v>
      </c>
      <c r="B63" s="32" cm="1">
        <f t="array" ref="B63">(Tabella3[Boltzmann k]*Tabella5[[#This Row],[Temperatura]])/101325</f>
        <v>1.0900756970145572E-25</v>
      </c>
      <c r="C63" s="32" cm="1">
        <f t="array" ref="C63">POWER((2*Tabella3[Pi Greco]*Tabella3[Massa '[kg']]*Tabella3[Boltzmann k]*Tabella5[[#This Row],[Temperatura]])/(POWER(Tabella3[Planck h],2)),1.5)*Tabella5[[#This Row],[Volume]]</f>
        <v>76309968.243169516</v>
      </c>
      <c r="D63" s="32">
        <f t="shared" si="23"/>
        <v>1.5378848577360002E-12</v>
      </c>
      <c r="E63" s="32" cm="1">
        <f t="array" ref="E63">(SQRT(PI())/Tabella6[Simmetria])*(SQRT(POWER(Tabella5[[#This Row],[Temperatura]],3)/PRODUCT($G$7,$H$7,$I$7)))</f>
        <v>3573.1622217448025</v>
      </c>
      <c r="F63" s="18" cm="1">
        <f t="array" ref="F63">Tabella636[Gel]*EXP(0)</f>
        <v>1</v>
      </c>
      <c r="H63" s="45">
        <v>800</v>
      </c>
      <c r="I63" s="18" cm="1">
        <f t="array" ref="I63">POWER((2*PI()*Tabella3[Massa '[kg']]*Tabella3[Boltzmann k]*Tabella1[[#This Row],[Temperatura]])/(POWER(Tabella3[Planck h],2)),1.5)</f>
        <v>7.0004283603572938E+32</v>
      </c>
      <c r="J63" s="32" cm="1">
        <f t="array" ref="J63">(Tabella1[[#This Row],[Temperatura]]*Tabella3[Boltzmann k])/101325</f>
        <v>1.0900756970145572E-25</v>
      </c>
      <c r="K63" s="32" cm="1">
        <f t="array" ref="K63">Tabella3[Rydberg R]*(2.5+LN(Tabella1[[#This Row],[Volume]]*Tabella1[[#This Row],[Translational Factor]]))</f>
        <v>171.6962649097016</v>
      </c>
      <c r="M63" s="45">
        <v>800</v>
      </c>
      <c r="N63" s="18" cm="1">
        <f t="array" ref="N63">Tabella3[Rydberg R]*(1.5+LN(SQRT(PI()*POWER(Tabella13[[#This Row],[Temperatura]],3)/(Tabella6[Simmetria]*Tabella6[Simmetria]*PRODUCT($G$7:$I$7)))))</f>
        <v>80.494027538470988</v>
      </c>
    </row>
    <row r="64" spans="1:25" x14ac:dyDescent="0.35">
      <c r="A64" s="18">
        <v>900</v>
      </c>
      <c r="B64" s="32" cm="1">
        <f t="array" ref="B64">(Tabella3[Boltzmann k]*Tabella5[[#This Row],[Temperatura]])/101325</f>
        <v>1.2263351591413768E-25</v>
      </c>
      <c r="C64" s="32" cm="1">
        <f t="array" ref="C64">POWER((2*Tabella3[Pi Greco]*Tabella3[Massa '[kg']]*Tabella3[Boltzmann k]*Tabella5[[#This Row],[Temperatura]])/(POWER(Tabella3[Planck h],2)),1.5)*Tabella5[[#This Row],[Volume]]</f>
        <v>102438351.03203647</v>
      </c>
      <c r="D64" s="32">
        <f t="shared" si="23"/>
        <v>6.624054532472281E-11</v>
      </c>
      <c r="E64" s="32" cm="1">
        <f t="array" ref="E64">(SQRT(PI())/Tabella6[Simmetria])*(SQRT(POWER(Tabella5[[#This Row],[Temperatura]],3)/PRODUCT($G$7,$H$7,$I$7)))</f>
        <v>4263.6497129021363</v>
      </c>
      <c r="F64" s="18" cm="1">
        <f t="array" ref="F64">Tabella636[Gel]*EXP(0)</f>
        <v>1</v>
      </c>
      <c r="H64" s="45">
        <v>900</v>
      </c>
      <c r="I64" s="18" cm="1">
        <f t="array" ref="I64">POWER((2*PI()*Tabella3[Massa '[kg']]*Tabella3[Boltzmann k]*Tabella1[[#This Row],[Temperatura]])/(POWER(Tabella3[Planck h],2)),1.5)</f>
        <v>8.3532099906325014E+32</v>
      </c>
      <c r="J64" s="32" cm="1">
        <f t="array" ref="J64">(Tabella1[[#This Row],[Temperatura]]*Tabella3[Boltzmann k])/101325</f>
        <v>1.2263351591413768E-25</v>
      </c>
      <c r="K64" s="32" cm="1">
        <f t="array" ref="K64">Tabella3[Rydberg R]*(2.5+LN(Tabella1[[#This Row],[Volume]]*Tabella1[[#This Row],[Translational Factor]]))</f>
        <v>174.14452152720051</v>
      </c>
      <c r="M64" s="45">
        <v>900</v>
      </c>
      <c r="N64" s="18" cm="1">
        <f t="array" ref="N64">Tabella3[Rydberg R]*(1.5+LN(SQRT(PI()*POWER(Tabella13[[#This Row],[Temperatura]],3)/(Tabella6[Simmetria]*Tabella6[Simmetria]*PRODUCT($G$7:$I$7)))))</f>
        <v>81.962981508970344</v>
      </c>
    </row>
    <row r="65" spans="1:24" x14ac:dyDescent="0.35">
      <c r="A65" s="18">
        <v>1000</v>
      </c>
      <c r="B65" s="32" cm="1">
        <f t="array" ref="B65">(Tabella3[Boltzmann k]*Tabella5[[#This Row],[Temperatura]])/101325</f>
        <v>1.3625946212681966E-25</v>
      </c>
      <c r="C65" s="32" cm="1">
        <f t="array" ref="C65">POWER((2*Tabella3[Pi Greco]*Tabella3[Massa '[kg']]*Tabella3[Boltzmann k]*Tabella5[[#This Row],[Temperatura]])/(POWER(Tabella3[Planck h],2)),1.5)*Tabella5[[#This Row],[Volume]]</f>
        <v>133308028.40044981</v>
      </c>
      <c r="D65" s="32">
        <f t="shared" si="23"/>
        <v>1.5006777562711866E-9</v>
      </c>
      <c r="E65" s="32" cm="1">
        <f t="array" ref="E65">(SQRT(PI())/Tabella6[Simmetria])*(SQRT(POWER(Tabella5[[#This Row],[Temperatura]],3)/PRODUCT($G$7,$H$7,$I$7)))</f>
        <v>4993.6460140347226</v>
      </c>
      <c r="F65" s="18" cm="1">
        <f t="array" ref="F65">Tabella636[Gel]*EXP(0)</f>
        <v>1</v>
      </c>
      <c r="H65" s="45">
        <v>1000</v>
      </c>
      <c r="I65" s="18" cm="1">
        <f t="array" ref="I65">POWER((2*PI()*Tabella3[Massa '[kg']]*Tabella3[Boltzmann k]*Tabella1[[#This Row],[Temperatura]])/(POWER(Tabella3[Planck h],2)),1.5)</f>
        <v>9.783396053360105E+32</v>
      </c>
      <c r="J65" s="32" cm="1">
        <f t="array" ref="J65">(Tabella1[[#This Row],[Temperatura]]*Tabella3[Boltzmann k])/101325</f>
        <v>1.3625946212681966E-25</v>
      </c>
      <c r="K65" s="32" cm="1">
        <f t="array" ref="K65">Tabella3[Rydberg R]*(2.5+LN(Tabella1[[#This Row],[Volume]]*Tabella1[[#This Row],[Translational Factor]]))</f>
        <v>176.33456169932597</v>
      </c>
      <c r="M65" s="45">
        <v>1000</v>
      </c>
      <c r="N65" s="18" cm="1">
        <f t="array" ref="N65">Tabella3[Rydberg R]*(1.5+LN(SQRT(PI()*POWER(Tabella13[[#This Row],[Temperatura]],3)/(Tabella6[Simmetria]*Tabella6[Simmetria]*PRODUCT($G$7:$I$7)))))</f>
        <v>83.277005612245645</v>
      </c>
    </row>
    <row r="66" spans="1:24" x14ac:dyDescent="0.35">
      <c r="A66" s="18">
        <v>1100</v>
      </c>
      <c r="B66" s="32" cm="1">
        <f t="array" ref="B66">(Tabella3[Boltzmann k]*Tabella5[[#This Row],[Temperatura]])/101325</f>
        <v>1.4988540833950161E-25</v>
      </c>
      <c r="C66" s="32" cm="1">
        <f t="array" ref="C66">POWER((2*Tabella3[Pi Greco]*Tabella3[Massa '[kg']]*Tabella3[Boltzmann k]*Tabella5[[#This Row],[Temperatura]])/(POWER(Tabella3[Planck h],2)),1.5)*Tabella5[[#This Row],[Volume]]</f>
        <v>169175714.05939773</v>
      </c>
      <c r="D66" s="32">
        <f t="shared" si="23"/>
        <v>2.1260318907851576E-8</v>
      </c>
      <c r="E66" s="32" cm="1">
        <f t="array" ref="E66">(SQRT(PI())/Tabella6[Simmetria])*(SQRT(POWER(Tabella5[[#This Row],[Temperatura]],3)/PRODUCT($G$7,$H$7,$I$7)))</f>
        <v>5761.1181365641487</v>
      </c>
      <c r="F66" s="18" cm="1">
        <f t="array" ref="F66">Tabella636[Gel]*EXP(0)</f>
        <v>1</v>
      </c>
      <c r="H66" s="45">
        <v>1100</v>
      </c>
      <c r="I66" s="18" cm="1">
        <f t="array" ref="I66">POWER((2*PI()*Tabella3[Massa '[kg']]*Tabella3[Boltzmann k]*Tabella1[[#This Row],[Temperatura]])/(POWER(Tabella3[Planck h],2)),1.5)</f>
        <v>1.1287003580508794E+33</v>
      </c>
      <c r="J66" s="32" cm="1">
        <f t="array" ref="J66">(Tabella1[[#This Row],[Temperatura]]*Tabella3[Boltzmann k])/101325</f>
        <v>1.4988540833950161E-25</v>
      </c>
      <c r="K66" s="32" cm="1">
        <f t="array" ref="K66">Tabella3[Rydberg R]*(2.5+LN(Tabella1[[#This Row],[Volume]]*Tabella1[[#This Row],[Translational Factor]]))</f>
        <v>178.3156940170708</v>
      </c>
      <c r="M66" s="45">
        <v>1100</v>
      </c>
      <c r="N66" s="18" cm="1">
        <f t="array" ref="N66">Tabella3[Rydberg R]*(1.5+LN(SQRT(PI()*POWER(Tabella13[[#This Row],[Temperatura]],3)/(Tabella6[Simmetria]*Tabella6[Simmetria]*PRODUCT($G$7:$I$7)))))</f>
        <v>84.465685002892528</v>
      </c>
    </row>
    <row r="67" spans="1:24" x14ac:dyDescent="0.35">
      <c r="A67" s="18">
        <v>1200</v>
      </c>
      <c r="B67" s="32" cm="1">
        <f t="array" ref="B67">(Tabella3[Boltzmann k]*Tabella5[[#This Row],[Temperatura]])/101325</f>
        <v>1.6351135455218356E-25</v>
      </c>
      <c r="C67" s="32" cm="1">
        <f t="array" ref="C67">POWER((2*Tabella3[Pi Greco]*Tabella3[Massa '[kg']]*Tabella3[Boltzmann k]*Tabella5[[#This Row],[Temperatura]])/(POWER(Tabella3[Planck h],2)),1.5)*Tabella5[[#This Row],[Volume]]</f>
        <v>210285545.04422161</v>
      </c>
      <c r="D67" s="32">
        <f t="shared" si="23"/>
        <v>2.112953816588889E-7</v>
      </c>
      <c r="E67" s="32" cm="1">
        <f t="array" ref="E67">(SQRT(PI())/Tabella6[Simmetria])*(SQRT(POWER(Tabella5[[#This Row],[Temperatura]],3)/PRODUCT($G$7,$H$7,$I$7)))</f>
        <v>6564.3181585981856</v>
      </c>
      <c r="F67" s="18" cm="1">
        <f t="array" ref="F67">Tabella636[Gel]*EXP(0)</f>
        <v>1</v>
      </c>
      <c r="H67" s="45">
        <v>1200</v>
      </c>
      <c r="I67" s="18" cm="1">
        <f t="array" ref="I67">POWER((2*PI()*Tabella3[Massa '[kg']]*Tabella3[Boltzmann k]*Tabella1[[#This Row],[Temperatura]])/(POWER(Tabella3[Planck h],2)),1.5)</f>
        <v>1.2860608097837656E+33</v>
      </c>
      <c r="J67" s="32" cm="1">
        <f t="array" ref="J67">(Tabella1[[#This Row],[Temperatura]]*Tabella3[Boltzmann k])/101325</f>
        <v>1.6351135455218356E-25</v>
      </c>
      <c r="K67" s="32" cm="1">
        <f t="array" ref="K67">Tabella3[Rydberg R]*(2.5+LN(Tabella1[[#This Row],[Volume]]*Tabella1[[#This Row],[Translational Factor]]))</f>
        <v>180.12432612037324</v>
      </c>
      <c r="M67" s="45">
        <v>1200</v>
      </c>
      <c r="N67" s="18" cm="1">
        <f t="array" ref="N67">Tabella3[Rydberg R]*(1.5+LN(SQRT(PI()*POWER(Tabella13[[#This Row],[Temperatura]],3)/(Tabella6[Simmetria]*Tabella6[Simmetria]*PRODUCT($G$7:$I$7)))))</f>
        <v>85.550864264873994</v>
      </c>
    </row>
    <row r="68" spans="1:24" x14ac:dyDescent="0.35">
      <c r="A68" s="18">
        <v>1300</v>
      </c>
      <c r="B68" s="32" cm="1">
        <f t="array" ref="B68">(Tabella3[Boltzmann k]*Tabella5[[#This Row],[Temperatura]])/101325</f>
        <v>1.7713730076486554E-25</v>
      </c>
      <c r="C68" s="32" cm="1">
        <f t="array" ref="C68">POWER((2*Tabella3[Pi Greco]*Tabella3[Massa '[kg']]*Tabella3[Boltzmann k]*Tabella5[[#This Row],[Temperatura]])/(POWER(Tabella3[Planck h],2)),1.5)*Tabella5[[#This Row],[Volume]]</f>
        <v>256870769.13653305</v>
      </c>
      <c r="D68" s="32">
        <f t="shared" si="23"/>
        <v>1.5948187168629685E-6</v>
      </c>
      <c r="E68" s="32" cm="1">
        <f t="array" ref="E68">(SQRT(PI())/Tabella6[Simmetria])*(SQRT(POWER(Tabella5[[#This Row],[Temperatura]],3)/PRODUCT($G$7,$H$7,$I$7)))</f>
        <v>7401.722206900653</v>
      </c>
      <c r="F68" s="18" cm="1">
        <f t="array" ref="F68">Tabella636[Gel]*EXP(0)</f>
        <v>1</v>
      </c>
      <c r="H68" s="45">
        <v>1300</v>
      </c>
      <c r="I68" s="18" cm="1">
        <f t="array" ref="I68">POWER((2*PI()*Tabella3[Massa '[kg']]*Tabella3[Boltzmann k]*Tabella1[[#This Row],[Temperatura]])/(POWER(Tabella3[Planck h],2)),1.5)</f>
        <v>1.4501224080269056E+33</v>
      </c>
      <c r="J68" s="32" cm="1">
        <f t="array" ref="J68">(Tabella1[[#This Row],[Temperatura]]*Tabella3[Boltzmann k])/101325</f>
        <v>1.7713730076486554E-25</v>
      </c>
      <c r="K68" s="32" cm="1">
        <f t="array" ref="K68">Tabella3[Rydberg R]*(2.5+LN(Tabella1[[#This Row],[Volume]]*Tabella1[[#This Row],[Translational Factor]]))</f>
        <v>181.78810637236103</v>
      </c>
      <c r="M68" s="45">
        <v>1300</v>
      </c>
      <c r="N68" s="18" cm="1">
        <f t="array" ref="N68">Tabella3[Rydberg R]*(1.5+LN(SQRT(PI()*POWER(Tabella13[[#This Row],[Temperatura]],3)/(Tabella6[Simmetria]*Tabella6[Simmetria]*PRODUCT($G$7:$I$7)))))</f>
        <v>86.549132416066669</v>
      </c>
    </row>
    <row r="69" spans="1:24" x14ac:dyDescent="0.35">
      <c r="A69" s="18">
        <v>1400</v>
      </c>
      <c r="B69" s="32" cm="1">
        <f t="array" ref="B69">(Tabella3[Boltzmann k]*Tabella5[[#This Row],[Temperatura]])/101325</f>
        <v>1.9076324697754752E-25</v>
      </c>
      <c r="C69" s="32" cm="1">
        <f t="array" ref="C69">POWER((2*Tabella3[Pi Greco]*Tabella3[Massa '[kg']]*Tabella3[Boltzmann k]*Tabella5[[#This Row],[Temperatura]])/(POWER(Tabella3[Planck h],2)),1.5)*Tabella5[[#This Row],[Volume]]</f>
        <v>309155085.24395078</v>
      </c>
      <c r="D69" s="32">
        <f t="shared" si="23"/>
        <v>9.674022692368493E-6</v>
      </c>
      <c r="E69" s="32" cm="1">
        <f t="array" ref="E69">(SQRT(PI())/Tabella6[Simmetria])*(SQRT(POWER(Tabella5[[#This Row],[Temperatura]],3)/PRODUCT($G$7,$H$7,$I$7)))</f>
        <v>8271.9863037243049</v>
      </c>
      <c r="F69" s="18" cm="1">
        <f t="array" ref="F69">Tabella636[Gel]*EXP(0)</f>
        <v>1</v>
      </c>
      <c r="H69" s="45">
        <v>1400</v>
      </c>
      <c r="I69" s="18" cm="1">
        <f t="array" ref="I69">POWER((2*PI()*Tabella3[Massa '[kg']]*Tabella3[Boltzmann k]*Tabella1[[#This Row],[Temperatura]])/(POWER(Tabella3[Planck h],2)),1.5)</f>
        <v>1.6206218448375319E+33</v>
      </c>
      <c r="J69" s="32" cm="1">
        <f t="array" ref="J69">(Tabella1[[#This Row],[Temperatura]]*Tabella3[Boltzmann k])/101325</f>
        <v>1.9076324697754752E-25</v>
      </c>
      <c r="K69" s="32" cm="1">
        <f t="array" ref="K69">Tabella3[Rydberg R]*(2.5+LN(Tabella1[[#This Row],[Volume]]*Tabella1[[#This Row],[Translational Factor]]))</f>
        <v>183.32852628278079</v>
      </c>
      <c r="M69" s="45">
        <v>1400</v>
      </c>
      <c r="N69" s="18" cm="1">
        <f t="array" ref="N69">Tabella3[Rydberg R]*(1.5+LN(SQRT(PI()*POWER(Tabella13[[#This Row],[Temperatura]],3)/(Tabella6[Simmetria]*Tabella6[Simmetria]*PRODUCT($G$7:$I$7)))))</f>
        <v>87.473384362318527</v>
      </c>
    </row>
    <row r="70" spans="1:24" x14ac:dyDescent="0.35">
      <c r="A70" s="18">
        <v>1500</v>
      </c>
      <c r="B70" s="32" cm="1">
        <f t="array" ref="B70">(Tabella3[Boltzmann k]*Tabella5[[#This Row],[Temperatura]])/101325</f>
        <v>2.0438919319022949E-25</v>
      </c>
      <c r="C70" s="32" cm="1">
        <f t="array" ref="C70">POWER((2*Tabella3[Pi Greco]*Tabella3[Massa '[kg']]*Tabella3[Boltzmann k]*Tabella5[[#This Row],[Temperatura]])/(POWER(Tabella3[Planck h],2)),1.5)*Tabella5[[#This Row],[Volume]]</f>
        <v>367353729.22224712</v>
      </c>
      <c r="D70" s="32">
        <f t="shared" si="23"/>
        <v>4.9157169577138434E-5</v>
      </c>
      <c r="E70" s="32" cm="1">
        <f t="array" ref="E70">(SQRT(PI())/Tabella6[Simmetria])*(SQRT(POWER(Tabella5[[#This Row],[Temperatura]],3)/PRODUCT($G$7,$H$7,$I$7)))</f>
        <v>9173.9135178511169</v>
      </c>
      <c r="F70" s="18" cm="1">
        <f t="array" ref="F70">Tabella636[Gel]*EXP(0)</f>
        <v>1</v>
      </c>
      <c r="H70" s="45">
        <v>1500</v>
      </c>
      <c r="I70" s="18" cm="1">
        <f t="array" ref="I70">POWER((2*PI()*Tabella3[Massa '[kg']]*Tabella3[Boltzmann k]*Tabella1[[#This Row],[Temperatura]])/(POWER(Tabella3[Planck h],2)),1.5)</f>
        <v>1.7973246211718395E+33</v>
      </c>
      <c r="J70" s="32" cm="1">
        <f t="array" ref="J70">(Tabella1[[#This Row],[Temperatura]]*Tabella3[Boltzmann k])/101325</f>
        <v>2.0438919319022949E-25</v>
      </c>
      <c r="K70" s="32" cm="1">
        <f t="array" ref="K70">Tabella3[Rydberg R]*(2.5+LN(Tabella1[[#This Row],[Volume]]*Tabella1[[#This Row],[Translational Factor]]))</f>
        <v>184.76262290999767</v>
      </c>
      <c r="M70" s="45">
        <v>1500</v>
      </c>
      <c r="N70" s="18" cm="1">
        <f t="array" ref="N70">Tabella3[Rydberg R]*(1.5+LN(SQRT(PI()*POWER(Tabella13[[#This Row],[Temperatura]],3)/(Tabella6[Simmetria]*Tabella6[Simmetria]*PRODUCT($G$7:$I$7)))))</f>
        <v>88.333842338648637</v>
      </c>
    </row>
    <row r="71" spans="1:24" x14ac:dyDescent="0.35">
      <c r="A71" s="18">
        <v>1600</v>
      </c>
      <c r="B71" s="32" cm="1">
        <f t="array" ref="B71">(Tabella3[Boltzmann k]*Tabella5[[#This Row],[Temperatura]])/101325</f>
        <v>2.1801513940291145E-25</v>
      </c>
      <c r="C71" s="32" cm="1">
        <f t="array" ref="C71">POWER((2*Tabella3[Pi Greco]*Tabella3[Massa '[kg']]*Tabella3[Boltzmann k]*Tabella5[[#This Row],[Temperatura]])/(POWER(Tabella3[Planck h],2)),1.5)*Tabella5[[#This Row],[Volume]]</f>
        <v>431674368.13500321</v>
      </c>
      <c r="D71" s="32">
        <f t="shared" si="23"/>
        <v>2.1585704425402055E-4</v>
      </c>
      <c r="E71" s="32" cm="1">
        <f t="array" ref="E71">(SQRT(PI())/Tabella6[Simmetria])*(SQRT(POWER(Tabella5[[#This Row],[Temperatura]],3)/PRODUCT($G$7,$H$7,$I$7)))</f>
        <v>10106.428949101361</v>
      </c>
      <c r="F71" s="18" cm="1">
        <f t="array" ref="F71">Tabella636[Gel]*EXP(0)</f>
        <v>1</v>
      </c>
      <c r="H71" s="45">
        <v>1600</v>
      </c>
      <c r="I71" s="18" cm="1">
        <f t="array" ref="I71">POWER((2*PI()*Tabella3[Massa '[kg']]*Tabella3[Boltzmann k]*Tabella1[[#This Row],[Temperatura]])/(POWER(Tabella3[Planck h],2)),1.5)</f>
        <v>1.9800201459277121E+33</v>
      </c>
      <c r="J71" s="32" cm="1">
        <f t="array" ref="J71">(Tabella1[[#This Row],[Temperatura]]*Tabella3[Boltzmann k])/101325</f>
        <v>2.1801513940291145E-25</v>
      </c>
      <c r="K71" s="32" cm="1">
        <f t="array" ref="K71">Tabella3[Rydberg R]*(2.5+LN(Tabella1[[#This Row],[Volume]]*Tabella1[[#This Row],[Translational Factor]]))</f>
        <v>186.10413071354606</v>
      </c>
      <c r="M71" s="45">
        <v>1600</v>
      </c>
      <c r="N71" s="18" cm="1">
        <f t="array" ref="N71">Tabella3[Rydberg R]*(1.5+LN(SQRT(PI()*POWER(Tabella13[[#This Row],[Temperatura]],3)/(Tabella6[Simmetria]*Tabella6[Simmetria]*PRODUCT($G$7:$I$7)))))</f>
        <v>89.138747020777643</v>
      </c>
    </row>
    <row r="72" spans="1:24" x14ac:dyDescent="0.35">
      <c r="A72" s="18">
        <v>1700</v>
      </c>
      <c r="B72" s="32" cm="1">
        <f t="array" ref="B72">(Tabella3[Boltzmann k]*Tabella5[[#This Row],[Temperatura]])/101325</f>
        <v>2.316410856155934E-25</v>
      </c>
      <c r="C72" s="32" cm="1">
        <f t="array" ref="C72">POWER((2*Tabella3[Pi Greco]*Tabella3[Massa '[kg']]*Tabella3[Boltzmann k]*Tabella5[[#This Row],[Temperatura]])/(POWER(Tabella3[Planck h],2)),1.5)*Tabella5[[#This Row],[Volume]]</f>
        <v>502317847.20224059</v>
      </c>
      <c r="D72" s="32">
        <f t="shared" si="23"/>
        <v>8.388809154417483E-4</v>
      </c>
      <c r="E72" s="32" cm="1">
        <f t="array" ref="E72">(SQRT(PI())/Tabella6[Simmetria])*(SQRT(POWER(Tabella5[[#This Row],[Temperatura]],3)/PRODUCT($G$7,$H$7,$I$7)))</f>
        <v>11068.560295844767</v>
      </c>
      <c r="F72" s="18" cm="1">
        <f t="array" ref="F72">Tabella636[Gel]*EXP(0)</f>
        <v>1</v>
      </c>
      <c r="H72" s="45">
        <v>1700</v>
      </c>
      <c r="I72" s="18" cm="1">
        <f t="array" ref="I72">POWER((2*PI()*Tabella3[Massa '[kg']]*Tabella3[Boltzmann k]*Tabella1[[#This Row],[Temperatura]])/(POWER(Tabella3[Planck h],2)),1.5)</f>
        <v>2.1685179287919294E+33</v>
      </c>
      <c r="J72" s="32" cm="1">
        <f t="array" ref="J72">(Tabella1[[#This Row],[Temperatura]]*Tabella3[Boltzmann k])/101325</f>
        <v>2.316410856155934E-25</v>
      </c>
      <c r="K72" s="32" cm="1">
        <f t="array" ref="K72">Tabella3[Rydberg R]*(2.5+LN(Tabella1[[#This Row],[Volume]]*Tabella1[[#This Row],[Translational Factor]]))</f>
        <v>187.36428359310381</v>
      </c>
      <c r="M72" s="45">
        <v>1700</v>
      </c>
      <c r="N72" s="18" cm="1">
        <f t="array" ref="N72">Tabella3[Rydberg R]*(1.5+LN(SQRT(PI()*POWER(Tabella13[[#This Row],[Temperatura]],3)/(Tabella6[Simmetria]*Tabella6[Simmetria]*PRODUCT($G$7:$I$7)))))</f>
        <v>89.894838748512342</v>
      </c>
    </row>
    <row r="73" spans="1:24" x14ac:dyDescent="0.35">
      <c r="A73" s="18">
        <v>1800</v>
      </c>
      <c r="B73" s="32" cm="1">
        <f t="array" ref="B73">(Tabella3[Boltzmann k]*Tabella5[[#This Row],[Temperatura]])/101325</f>
        <v>2.4526703182827536E-25</v>
      </c>
      <c r="C73" s="32" cm="1">
        <f t="array" ref="C73">POWER((2*Tabella3[Pi Greco]*Tabella3[Massa '[kg']]*Tabella3[Boltzmann k]*Tabella5[[#This Row],[Temperatura]])/(POWER(Tabella3[Planck h],2)),1.5)*Tabella5[[#This Row],[Volume]]</f>
        <v>579478821.34656096</v>
      </c>
      <c r="D73" s="32">
        <f t="shared" si="23"/>
        <v>2.9394685832774933E-3</v>
      </c>
      <c r="E73" s="32" cm="1">
        <f t="array" ref="E73">(SQRT(PI())/Tabella6[Simmetria])*(SQRT(POWER(Tabella5[[#This Row],[Temperatura]],3)/PRODUCT($G$7,$H$7,$I$7)))</f>
        <v>12059.422498388711</v>
      </c>
      <c r="F73" s="18" cm="1">
        <f t="array" ref="F73">Tabella636[Gel]*EXP(0)</f>
        <v>1</v>
      </c>
      <c r="H73" s="45">
        <v>1800</v>
      </c>
      <c r="I73" s="18" cm="1">
        <f t="array" ref="I73">POWER((2*PI()*Tabella3[Massa '[kg']]*Tabella3[Boltzmann k]*Tabella1[[#This Row],[Temperatura]])/(POWER(Tabella3[Planck h],2)),1.5)</f>
        <v>2.3626445716205564E+33</v>
      </c>
      <c r="J73" s="32" cm="1">
        <f t="array" ref="J73">(Tabella1[[#This Row],[Temperatura]]*Tabella3[Boltzmann k])/101325</f>
        <v>2.4526703182827536E-25</v>
      </c>
      <c r="K73" s="32" cm="1">
        <f t="array" ref="K73">Tabella3[Rydberg R]*(2.5+LN(Tabella1[[#This Row],[Volume]]*Tabella1[[#This Row],[Translational Factor]]))</f>
        <v>188.55238733104483</v>
      </c>
      <c r="M73" s="45">
        <v>1800</v>
      </c>
      <c r="N73" s="18" cm="1">
        <f t="array" ref="N73">Tabella3[Rydberg R]*(1.5+LN(SQRT(PI()*POWER(Tabella13[[#This Row],[Temperatura]],3)/(Tabella6[Simmetria]*Tabella6[Simmetria]*PRODUCT($G$7:$I$7)))))</f>
        <v>90.607700991276985</v>
      </c>
    </row>
    <row r="74" spans="1:24" x14ac:dyDescent="0.35">
      <c r="A74" s="18">
        <v>1900</v>
      </c>
      <c r="B74" s="32" cm="1">
        <f t="array" ref="B74">(Tabella3[Boltzmann k]*Tabella5[[#This Row],[Temperatura]])/101325</f>
        <v>2.5889297804095731E-25</v>
      </c>
      <c r="C74" s="32" cm="1">
        <f t="array" ref="C74">POWER((2*Tabella3[Pi Greco]*Tabella3[Massa '[kg']]*Tabella3[Boltzmann k]*Tabella5[[#This Row],[Temperatura]])/(POWER(Tabella3[Planck h],2)),1.5)*Tabella5[[#This Row],[Volume]]</f>
        <v>663346294.86858356</v>
      </c>
      <c r="D74" s="32">
        <f t="shared" si="23"/>
        <v>9.4249453926343284E-3</v>
      </c>
      <c r="E74" s="32" cm="1">
        <f t="array" ref="E74">(SQRT(PI())/Tabella6[Simmetria])*(SQRT(POWER(Tabella5[[#This Row],[Temperatura]],3)/PRODUCT($G$7,$H$7,$I$7)))</f>
        <v>13078.20542054577</v>
      </c>
      <c r="F74" s="18" cm="1">
        <f t="array" ref="F74">Tabella636[Gel]*EXP(0)</f>
        <v>1</v>
      </c>
      <c r="H74" s="45">
        <v>1900</v>
      </c>
      <c r="I74" s="18" cm="1">
        <f t="array" ref="I74">POWER((2*PI()*Tabella3[Massa '[kg']]*Tabella3[Boltzmann k]*Tabella1[[#This Row],[Temperatura]])/(POWER(Tabella3[Planck h],2)),1.5)</f>
        <v>2.5622413550499661E+33</v>
      </c>
      <c r="J74" s="32" cm="1">
        <f t="array" ref="J74">(Tabella1[[#This Row],[Temperatura]]*Tabella3[Boltzmann k])/101325</f>
        <v>2.5889297804095731E-25</v>
      </c>
      <c r="K74" s="32" cm="1">
        <f t="array" ref="K74">Tabella3[Rydberg R]*(2.5+LN(Tabella1[[#This Row],[Volume]]*Tabella1[[#This Row],[Translational Factor]]))</f>
        <v>189.67623705632209</v>
      </c>
      <c r="M74" s="45">
        <v>1900</v>
      </c>
      <c r="N74" s="18" cm="1">
        <f t="array" ref="N74">Tabella3[Rydberg R]*(1.5+LN(SQRT(PI()*POWER(Tabella13[[#This Row],[Temperatura]],3)/(Tabella6[Simmetria]*Tabella6[Simmetria]*PRODUCT($G$7:$I$7)))))</f>
        <v>91.282010826443255</v>
      </c>
    </row>
    <row r="75" spans="1:24" x14ac:dyDescent="0.35">
      <c r="A75" s="18">
        <v>2000</v>
      </c>
      <c r="B75" s="32" cm="1">
        <f t="array" ref="B75">(Tabella3[Boltzmann k]*Tabella5[[#This Row],[Temperatura]])/101325</f>
        <v>2.7251892425363931E-25</v>
      </c>
      <c r="C75" s="32" cm="1">
        <f t="array" ref="C75">POWER((2*Tabella3[Pi Greco]*Tabella3[Massa '[kg']]*Tabella3[Boltzmann k]*Tabella5[[#This Row],[Temperatura]])/(POWER(Tabella3[Planck h],2)),1.5)*Tabella5[[#This Row],[Volume]]</f>
        <v>754104086.94853747</v>
      </c>
      <c r="D75" s="32">
        <f t="shared" si="23"/>
        <v>2.7982406897134462E-2</v>
      </c>
      <c r="E75" s="32" cm="1">
        <f t="array" ref="E75">(SQRT(PI())/Tabella6[Simmetria])*(SQRT(POWER(Tabella5[[#This Row],[Temperatura]],3)/PRODUCT($G$7,$H$7,$I$7)))</f>
        <v>14124.163837476504</v>
      </c>
      <c r="F75" s="18" cm="1">
        <f t="array" ref="F75">Tabella636[Gel]*EXP(0)</f>
        <v>1</v>
      </c>
      <c r="H75" s="45">
        <v>2000</v>
      </c>
      <c r="I75" s="45" cm="1">
        <f t="array" ref="I75">POWER((2*PI()*Tabella3[Massa '[kg']]*Tabella3[Boltzmann k]*Tabella1[[#This Row],[Temperatura]])/(POWER(Tabella3[Planck h],2)),1.5)</f>
        <v>2.7671622769458621E+33</v>
      </c>
      <c r="J75" s="32" cm="1">
        <f t="array" ref="J75">(Tabella1[[#This Row],[Temperatura]]*Tabella3[Boltzmann k])/101325</f>
        <v>2.7251892425363931E-25</v>
      </c>
      <c r="K75" s="32" cm="1">
        <f t="array" ref="K75">Tabella3[Rydberg R]*(2.5+LN(Tabella1[[#This Row],[Volume]]*Tabella1[[#This Row],[Translational Factor]]))</f>
        <v>190.74242750317038</v>
      </c>
      <c r="M75" s="45">
        <v>2000</v>
      </c>
      <c r="N75" s="18" cm="1">
        <f t="array" ref="N75">Tabella3[Rydberg R]*(1.5+LN(SQRT(PI()*POWER(Tabella13[[#This Row],[Temperatura]],3)/(Tabella6[Simmetria]*Tabella6[Simmetria]*PRODUCT($G$7:$I$7)))))</f>
        <v>91.921725094552286</v>
      </c>
    </row>
    <row r="76" spans="1:24" x14ac:dyDescent="0.35">
      <c r="A76" s="46" t="s">
        <v>122</v>
      </c>
      <c r="B76" s="32"/>
      <c r="C76" s="32">
        <f>C75-C58</f>
        <v>747633505.03395247</v>
      </c>
      <c r="D76" s="32">
        <f t="shared" ref="D76:E76" si="24">D75-D58</f>
        <v>2.7982406897134462E-2</v>
      </c>
      <c r="E76" s="32">
        <f t="shared" si="24"/>
        <v>13311.202347229431</v>
      </c>
      <c r="H76" s="46" t="s">
        <v>122</v>
      </c>
      <c r="I76" s="45">
        <f>I75-I58</f>
        <v>2.6078893887022115E+33</v>
      </c>
      <c r="J76" s="61">
        <f t="shared" ref="J76" si="25">J75-J58</f>
        <v>2.3189316562052802E-25</v>
      </c>
      <c r="K76" s="61">
        <f t="shared" ref="K76" si="26">K75-K58</f>
        <v>39.562411147219734</v>
      </c>
      <c r="M76" s="45"/>
      <c r="N76" s="45">
        <f>N75-N58</f>
        <v>23.737446688331886</v>
      </c>
    </row>
    <row r="77" spans="1:24" x14ac:dyDescent="0.35">
      <c r="J77" s="32"/>
      <c r="K77" s="32"/>
    </row>
    <row r="79" spans="1:24" x14ac:dyDescent="0.3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</row>
    <row r="80" spans="1:24" x14ac:dyDescent="0.35">
      <c r="A80" s="45">
        <v>298.14999999999998</v>
      </c>
      <c r="B80" s="32" cm="1">
        <f t="array" ref="B80">(3/2)*Tabella3[Rydberg R]</f>
        <v>12.471693927</v>
      </c>
      <c r="C80" s="32" cm="1">
        <f t="array" ref="C80">(3/2)*Tabella3[Rydberg R]</f>
        <v>12.471693927</v>
      </c>
      <c r="D80" s="32" cm="1">
        <f t="array" ref="D8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17.299606533717306</v>
      </c>
      <c r="E80" s="18">
        <f>SUM(Tabella15[[#This Row],[CvRot]:[Cv Vib]])</f>
        <v>42.242994387717303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5" x14ac:dyDescent="0.35">
      <c r="A81" s="45">
        <v>400</v>
      </c>
      <c r="B81" s="32" cm="1">
        <f t="array" ref="B81">(3/2)*Tabella3[Rydberg R]</f>
        <v>12.471693927</v>
      </c>
      <c r="C81" s="32" cm="1">
        <f t="array" ref="C81">(3/2)*Tabella3[Rydberg R]</f>
        <v>12.471693927</v>
      </c>
      <c r="D81" s="32" cm="1">
        <f t="array" ref="D8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30.203476555135595</v>
      </c>
      <c r="E81" s="18">
        <f>SUM(Tabella15[[#This Row],[CvRot]:[Cv Vib]])</f>
        <v>55.146864409135596</v>
      </c>
    </row>
    <row r="82" spans="1:5" x14ac:dyDescent="0.35">
      <c r="A82" s="45">
        <v>500</v>
      </c>
      <c r="B82" s="32" cm="1">
        <f t="array" ref="B82">(3/2)*Tabella3[Rydberg R]</f>
        <v>12.471693927</v>
      </c>
      <c r="C82" s="32" cm="1">
        <f t="array" ref="C82">(3/2)*Tabella3[Rydberg R]</f>
        <v>12.471693927</v>
      </c>
      <c r="D82" s="32" cm="1">
        <f t="array" ref="D8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43.044440954763765</v>
      </c>
      <c r="E82" s="18">
        <f>SUM(Tabella15[[#This Row],[CvRot]:[Cv Vib]])</f>
        <v>67.987828808763766</v>
      </c>
    </row>
    <row r="83" spans="1:5" x14ac:dyDescent="0.35">
      <c r="A83" s="45">
        <v>600</v>
      </c>
      <c r="B83" s="32" cm="1">
        <f t="array" ref="B83">(3/2)*Tabella3[Rydberg R]</f>
        <v>12.471693927</v>
      </c>
      <c r="C83" s="32" cm="1">
        <f t="array" ref="C83">(3/2)*Tabella3[Rydberg R]</f>
        <v>12.471693927</v>
      </c>
      <c r="D83" s="32" cm="1">
        <f t="array" ref="D8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54.754435338212822</v>
      </c>
      <c r="E83" s="18">
        <f>SUM(Tabella15[[#This Row],[CvRot]:[Cv Vib]])</f>
        <v>79.697823192212823</v>
      </c>
    </row>
    <row r="84" spans="1:5" x14ac:dyDescent="0.35">
      <c r="A84" s="45">
        <v>700</v>
      </c>
      <c r="B84" s="32" cm="1">
        <f t="array" ref="B84">(3/2)*Tabella3[Rydberg R]</f>
        <v>12.471693927</v>
      </c>
      <c r="C84" s="32" cm="1">
        <f t="array" ref="C84">(3/2)*Tabella3[Rydberg R]</f>
        <v>12.471693927</v>
      </c>
      <c r="D84" s="32" cm="1">
        <f t="array" ref="D8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65.140250441678631</v>
      </c>
      <c r="E84" s="18">
        <f>SUM(Tabella15[[#This Row],[CvRot]:[Cv Vib]])</f>
        <v>90.083638295678639</v>
      </c>
    </row>
    <row r="85" spans="1:5" x14ac:dyDescent="0.35">
      <c r="A85" s="45">
        <v>800</v>
      </c>
      <c r="B85" s="32" cm="1">
        <f t="array" ref="B85">(3/2)*Tabella3[Rydberg R]</f>
        <v>12.471693927</v>
      </c>
      <c r="C85" s="32" cm="1">
        <f t="array" ref="C85">(3/2)*Tabella3[Rydberg R]</f>
        <v>12.471693927</v>
      </c>
      <c r="D85" s="32" cm="1">
        <f t="array" ref="D8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74.315944650048877</v>
      </c>
      <c r="E85" s="18">
        <f>SUM(Tabella15[[#This Row],[CvRot]:[Cv Vib]])</f>
        <v>99.259332504048871</v>
      </c>
    </row>
    <row r="86" spans="1:5" x14ac:dyDescent="0.35">
      <c r="A86" s="45">
        <v>900</v>
      </c>
      <c r="B86" s="32" cm="1">
        <f t="array" ref="B86">(3/2)*Tabella3[Rydberg R]</f>
        <v>12.471693927</v>
      </c>
      <c r="C86" s="32" cm="1">
        <f t="array" ref="C86">(3/2)*Tabella3[Rydberg R]</f>
        <v>12.471693927</v>
      </c>
      <c r="D86" s="32" cm="1">
        <f t="array" ref="D8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82.418453703393936</v>
      </c>
      <c r="E86" s="18">
        <f>SUM(Tabella15[[#This Row],[CvRot]:[Cv Vib]])</f>
        <v>107.36184155739394</v>
      </c>
    </row>
    <row r="87" spans="1:5" x14ac:dyDescent="0.35">
      <c r="A87" s="45">
        <v>1000</v>
      </c>
      <c r="B87" s="32" cm="1">
        <f t="array" ref="B87">(3/2)*Tabella3[Rydberg R]</f>
        <v>12.471693927</v>
      </c>
      <c r="C87" s="32" cm="1">
        <f t="array" ref="C87">(3/2)*Tabella3[Rydberg R]</f>
        <v>12.471693927</v>
      </c>
      <c r="D87" s="32" cm="1">
        <f t="array" ref="D8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89.561765605443995</v>
      </c>
      <c r="E87" s="18">
        <f>SUM(Tabella15[[#This Row],[CvRot]:[Cv Vib]])</f>
        <v>114.50515345944399</v>
      </c>
    </row>
    <row r="88" spans="1:5" x14ac:dyDescent="0.35">
      <c r="A88" s="45">
        <v>1100</v>
      </c>
      <c r="B88" s="32" cm="1">
        <f t="array" ref="B88">(3/2)*Tabella3[Rydberg R]</f>
        <v>12.471693927</v>
      </c>
      <c r="C88" s="32" cm="1">
        <f t="array" ref="C88">(3/2)*Tabella3[Rydberg R]</f>
        <v>12.471693927</v>
      </c>
      <c r="D88" s="32" cm="1">
        <f t="array" ref="D88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95.845024303858381</v>
      </c>
      <c r="E88" s="18">
        <f>SUM(Tabella15[[#This Row],[CvRot]:[Cv Vib]])</f>
        <v>120.78841215785837</v>
      </c>
    </row>
    <row r="89" spans="1:5" x14ac:dyDescent="0.35">
      <c r="A89" s="45">
        <v>1200</v>
      </c>
      <c r="B89" s="32" cm="1">
        <f t="array" ref="B89">(3/2)*Tabella3[Rydberg R]</f>
        <v>12.471693927</v>
      </c>
      <c r="C89" s="32" cm="1">
        <f t="array" ref="C89">(3/2)*Tabella3[Rydberg R]</f>
        <v>12.471693927</v>
      </c>
      <c r="D89" s="32" cm="1">
        <f t="array" ref="D89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101.36081187790448</v>
      </c>
      <c r="E89" s="18">
        <f>SUM(Tabella15[[#This Row],[CvRot]:[Cv Vib]])</f>
        <v>126.30419973190448</v>
      </c>
    </row>
    <row r="90" spans="1:5" x14ac:dyDescent="0.35">
      <c r="A90" s="45">
        <v>1300</v>
      </c>
      <c r="B90" s="32" cm="1">
        <f t="array" ref="B90">(3/2)*Tabella3[Rydberg R]</f>
        <v>12.471693927</v>
      </c>
      <c r="C90" s="32" cm="1">
        <f t="array" ref="C90">(3/2)*Tabella3[Rydberg R]</f>
        <v>12.471693927</v>
      </c>
      <c r="D90" s="32" cm="1">
        <f t="array" ref="D9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106.19734081991034</v>
      </c>
      <c r="E90" s="18">
        <f>SUM(Tabella15[[#This Row],[CvRot]:[Cv Vib]])</f>
        <v>131.14072867391033</v>
      </c>
    </row>
    <row r="91" spans="1:5" x14ac:dyDescent="0.35">
      <c r="A91" s="45">
        <v>1400</v>
      </c>
      <c r="B91" s="32" cm="1">
        <f t="array" ref="B91">(3/2)*Tabella3[Rydberg R]</f>
        <v>12.471693927</v>
      </c>
      <c r="C91" s="32" cm="1">
        <f t="array" ref="C91">(3/2)*Tabella3[Rydberg R]</f>
        <v>12.471693927</v>
      </c>
      <c r="D91" s="32" cm="1">
        <f t="array" ref="D9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110.4375654289536</v>
      </c>
      <c r="E91" s="18">
        <f>SUM(Tabella15[[#This Row],[CvRot]:[Cv Vib]])</f>
        <v>135.38095328295361</v>
      </c>
    </row>
    <row r="92" spans="1:5" x14ac:dyDescent="0.35">
      <c r="A92" s="45">
        <v>1500</v>
      </c>
      <c r="B92" s="32" cm="1">
        <f t="array" ref="B92">(3/2)*Tabella3[Rydberg R]</f>
        <v>12.471693927</v>
      </c>
      <c r="C92" s="32" cm="1">
        <f t="array" ref="C92">(3/2)*Tabella3[Rydberg R]</f>
        <v>12.471693927</v>
      </c>
      <c r="D92" s="32" cm="1">
        <f t="array" ref="D9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114.15773401813784</v>
      </c>
      <c r="E92" s="18">
        <f>SUM(Tabella15[[#This Row],[CvRot]:[Cv Vib]])</f>
        <v>139.10112187213784</v>
      </c>
    </row>
    <row r="93" spans="1:5" x14ac:dyDescent="0.35">
      <c r="A93" s="45">
        <v>1600</v>
      </c>
      <c r="B93" s="32" cm="1">
        <f t="array" ref="B93">(3/2)*Tabella3[Rydberg R]</f>
        <v>12.471693927</v>
      </c>
      <c r="C93" s="32" cm="1">
        <f t="array" ref="C93">(3/2)*Tabella3[Rydberg R]</f>
        <v>12.471693927</v>
      </c>
      <c r="D93" s="32" cm="1">
        <f t="array" ref="D9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117.42642527471864</v>
      </c>
      <c r="E93" s="18">
        <f>SUM(Tabella15[[#This Row],[CvRot]:[Cv Vib]])</f>
        <v>142.36981312871865</v>
      </c>
    </row>
    <row r="94" spans="1:5" x14ac:dyDescent="0.35">
      <c r="A94" s="45">
        <v>1700</v>
      </c>
      <c r="B94" s="32" cm="1">
        <f t="array" ref="B94">(3/2)*Tabella3[Rydberg R]</f>
        <v>12.471693927</v>
      </c>
      <c r="C94" s="32" cm="1">
        <f t="array" ref="C94">(3/2)*Tabella3[Rydberg R]</f>
        <v>12.471693927</v>
      </c>
      <c r="D94" s="32" cm="1">
        <f t="array" ref="D9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120.30425607784272</v>
      </c>
      <c r="E94" s="18">
        <f>SUM(Tabella15[[#This Row],[CvRot]:[Cv Vib]])</f>
        <v>145.24764393184273</v>
      </c>
    </row>
    <row r="95" spans="1:5" x14ac:dyDescent="0.35">
      <c r="A95" s="45">
        <v>1800</v>
      </c>
      <c r="B95" s="32" cm="1">
        <f t="array" ref="B95">(3/2)*Tabella3[Rydberg R]</f>
        <v>12.471693927</v>
      </c>
      <c r="C95" s="32" cm="1">
        <f t="array" ref="C95">(3/2)*Tabella3[Rydberg R]</f>
        <v>12.471693927</v>
      </c>
      <c r="D95" s="32" cm="1">
        <f t="array" ref="D9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122.84412230735742</v>
      </c>
      <c r="E95" s="18">
        <f>SUM(Tabella15[[#This Row],[CvRot]:[Cv Vib]])</f>
        <v>147.78751016135743</v>
      </c>
    </row>
    <row r="96" spans="1:5" x14ac:dyDescent="0.35">
      <c r="A96" s="45">
        <v>1900</v>
      </c>
      <c r="B96" s="32" cm="1">
        <f t="array" ref="B96">(3/2)*Tabella3[Rydberg R]</f>
        <v>12.471693927</v>
      </c>
      <c r="C96" s="32" cm="1">
        <f t="array" ref="C96">(3/2)*Tabella3[Rydberg R]</f>
        <v>12.471693927</v>
      </c>
      <c r="D96" s="32" cm="1">
        <f t="array" ref="D9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125.09177090261122</v>
      </c>
      <c r="E96" s="18">
        <f>SUM(Tabella15[[#This Row],[CvRot]:[Cv Vib]])</f>
        <v>150.03515875661122</v>
      </c>
    </row>
    <row r="97" spans="1:8" x14ac:dyDescent="0.35">
      <c r="A97" s="45">
        <v>2000</v>
      </c>
      <c r="B97" s="32" cm="1">
        <f t="array" ref="B97">(3/2)*Tabella3[Rydberg R]</f>
        <v>12.471693927</v>
      </c>
      <c r="C97" s="32" cm="1">
        <f t="array" ref="C97">(3/2)*Tabella3[Rydberg R]</f>
        <v>12.471693927</v>
      </c>
      <c r="D97" s="32" cm="1">
        <f t="array" ref="D9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127.08653410734948</v>
      </c>
      <c r="E97" s="18">
        <f>SUM(Tabella15[[#This Row],[CvRot]:[Cv Vib]])</f>
        <v>152.02992196134949</v>
      </c>
    </row>
    <row r="98" spans="1:8" x14ac:dyDescent="0.35">
      <c r="A98" s="46" t="s">
        <v>122</v>
      </c>
      <c r="B98" s="61"/>
      <c r="C98" s="32"/>
      <c r="D98" s="32">
        <f>D97-D80</f>
        <v>109.78692757363217</v>
      </c>
    </row>
    <row r="99" spans="1:8" x14ac:dyDescent="0.35">
      <c r="G99" s="62"/>
    </row>
    <row r="103" spans="1:8" ht="34.5" customHeight="1" thickBot="1" x14ac:dyDescent="0.4">
      <c r="A103" s="164" t="s">
        <v>108</v>
      </c>
    </row>
    <row r="104" spans="1:8" x14ac:dyDescent="0.35">
      <c r="A104" s="64" t="s">
        <v>109</v>
      </c>
      <c r="B104" s="65">
        <v>298.14999999999998</v>
      </c>
      <c r="C104" s="66"/>
      <c r="D104" s="69"/>
      <c r="E104" s="68" t="s">
        <v>109</v>
      </c>
      <c r="F104" s="68">
        <v>1000</v>
      </c>
      <c r="G104" s="66"/>
      <c r="H104" s="69"/>
    </row>
    <row r="105" spans="1:8" x14ac:dyDescent="0.35">
      <c r="A105" s="108"/>
      <c r="B105" s="89" t="s">
        <v>110</v>
      </c>
      <c r="C105" s="89" t="s">
        <v>111</v>
      </c>
      <c r="D105" s="90" t="s">
        <v>117</v>
      </c>
      <c r="E105" s="149"/>
      <c r="F105" s="89" t="s">
        <v>110</v>
      </c>
      <c r="G105" s="89" t="s">
        <v>111</v>
      </c>
      <c r="H105" s="90" t="s">
        <v>117</v>
      </c>
    </row>
    <row r="106" spans="1:8" x14ac:dyDescent="0.35">
      <c r="A106" s="70" t="s">
        <v>8</v>
      </c>
      <c r="B106" s="75">
        <f>T15</f>
        <v>6.5945590604710912E-35</v>
      </c>
      <c r="C106" s="75">
        <v>6.5960300000000005E-35</v>
      </c>
      <c r="D106" s="78">
        <f>ABS(B106-C106)/C106</f>
        <v>2.2300376573624684E-4</v>
      </c>
      <c r="E106" s="150" t="s">
        <v>8</v>
      </c>
      <c r="F106" s="75">
        <f>T22</f>
        <v>1.5006777562711866E-9</v>
      </c>
      <c r="G106" s="75">
        <v>1.5008E-9</v>
      </c>
      <c r="H106" s="78">
        <f>ABS(F106-G106)/G106</f>
        <v>8.1452377940704874E-5</v>
      </c>
    </row>
    <row r="107" spans="1:8" x14ac:dyDescent="0.35">
      <c r="A107" s="70" t="s">
        <v>9</v>
      </c>
      <c r="B107" s="75">
        <f>E58</f>
        <v>812.96149024707336</v>
      </c>
      <c r="C107" s="75">
        <v>812.96299999999997</v>
      </c>
      <c r="D107" s="78">
        <f t="shared" ref="D107:D108" si="27">ABS(B107-C107)/C107</f>
        <v>1.8570991873044635E-6</v>
      </c>
      <c r="E107" s="150" t="s">
        <v>9</v>
      </c>
      <c r="F107" s="75">
        <f>E65</f>
        <v>4993.6460140347226</v>
      </c>
      <c r="G107" s="75">
        <v>4993.66</v>
      </c>
      <c r="H107" s="78">
        <f>ABS(F107-G107)/G107</f>
        <v>2.8007443993469599E-6</v>
      </c>
    </row>
    <row r="108" spans="1:8" x14ac:dyDescent="0.35">
      <c r="A108" s="70" t="s">
        <v>7</v>
      </c>
      <c r="B108" s="75">
        <f>C58</f>
        <v>6470581.9145850465</v>
      </c>
      <c r="C108" s="75">
        <v>6473750</v>
      </c>
      <c r="D108" s="78">
        <f t="shared" si="27"/>
        <v>4.8937407452458463E-4</v>
      </c>
      <c r="E108" s="150" t="s">
        <v>7</v>
      </c>
      <c r="F108" s="75">
        <f>C65</f>
        <v>133308028.40044981</v>
      </c>
      <c r="G108" s="75">
        <v>133373000</v>
      </c>
      <c r="H108" s="78">
        <f>ABS(F108-G108)/G108</f>
        <v>4.8714207186002854E-4</v>
      </c>
    </row>
    <row r="109" spans="1:8" ht="15" thickBot="1" x14ac:dyDescent="0.4">
      <c r="A109" s="79" t="s">
        <v>10</v>
      </c>
      <c r="B109" s="80">
        <f>F58</f>
        <v>1</v>
      </c>
      <c r="C109" s="80">
        <v>1</v>
      </c>
      <c r="D109" s="82">
        <v>0</v>
      </c>
      <c r="E109" s="151" t="s">
        <v>10</v>
      </c>
      <c r="F109" s="80">
        <v>1</v>
      </c>
      <c r="G109" s="80">
        <v>1</v>
      </c>
      <c r="H109" s="82">
        <v>0</v>
      </c>
    </row>
    <row r="110" spans="1:8" ht="15" thickBot="1" x14ac:dyDescent="0.4">
      <c r="A110" s="152" t="s">
        <v>125</v>
      </c>
      <c r="B110" s="153">
        <f>PRODUCT(B106:B108)</f>
        <v>3.4689582687169938E-25</v>
      </c>
      <c r="C110" s="153">
        <f>PRODUCT(C106:C109)</f>
        <v>3.4714373070941633E-25</v>
      </c>
      <c r="D110" s="154">
        <f>ABS(B110-C110)/C110</f>
        <v>7.1412448443283869E-4</v>
      </c>
      <c r="E110" s="155" t="s">
        <v>125</v>
      </c>
      <c r="F110" s="153">
        <f>PRODUCT(F106:F108)</f>
        <v>998.99083466747015</v>
      </c>
      <c r="G110" s="153">
        <f>PRODUCT(G106:G109)</f>
        <v>999.56193830214397</v>
      </c>
      <c r="H110" s="154">
        <f>ABS(F110-G110)/G110</f>
        <v>5.7135392294337963E-4</v>
      </c>
    </row>
    <row r="111" spans="1:8" x14ac:dyDescent="0.35">
      <c r="A111" s="108"/>
      <c r="B111" s="89"/>
      <c r="C111" s="89"/>
      <c r="D111" s="90"/>
      <c r="E111" s="149"/>
      <c r="F111" s="144"/>
      <c r="G111" s="144"/>
      <c r="H111" s="90"/>
    </row>
    <row r="112" spans="1:8" x14ac:dyDescent="0.35">
      <c r="A112" s="70" t="s">
        <v>112</v>
      </c>
      <c r="B112" s="75">
        <f>W37/4.184</f>
        <v>1.9975010725159486</v>
      </c>
      <c r="C112" s="17">
        <v>1.998</v>
      </c>
      <c r="D112" s="140">
        <f>ABS(B112-C112)/C112</f>
        <v>2.4971345548120515E-4</v>
      </c>
      <c r="E112" s="150" t="s">
        <v>112</v>
      </c>
      <c r="F112" s="75">
        <f>W44/4.184</f>
        <v>16.511051220072776</v>
      </c>
      <c r="G112" s="17">
        <v>16.512</v>
      </c>
      <c r="H112" s="78">
        <f>ABS(F112-G112)/G112</f>
        <v>5.7460024662324858E-5</v>
      </c>
    </row>
    <row r="113" spans="1:8" x14ac:dyDescent="0.35">
      <c r="A113" s="70" t="s">
        <v>113</v>
      </c>
      <c r="B113" s="17">
        <f>N58/4.184</f>
        <v>16.296433653494358</v>
      </c>
      <c r="C113" s="17">
        <v>16.295999999999999</v>
      </c>
      <c r="D113" s="140">
        <f>ABS(B113-C113)/C113</f>
        <v>2.6611039172699457E-5</v>
      </c>
      <c r="E113" s="150" t="s">
        <v>113</v>
      </c>
      <c r="F113" s="17">
        <f>N65/4.184</f>
        <v>19.903682029695421</v>
      </c>
      <c r="G113" s="17">
        <v>19.904</v>
      </c>
      <c r="H113" s="78">
        <f>ABS(F113-G113)/G113</f>
        <v>1.597519617055905E-5</v>
      </c>
    </row>
    <row r="114" spans="1:8" x14ac:dyDescent="0.35">
      <c r="A114" s="70" t="s">
        <v>114</v>
      </c>
      <c r="B114" s="75">
        <f>K58/4.184</f>
        <v>36.132891098458565</v>
      </c>
      <c r="C114" s="17">
        <v>36.134</v>
      </c>
      <c r="D114" s="140">
        <f>ABS(B114-C114)/C114</f>
        <v>3.0688590840638013E-5</v>
      </c>
      <c r="E114" s="150" t="s">
        <v>114</v>
      </c>
      <c r="F114" s="75">
        <f>K65/4.184</f>
        <v>42.144971725460316</v>
      </c>
      <c r="G114" s="17">
        <v>42.146000000000001</v>
      </c>
      <c r="H114" s="78">
        <f>ABS(F114-G114)/G114</f>
        <v>2.4397915334433033E-5</v>
      </c>
    </row>
    <row r="115" spans="1:8" ht="15" thickBot="1" x14ac:dyDescent="0.4">
      <c r="A115" s="79" t="s">
        <v>115</v>
      </c>
      <c r="B115" s="80">
        <v>0</v>
      </c>
      <c r="C115" s="80">
        <v>0</v>
      </c>
      <c r="D115" s="141">
        <v>0</v>
      </c>
      <c r="E115" s="151" t="s">
        <v>115</v>
      </c>
      <c r="F115" s="80">
        <v>0</v>
      </c>
      <c r="G115" s="80">
        <v>0</v>
      </c>
      <c r="H115" s="82">
        <v>0</v>
      </c>
    </row>
    <row r="116" spans="1:8" ht="15" thickBot="1" x14ac:dyDescent="0.4">
      <c r="A116" s="105" t="s">
        <v>145</v>
      </c>
      <c r="B116" s="106">
        <f>SUM(B112:B115)</f>
        <v>54.426825824468871</v>
      </c>
      <c r="C116" s="86">
        <f>SUM(C112:C115)</f>
        <v>54.427999999999997</v>
      </c>
      <c r="D116" s="142">
        <f>ABS(B116-C116)/C116</f>
        <v>2.1573005275341905E-5</v>
      </c>
      <c r="E116" s="156" t="s">
        <v>126</v>
      </c>
      <c r="F116" s="106">
        <f>SUM(F112:F115)</f>
        <v>78.559704975228513</v>
      </c>
      <c r="G116" s="86">
        <f>SUM(G112:G115)</f>
        <v>78.561999999999998</v>
      </c>
      <c r="H116" s="87">
        <f>ABS(F116-G116)/G116</f>
        <v>2.9212911731938818E-5</v>
      </c>
    </row>
    <row r="117" spans="1:8" x14ac:dyDescent="0.35">
      <c r="A117" s="108"/>
      <c r="B117" s="144"/>
      <c r="C117" s="144"/>
      <c r="D117" s="90"/>
      <c r="E117" s="149"/>
      <c r="F117" s="144"/>
      <c r="G117" s="144"/>
      <c r="H117" s="90"/>
    </row>
    <row r="118" spans="1:8" x14ac:dyDescent="0.35">
      <c r="A118" s="70" t="s">
        <v>105</v>
      </c>
      <c r="B118" s="75">
        <f>D80/4.184</f>
        <v>4.1347051944831037</v>
      </c>
      <c r="C118" s="17">
        <v>4.1349999999999998</v>
      </c>
      <c r="D118" s="140">
        <f>ABS(B118-C118)/C118</f>
        <v>7.1295167326745004E-5</v>
      </c>
      <c r="E118" s="150" t="s">
        <v>105</v>
      </c>
      <c r="F118" s="75">
        <f>D87/4.184</f>
        <v>21.405775718318353</v>
      </c>
      <c r="G118" s="17">
        <v>21.405999999999999</v>
      </c>
      <c r="H118" s="78">
        <f>ABS(F118-G118)/G118</f>
        <v>1.0477514792405508E-5</v>
      </c>
    </row>
    <row r="119" spans="1:8" x14ac:dyDescent="0.35">
      <c r="A119" s="70" t="s">
        <v>118</v>
      </c>
      <c r="B119" s="75">
        <f>B80/4.184</f>
        <v>2.9808063879063096</v>
      </c>
      <c r="C119" s="17">
        <v>2.9809999999999999</v>
      </c>
      <c r="D119" s="140">
        <f>ABS(B119-C119)/C119</f>
        <v>6.4948706370441945E-5</v>
      </c>
      <c r="E119" s="150" t="s">
        <v>118</v>
      </c>
      <c r="F119" s="75">
        <f>B87/4.184</f>
        <v>2.9808063879063096</v>
      </c>
      <c r="G119" s="17">
        <v>2.9809999999999999</v>
      </c>
      <c r="H119" s="78">
        <f>ABS(F119-G119)/G119</f>
        <v>6.4948706370441945E-5</v>
      </c>
    </row>
    <row r="120" spans="1:8" x14ac:dyDescent="0.35">
      <c r="A120" s="70" t="s">
        <v>119</v>
      </c>
      <c r="B120" s="75">
        <f>C80/4.184</f>
        <v>2.9808063879063096</v>
      </c>
      <c r="C120" s="17">
        <v>2.9809999999999999</v>
      </c>
      <c r="D120" s="140">
        <f>ABS(B120-C120)/C120</f>
        <v>6.4948706370441945E-5</v>
      </c>
      <c r="E120" s="150" t="s">
        <v>119</v>
      </c>
      <c r="F120" s="75">
        <f>C87/4.184</f>
        <v>2.9808063879063096</v>
      </c>
      <c r="G120" s="17">
        <v>2.9809999999999999</v>
      </c>
      <c r="H120" s="78">
        <f>ABS(F120-G120)/G120</f>
        <v>6.4948706370441945E-5</v>
      </c>
    </row>
    <row r="121" spans="1:8" ht="15" thickBot="1" x14ac:dyDescent="0.4">
      <c r="A121" s="79" t="s">
        <v>120</v>
      </c>
      <c r="B121" s="80">
        <v>0</v>
      </c>
      <c r="C121" s="80">
        <v>0</v>
      </c>
      <c r="D121" s="141">
        <v>0</v>
      </c>
      <c r="E121" s="151" t="s">
        <v>120</v>
      </c>
      <c r="F121" s="80">
        <v>0</v>
      </c>
      <c r="G121" s="80">
        <v>0</v>
      </c>
      <c r="H121" s="82">
        <v>0</v>
      </c>
    </row>
    <row r="122" spans="1:8" ht="15" thickBot="1" x14ac:dyDescent="0.4">
      <c r="A122" s="105" t="s">
        <v>146</v>
      </c>
      <c r="B122" s="106">
        <f>SUM(B118:B121)</f>
        <v>10.096317970295722</v>
      </c>
      <c r="C122" s="86">
        <f>SUM(C118:C121)</f>
        <v>10.097</v>
      </c>
      <c r="D122" s="142">
        <f>ABS(B122-C122)/C122</f>
        <v>6.7547757183079497E-5</v>
      </c>
      <c r="E122" s="156" t="s">
        <v>146</v>
      </c>
      <c r="F122" s="106">
        <f>SUM(F118:F121)</f>
        <v>27.367388494130971</v>
      </c>
      <c r="G122" s="86">
        <f>SUM(G118:G121)</f>
        <v>27.368000000000002</v>
      </c>
      <c r="H122" s="87">
        <f>ABS(F122-G122)/G122</f>
        <v>2.2343827427332945E-5</v>
      </c>
    </row>
    <row r="125" spans="1:8" ht="17.5" customHeight="1" x14ac:dyDescent="0.35">
      <c r="A125" s="63"/>
    </row>
    <row r="127" spans="1:8" x14ac:dyDescent="0.35">
      <c r="G127" s="47"/>
      <c r="H127" s="47"/>
    </row>
    <row r="128" spans="1:8" x14ac:dyDescent="0.35">
      <c r="E128" s="109"/>
      <c r="G128" s="32"/>
    </row>
    <row r="129" spans="5:8" x14ac:dyDescent="0.35">
      <c r="E129" s="109"/>
      <c r="F129" s="95"/>
    </row>
    <row r="130" spans="5:8" x14ac:dyDescent="0.35">
      <c r="E130" s="109"/>
      <c r="G130" s="47"/>
    </row>
    <row r="131" spans="5:8" x14ac:dyDescent="0.35">
      <c r="E131" s="110"/>
      <c r="G131" s="111"/>
    </row>
    <row r="133" spans="5:8" x14ac:dyDescent="0.35">
      <c r="G133" s="47"/>
      <c r="H133" s="47"/>
    </row>
    <row r="134" spans="5:8" x14ac:dyDescent="0.35">
      <c r="E134" s="109"/>
      <c r="G134" s="32"/>
    </row>
    <row r="135" spans="5:8" x14ac:dyDescent="0.35">
      <c r="E135" s="109"/>
    </row>
    <row r="136" spans="5:8" x14ac:dyDescent="0.35">
      <c r="E136" s="109"/>
      <c r="G136" s="47"/>
    </row>
    <row r="137" spans="5:8" x14ac:dyDescent="0.35">
      <c r="E137" s="110"/>
      <c r="G137" s="111"/>
    </row>
    <row r="140" spans="5:8" x14ac:dyDescent="0.35">
      <c r="G140" s="47"/>
      <c r="H140" s="47"/>
    </row>
    <row r="141" spans="5:8" x14ac:dyDescent="0.35">
      <c r="E141" s="109"/>
      <c r="G141" s="32"/>
    </row>
    <row r="142" spans="5:8" x14ac:dyDescent="0.35">
      <c r="E142" s="109"/>
    </row>
    <row r="143" spans="5:8" x14ac:dyDescent="0.35">
      <c r="E143" s="109"/>
      <c r="G143" s="47"/>
    </row>
    <row r="144" spans="5:8" x14ac:dyDescent="0.35">
      <c r="E144" s="110"/>
      <c r="G144" s="111"/>
    </row>
    <row r="147" spans="1:4" ht="37" x14ac:dyDescent="0.35">
      <c r="A147" s="63"/>
    </row>
    <row r="148" spans="1:4" x14ac:dyDescent="0.35">
      <c r="A148" s="47"/>
      <c r="B148" s="47"/>
      <c r="C148" s="47"/>
      <c r="D148" s="47"/>
    </row>
    <row r="149" spans="1:4" x14ac:dyDescent="0.35">
      <c r="A149" s="47"/>
      <c r="B149" s="47"/>
      <c r="C149" s="47"/>
      <c r="D149" s="47"/>
    </row>
    <row r="150" spans="1:4" x14ac:dyDescent="0.35">
      <c r="B150" s="32"/>
      <c r="C150" s="32"/>
    </row>
    <row r="151" spans="1:4" x14ac:dyDescent="0.35">
      <c r="A151" s="47"/>
      <c r="B151" s="47"/>
      <c r="C151" s="47"/>
      <c r="D151" s="47"/>
    </row>
    <row r="152" spans="1:4" x14ac:dyDescent="0.35">
      <c r="A152" s="32"/>
      <c r="B152" s="32"/>
      <c r="C152" s="32"/>
    </row>
    <row r="155" spans="1:4" x14ac:dyDescent="0.35">
      <c r="A155" s="47"/>
      <c r="B155" s="47"/>
      <c r="C155" s="47"/>
      <c r="D155" s="47"/>
    </row>
    <row r="156" spans="1:4" x14ac:dyDescent="0.35">
      <c r="B156" s="32"/>
    </row>
    <row r="158" spans="1:4" x14ac:dyDescent="0.35">
      <c r="B158" s="32"/>
    </row>
    <row r="160" spans="1:4" x14ac:dyDescent="0.35">
      <c r="A160" s="47"/>
      <c r="B160" s="47"/>
    </row>
    <row r="161" spans="1:4" x14ac:dyDescent="0.35">
      <c r="A161" s="47"/>
      <c r="B161" s="32"/>
    </row>
    <row r="162" spans="1:4" x14ac:dyDescent="0.35">
      <c r="A162" s="47"/>
      <c r="B162" s="32"/>
      <c r="D162" s="47"/>
    </row>
    <row r="163" spans="1:4" x14ac:dyDescent="0.35">
      <c r="A163" s="47"/>
      <c r="B163" s="32"/>
      <c r="D163" s="32"/>
    </row>
    <row r="164" spans="1:4" x14ac:dyDescent="0.35">
      <c r="A164" s="47"/>
      <c r="B164" s="32"/>
    </row>
    <row r="165" spans="1:4" x14ac:dyDescent="0.35">
      <c r="A165" s="47"/>
      <c r="B165" s="32"/>
      <c r="D165" s="47"/>
    </row>
    <row r="166" spans="1:4" x14ac:dyDescent="0.35">
      <c r="A166" s="47"/>
      <c r="B166" s="32"/>
      <c r="D166" s="111"/>
    </row>
    <row r="167" spans="1:4" x14ac:dyDescent="0.35">
      <c r="A167" s="47"/>
      <c r="B167" s="32"/>
    </row>
    <row r="168" spans="1:4" x14ac:dyDescent="0.35">
      <c r="A168" s="47"/>
      <c r="B168" s="32"/>
    </row>
    <row r="169" spans="1:4" x14ac:dyDescent="0.35">
      <c r="A169" s="47"/>
      <c r="B169" s="32"/>
    </row>
    <row r="170" spans="1:4" x14ac:dyDescent="0.35">
      <c r="A170" s="47"/>
      <c r="B170" s="32"/>
    </row>
    <row r="171" spans="1:4" x14ac:dyDescent="0.35">
      <c r="A171" s="47"/>
      <c r="B171" s="32"/>
    </row>
    <row r="172" spans="1:4" x14ac:dyDescent="0.35">
      <c r="A172" s="47"/>
      <c r="B172" s="32"/>
    </row>
    <row r="173" spans="1:4" x14ac:dyDescent="0.35">
      <c r="A173" s="47"/>
      <c r="B173" s="32"/>
    </row>
    <row r="174" spans="1:4" x14ac:dyDescent="0.35">
      <c r="A174" s="47"/>
      <c r="B174" s="32"/>
    </row>
    <row r="175" spans="1:4" x14ac:dyDescent="0.35">
      <c r="A175" s="47"/>
      <c r="B175" s="32"/>
    </row>
    <row r="176" spans="1:4" x14ac:dyDescent="0.35">
      <c r="A176" s="47"/>
      <c r="B176" s="32"/>
    </row>
    <row r="177" spans="1:2" x14ac:dyDescent="0.35">
      <c r="A177" s="47"/>
      <c r="B177" s="32"/>
    </row>
    <row r="178" spans="1:2" x14ac:dyDescent="0.35">
      <c r="A178" s="47"/>
      <c r="B178" s="32"/>
    </row>
  </sheetData>
  <phoneticPr fontId="1" type="noConversion"/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9E9-0097-4F02-99DA-B60D1C8B7385}">
  <dimension ref="A1:S300"/>
  <sheetViews>
    <sheetView topLeftCell="A75" zoomScaleNormal="100" workbookViewId="0">
      <selection activeCell="F28" sqref="F28"/>
    </sheetView>
  </sheetViews>
  <sheetFormatPr defaultColWidth="9.1796875" defaultRowHeight="14.5" x14ac:dyDescent="0.35"/>
  <cols>
    <col min="1" max="1" width="15.54296875" style="18" customWidth="1"/>
    <col min="2" max="2" width="14.1796875" style="18" customWidth="1"/>
    <col min="3" max="3" width="21.1796875" style="18" customWidth="1"/>
    <col min="4" max="4" width="12.7265625" style="18" customWidth="1"/>
    <col min="5" max="5" width="16.54296875" style="18" customWidth="1"/>
    <col min="6" max="6" width="10.7265625" style="18" customWidth="1"/>
    <col min="7" max="7" width="12.1796875" style="18" bestFit="1" customWidth="1"/>
    <col min="8" max="8" width="24.6328125" style="18" customWidth="1"/>
    <col min="9" max="16384" width="9.1796875" style="18"/>
  </cols>
  <sheetData>
    <row r="1" spans="1:8" ht="43" thickBot="1" x14ac:dyDescent="1.05">
      <c r="A1" s="169" t="s">
        <v>155</v>
      </c>
      <c r="B1" s="66"/>
      <c r="C1" s="66"/>
      <c r="D1" s="66"/>
      <c r="E1" s="66"/>
      <c r="F1" s="69"/>
    </row>
    <row r="2" spans="1:8" ht="15" thickBot="1" x14ac:dyDescent="0.4">
      <c r="A2" s="39" t="s">
        <v>132</v>
      </c>
      <c r="B2" s="39" t="s">
        <v>133</v>
      </c>
      <c r="C2" s="39" t="s">
        <v>134</v>
      </c>
      <c r="D2" s="35" t="s">
        <v>135</v>
      </c>
      <c r="E2" s="39" t="s">
        <v>136</v>
      </c>
      <c r="F2" s="39" t="s">
        <v>151</v>
      </c>
    </row>
    <row r="3" spans="1:8" x14ac:dyDescent="0.35">
      <c r="A3" s="40">
        <v>5819174.2446465604</v>
      </c>
      <c r="B3" s="42">
        <v>12254030.000670159</v>
      </c>
      <c r="C3" s="42">
        <v>2521714.1772048417</v>
      </c>
      <c r="D3" s="42">
        <v>3002849.5451230486</v>
      </c>
      <c r="E3" s="42">
        <v>6470581.9145850465</v>
      </c>
      <c r="F3" s="20">
        <v>298.14999999999998</v>
      </c>
      <c r="G3" s="32"/>
      <c r="H3" s="32"/>
    </row>
    <row r="4" spans="1:8" x14ac:dyDescent="0.35">
      <c r="A4" s="40">
        <v>12131773.841425661</v>
      </c>
      <c r="B4" s="40">
        <v>25547116.199680813</v>
      </c>
      <c r="C4" s="40">
        <v>5257252.1124814758</v>
      </c>
      <c r="D4" s="40">
        <v>6260319.7686982797</v>
      </c>
      <c r="E4" s="40">
        <v>13489824.004218774</v>
      </c>
      <c r="F4" s="20">
        <v>400</v>
      </c>
    </row>
    <row r="5" spans="1:8" x14ac:dyDescent="0.35">
      <c r="A5" s="40">
        <v>21193336.716469765</v>
      </c>
      <c r="B5" s="40">
        <v>44628975.352791183</v>
      </c>
      <c r="C5" s="40">
        <v>9184041.4830959775</v>
      </c>
      <c r="D5" s="40">
        <v>10936328.565386869</v>
      </c>
      <c r="E5" s="40">
        <v>23565752.717142001</v>
      </c>
      <c r="F5" s="20">
        <v>500</v>
      </c>
    </row>
    <row r="6" spans="1:8" x14ac:dyDescent="0.35">
      <c r="A6" s="40">
        <v>33431237.534629393</v>
      </c>
      <c r="B6" s="40">
        <v>70399573.974909678</v>
      </c>
      <c r="C6" s="40">
        <v>14487283.265342049</v>
      </c>
      <c r="D6" s="40">
        <v>17251412.692465231</v>
      </c>
      <c r="E6" s="40">
        <v>37173583.721569471</v>
      </c>
      <c r="F6" s="20">
        <v>600</v>
      </c>
    </row>
    <row r="7" spans="1:8" x14ac:dyDescent="0.35">
      <c r="A7" s="40">
        <v>49149536.586814106</v>
      </c>
      <c r="B7" s="40">
        <v>103499202.89943904</v>
      </c>
      <c r="C7" s="40">
        <v>21298740.680954941</v>
      </c>
      <c r="D7" s="40">
        <v>25362475.39219157</v>
      </c>
      <c r="E7" s="40">
        <v>54651414.303576306</v>
      </c>
      <c r="F7" s="20">
        <v>700</v>
      </c>
    </row>
    <row r="8" spans="1:8" x14ac:dyDescent="0.35">
      <c r="A8" s="40">
        <v>68627676.408749431</v>
      </c>
      <c r="B8" s="40">
        <v>144516312.83644044</v>
      </c>
      <c r="C8" s="40">
        <v>29739508.953143712</v>
      </c>
      <c r="D8" s="40">
        <v>35413716.486742117</v>
      </c>
      <c r="E8" s="40">
        <v>76309968.243169516</v>
      </c>
      <c r="F8" s="20">
        <v>800</v>
      </c>
    </row>
    <row r="9" spans="1:8" x14ac:dyDescent="0.35">
      <c r="A9" s="40">
        <v>92125657.608326241</v>
      </c>
      <c r="B9" s="40">
        <v>193998413.64132646</v>
      </c>
      <c r="C9" s="40">
        <v>39922258.229156271</v>
      </c>
      <c r="D9" s="40">
        <v>47539303.243552625</v>
      </c>
      <c r="E9" s="40">
        <v>102438351.03203647</v>
      </c>
      <c r="F9" s="20">
        <v>900</v>
      </c>
    </row>
    <row r="10" spans="1:8" x14ac:dyDescent="0.35">
      <c r="A10" s="40">
        <v>119887616.86548522</v>
      </c>
      <c r="B10" s="40">
        <v>252459608.87492821</v>
      </c>
      <c r="C10" s="40">
        <v>51952784.09116593</v>
      </c>
      <c r="D10" s="40">
        <v>61865216.718953796</v>
      </c>
      <c r="E10" s="40">
        <v>133308028.40044981</v>
      </c>
      <c r="F10" s="20">
        <v>1000</v>
      </c>
    </row>
    <row r="11" spans="1:8" x14ac:dyDescent="0.35">
      <c r="A11" s="40">
        <v>152144423.95900914</v>
      </c>
      <c r="B11" s="40">
        <v>320386064.62825406</v>
      </c>
      <c r="C11" s="40">
        <v>65931132.96668528</v>
      </c>
      <c r="D11" s="40">
        <v>78510591.893450692</v>
      </c>
      <c r="E11" s="40">
        <v>169175714.05939773</v>
      </c>
      <c r="F11" s="20">
        <v>1100</v>
      </c>
    </row>
    <row r="12" spans="1:8" x14ac:dyDescent="0.35">
      <c r="A12" s="40">
        <v>189115638.11355796</v>
      </c>
      <c r="B12" s="40">
        <v>398240129.20241642</v>
      </c>
      <c r="C12" s="40">
        <v>81952449.903150246</v>
      </c>
      <c r="D12" s="40">
        <v>97588727.199119002</v>
      </c>
      <c r="E12" s="40">
        <v>210285545.04422161</v>
      </c>
      <c r="F12" s="20">
        <v>1200</v>
      </c>
    </row>
    <row r="13" spans="1:8" x14ac:dyDescent="0.35">
      <c r="A13" s="40">
        <v>231011025.54509634</v>
      </c>
      <c r="B13" s="40">
        <v>486463528.75917482</v>
      </c>
      <c r="C13" s="40">
        <v>100107636.18972704</v>
      </c>
      <c r="D13" s="40">
        <v>119207867.61363667</v>
      </c>
      <c r="E13" s="40">
        <v>256870769.13653305</v>
      </c>
      <c r="F13" s="20">
        <v>1300</v>
      </c>
    </row>
    <row r="14" spans="1:8" x14ac:dyDescent="0.35">
      <c r="A14" s="40">
        <v>278031764.90170139</v>
      </c>
      <c r="B14" s="40">
        <v>585479905.74076736</v>
      </c>
      <c r="C14" s="40">
        <v>120483871.72989482</v>
      </c>
      <c r="D14" s="40">
        <v>143471826.69996521</v>
      </c>
      <c r="E14" s="40">
        <v>309155085.24395078</v>
      </c>
      <c r="F14" s="20">
        <v>1400</v>
      </c>
    </row>
    <row r="15" spans="1:8" x14ac:dyDescent="0.35">
      <c r="A15" s="40">
        <v>330371423.77356422</v>
      </c>
      <c r="B15" s="40">
        <v>695696875.20695901</v>
      </c>
      <c r="C15" s="40">
        <v>143165038.20788366</v>
      </c>
      <c r="D15" s="40">
        <v>170480490.51165158</v>
      </c>
      <c r="E15" s="40">
        <v>367353729.22224712</v>
      </c>
      <c r="F15" s="20">
        <v>1500</v>
      </c>
    </row>
    <row r="16" spans="1:8" x14ac:dyDescent="0.35">
      <c r="A16" s="40">
        <v>388216762.92561775</v>
      </c>
      <c r="B16" s="40">
        <v>817507718.38979065</v>
      </c>
      <c r="C16" s="40">
        <v>168232067.59940818</v>
      </c>
      <c r="D16" s="40">
        <v>200330232.59834322</v>
      </c>
      <c r="E16" s="40">
        <v>431674368.13500321</v>
      </c>
      <c r="F16" s="20">
        <v>1600</v>
      </c>
    </row>
    <row r="17" spans="1:11" x14ac:dyDescent="0.35">
      <c r="A17" s="40">
        <v>451748408.0491761</v>
      </c>
      <c r="B17" s="40">
        <v>951292797.26969469</v>
      </c>
      <c r="C17" s="40">
        <v>195763233.27237222</v>
      </c>
      <c r="D17" s="40">
        <v>233114260.64763275</v>
      </c>
      <c r="E17" s="40">
        <v>502317847.20224059</v>
      </c>
      <c r="F17" s="20">
        <v>1700</v>
      </c>
    </row>
    <row r="18" spans="1:11" x14ac:dyDescent="0.35">
      <c r="A18" s="40">
        <v>521141417.7289418</v>
      </c>
      <c r="B18" s="40">
        <v>1097420750.601721</v>
      </c>
      <c r="C18" s="40">
        <v>225834396.11293221</v>
      </c>
      <c r="D18" s="40">
        <v>268922909.57119834</v>
      </c>
      <c r="E18" s="40">
        <v>579478821.34656096</v>
      </c>
      <c r="F18" s="20">
        <v>1800</v>
      </c>
    </row>
    <row r="19" spans="1:11" x14ac:dyDescent="0.35">
      <c r="A19" s="40">
        <v>596565768.78811944</v>
      </c>
      <c r="B19" s="40">
        <v>1256249515.9562943</v>
      </c>
      <c r="C19" s="40">
        <v>258519214.84772423</v>
      </c>
      <c r="D19" s="40">
        <v>307843891.95587492</v>
      </c>
      <c r="E19" s="40">
        <v>663346294.86858356</v>
      </c>
      <c r="F19" s="20">
        <v>1900</v>
      </c>
    </row>
    <row r="20" spans="1:11" ht="15" thickBot="1" x14ac:dyDescent="0.4">
      <c r="A20" s="41">
        <v>678186774.92703629</v>
      </c>
      <c r="B20" s="41">
        <v>1428127211.2893257</v>
      </c>
      <c r="C20" s="41">
        <v>293889327.45907289</v>
      </c>
      <c r="D20" s="41">
        <v>349962514.09237683</v>
      </c>
      <c r="E20" s="41">
        <v>754104086.94853747</v>
      </c>
      <c r="F20" s="20">
        <v>2000</v>
      </c>
    </row>
    <row r="21" spans="1:11" ht="15" thickBot="1" x14ac:dyDescent="0.4">
      <c r="A21" s="170">
        <f>A20-A3</f>
        <v>672367600.68238974</v>
      </c>
      <c r="B21" s="39">
        <f>B20-B3</f>
        <v>1415873181.2886555</v>
      </c>
      <c r="C21" s="39">
        <f>C20-C3</f>
        <v>291367613.28186804</v>
      </c>
      <c r="D21" s="39">
        <f t="shared" ref="D21:E21" si="0">D20-D3</f>
        <v>346959664.54725379</v>
      </c>
      <c r="E21" s="39">
        <f t="shared" si="0"/>
        <v>747633505.03395247</v>
      </c>
      <c r="F21" s="39" t="s">
        <v>152</v>
      </c>
    </row>
    <row r="22" spans="1:11" x14ac:dyDescent="0.35">
      <c r="A22" s="32"/>
      <c r="B22" s="32"/>
      <c r="C22" s="32"/>
    </row>
    <row r="23" spans="1:11" x14ac:dyDescent="0.35">
      <c r="A23" s="32"/>
      <c r="B23" s="32"/>
      <c r="C23" s="32"/>
    </row>
    <row r="24" spans="1:11" x14ac:dyDescent="0.35">
      <c r="A24" s="32"/>
      <c r="B24" s="32"/>
      <c r="C24" s="32"/>
    </row>
    <row r="25" spans="1:11" ht="19" thickBot="1" x14ac:dyDescent="0.5">
      <c r="A25" s="168" t="s">
        <v>156</v>
      </c>
    </row>
    <row r="26" spans="1:11" ht="15" thickBot="1" x14ac:dyDescent="0.4">
      <c r="A26" s="39" t="s">
        <v>132</v>
      </c>
      <c r="B26" s="39" t="s">
        <v>133</v>
      </c>
      <c r="C26" s="39" t="s">
        <v>134</v>
      </c>
      <c r="D26" s="35" t="s">
        <v>135</v>
      </c>
      <c r="E26" s="39" t="s">
        <v>136</v>
      </c>
      <c r="K26" s="32"/>
    </row>
    <row r="27" spans="1:11" ht="15" thickBot="1" x14ac:dyDescent="0.4">
      <c r="A27" s="171">
        <v>2.8</v>
      </c>
      <c r="B27" s="172">
        <v>4.5999999999999996</v>
      </c>
      <c r="C27" s="172">
        <v>1.6</v>
      </c>
      <c r="D27" s="172">
        <v>1.8</v>
      </c>
      <c r="E27" s="173">
        <v>3</v>
      </c>
      <c r="K27" s="32"/>
    </row>
    <row r="28" spans="1:11" x14ac:dyDescent="0.35">
      <c r="A28" s="32"/>
      <c r="C28" s="32"/>
      <c r="K28" s="32"/>
    </row>
    <row r="29" spans="1:11" x14ac:dyDescent="0.35">
      <c r="A29" s="32"/>
      <c r="C29" s="32"/>
      <c r="K29" s="32"/>
    </row>
    <row r="30" spans="1:11" x14ac:dyDescent="0.35">
      <c r="A30" s="32"/>
      <c r="C30" s="32"/>
      <c r="K30" s="32"/>
    </row>
    <row r="31" spans="1:11" x14ac:dyDescent="0.35">
      <c r="A31" s="32"/>
      <c r="C31" s="32"/>
      <c r="K31" s="32"/>
    </row>
    <row r="32" spans="1:11" x14ac:dyDescent="0.35">
      <c r="A32" s="32"/>
      <c r="C32" s="32"/>
      <c r="K32" s="32"/>
    </row>
    <row r="33" spans="1:11" x14ac:dyDescent="0.35">
      <c r="A33" s="32"/>
      <c r="C33" s="32"/>
      <c r="K33" s="32"/>
    </row>
    <row r="34" spans="1:11" x14ac:dyDescent="0.35">
      <c r="A34" s="32"/>
      <c r="C34" s="32"/>
      <c r="K34" s="32"/>
    </row>
    <row r="35" spans="1:11" x14ac:dyDescent="0.35">
      <c r="A35" s="32"/>
      <c r="C35" s="32"/>
      <c r="K35" s="32"/>
    </row>
    <row r="36" spans="1:11" x14ac:dyDescent="0.35">
      <c r="A36" s="32"/>
      <c r="C36" s="32"/>
      <c r="K36" s="32"/>
    </row>
    <row r="37" spans="1:11" x14ac:dyDescent="0.35">
      <c r="A37" s="32"/>
      <c r="C37" s="32"/>
      <c r="K37" s="32"/>
    </row>
    <row r="38" spans="1:11" x14ac:dyDescent="0.35">
      <c r="A38" s="32"/>
      <c r="C38" s="32"/>
    </row>
    <row r="39" spans="1:11" x14ac:dyDescent="0.35">
      <c r="A39" s="32"/>
      <c r="C39" s="32"/>
    </row>
    <row r="40" spans="1:11" x14ac:dyDescent="0.35">
      <c r="A40" s="32"/>
      <c r="C40" s="32"/>
    </row>
    <row r="41" spans="1:11" ht="34.5" x14ac:dyDescent="0.8">
      <c r="A41" s="157"/>
    </row>
    <row r="42" spans="1:11" x14ac:dyDescent="0.35">
      <c r="A42" s="32"/>
      <c r="C42" s="32"/>
    </row>
    <row r="43" spans="1:11" x14ac:dyDescent="0.35">
      <c r="A43" s="32"/>
      <c r="C43" s="32"/>
    </row>
    <row r="44" spans="1:11" x14ac:dyDescent="0.35">
      <c r="A44" s="32"/>
      <c r="C44" s="32"/>
    </row>
    <row r="45" spans="1:11" ht="43" thickBot="1" x14ac:dyDescent="1.05">
      <c r="A45" s="165" t="s">
        <v>137</v>
      </c>
    </row>
    <row r="46" spans="1:11" ht="15" thickBot="1" x14ac:dyDescent="0.4">
      <c r="A46" s="34" t="s">
        <v>132</v>
      </c>
      <c r="B46" s="39" t="s">
        <v>133</v>
      </c>
      <c r="C46" s="35" t="s">
        <v>134</v>
      </c>
      <c r="D46" s="34" t="s">
        <v>135</v>
      </c>
      <c r="E46" s="39" t="s">
        <v>136</v>
      </c>
      <c r="F46" s="38" t="s">
        <v>151</v>
      </c>
    </row>
    <row r="47" spans="1:11" x14ac:dyDescent="0.35">
      <c r="A47" s="36">
        <v>4.9217857092415107E-3</v>
      </c>
      <c r="B47" s="40">
        <v>9.4459243808906994E-5</v>
      </c>
      <c r="C47" s="18">
        <v>2.5576421845920049E-21</v>
      </c>
      <c r="D47" s="36">
        <v>1.6404673538841369E-10</v>
      </c>
      <c r="E47" s="40">
        <v>6.5945590604710912E-35</v>
      </c>
      <c r="F47" s="20">
        <v>298.14999999999998</v>
      </c>
    </row>
    <row r="48" spans="1:11" x14ac:dyDescent="0.35">
      <c r="A48" s="36">
        <v>1.9050906813978807E-2</v>
      </c>
      <c r="B48" s="40">
        <v>1.0591214013105233E-3</v>
      </c>
      <c r="C48" s="18">
        <v>4.5998667948851019E-16</v>
      </c>
      <c r="D48" s="36">
        <v>5.1015390951576178E-8</v>
      </c>
      <c r="E48" s="40">
        <v>4.7556422044129941E-26</v>
      </c>
      <c r="F48" s="20">
        <v>400</v>
      </c>
    </row>
    <row r="49" spans="1:6" x14ac:dyDescent="0.35">
      <c r="A49" s="36">
        <v>4.2128426383191024E-2</v>
      </c>
      <c r="B49" s="40">
        <v>4.5411409449984006E-3</v>
      </c>
      <c r="C49" s="18">
        <v>5.7097546356402514E-13</v>
      </c>
      <c r="D49" s="36">
        <v>1.4771025085730153E-6</v>
      </c>
      <c r="E49" s="40">
        <v>8.7541783673708365E-21</v>
      </c>
      <c r="F49" s="20">
        <v>500</v>
      </c>
    </row>
    <row r="50" spans="1:6" x14ac:dyDescent="0.35">
      <c r="A50" s="36">
        <v>7.1678081255336132E-2</v>
      </c>
      <c r="B50" s="40">
        <v>1.2458760157368916E-2</v>
      </c>
      <c r="C50" s="18">
        <v>6.9239956310949999E-11</v>
      </c>
      <c r="D50" s="36">
        <v>1.4029102609256496E-5</v>
      </c>
      <c r="E50" s="40">
        <v>3.3633402764428401E-17</v>
      </c>
      <c r="F50" s="20">
        <v>600</v>
      </c>
    </row>
    <row r="51" spans="1:6" x14ac:dyDescent="0.35">
      <c r="A51" s="36">
        <v>0.10513006370041687</v>
      </c>
      <c r="B51" s="40">
        <v>2.6534879601021851E-2</v>
      </c>
      <c r="C51" s="18">
        <v>2.2437206866005261E-9</v>
      </c>
      <c r="D51" s="36">
        <v>7.061449376009829E-5</v>
      </c>
      <c r="E51" s="40">
        <v>1.4290784546827811E-14</v>
      </c>
      <c r="F51" s="20">
        <v>700</v>
      </c>
    </row>
    <row r="52" spans="1:6" x14ac:dyDescent="0.35">
      <c r="A52" s="36">
        <v>0.14067908323359954</v>
      </c>
      <c r="B52" s="40">
        <v>4.825477511338782E-2</v>
      </c>
      <c r="C52" s="18">
        <v>3.2038877144918474E-8</v>
      </c>
      <c r="D52" s="36">
        <v>2.3932839645276279E-4</v>
      </c>
      <c r="E52" s="40">
        <v>1.5378848577360002E-12</v>
      </c>
      <c r="F52" s="20">
        <v>800</v>
      </c>
    </row>
    <row r="53" spans="1:6" x14ac:dyDescent="0.35">
      <c r="A53" s="36">
        <v>0.17720876650390932</v>
      </c>
      <c r="B53" s="40">
        <v>7.8938466105136815E-2</v>
      </c>
      <c r="C53" s="18">
        <v>2.6568159232273447E-7</v>
      </c>
      <c r="D53" s="36">
        <v>6.2372741058796958E-4</v>
      </c>
      <c r="E53" s="40">
        <v>6.624054532472281E-11</v>
      </c>
      <c r="F53" s="20">
        <v>900</v>
      </c>
    </row>
    <row r="54" spans="1:6" x14ac:dyDescent="0.35">
      <c r="A54" s="36">
        <v>0.21407314161831972</v>
      </c>
      <c r="B54" s="40">
        <v>0.11980958704558346</v>
      </c>
      <c r="C54" s="18">
        <v>1.5081627057128131E-6</v>
      </c>
      <c r="D54" s="36">
        <v>1.3533966134432042E-3</v>
      </c>
      <c r="E54" s="40">
        <v>1.5006777562711866E-9</v>
      </c>
      <c r="F54" s="20">
        <v>1000</v>
      </c>
    </row>
    <row r="55" spans="1:6" x14ac:dyDescent="0.35">
      <c r="A55" s="36">
        <v>0.25091617945324685</v>
      </c>
      <c r="B55" s="40">
        <v>0.1720395340276098</v>
      </c>
      <c r="C55" s="18">
        <v>6.5023344887821072E-6</v>
      </c>
      <c r="D55" s="36">
        <v>2.5716281943893278E-3</v>
      </c>
      <c r="E55" s="40">
        <v>2.1260318907851576E-8</v>
      </c>
      <c r="F55" s="20">
        <v>1100</v>
      </c>
    </row>
    <row r="56" spans="1:6" x14ac:dyDescent="0.35">
      <c r="A56" s="36">
        <v>0.28755235690112763</v>
      </c>
      <c r="B56" s="40">
        <v>0.23677249172031836</v>
      </c>
      <c r="C56" s="18">
        <v>2.2808788742003601E-5</v>
      </c>
      <c r="D56" s="36">
        <v>4.4250529677505824E-3</v>
      </c>
      <c r="E56" s="40">
        <v>2.112953816588889E-7</v>
      </c>
      <c r="F56" s="20">
        <v>1200</v>
      </c>
    </row>
    <row r="57" spans="1:6" x14ac:dyDescent="0.35">
      <c r="A57" s="36">
        <v>0.3238938304339492</v>
      </c>
      <c r="B57" s="40">
        <v>0.31513895639932554</v>
      </c>
      <c r="C57" s="18">
        <v>6.8248514373173179E-5</v>
      </c>
      <c r="D57" s="36">
        <v>7.0568483633657334E-3</v>
      </c>
      <c r="E57" s="40">
        <v>1.5948187168629685E-6</v>
      </c>
      <c r="F57" s="20">
        <v>1300</v>
      </c>
    </row>
    <row r="58" spans="1:6" x14ac:dyDescent="0.35">
      <c r="A58" s="36">
        <v>0.35990756739502355</v>
      </c>
      <c r="B58" s="40">
        <v>0.40826288917866466</v>
      </c>
      <c r="C58" s="18">
        <v>1.8014758099602551E-4</v>
      </c>
      <c r="D58" s="36">
        <v>1.0603208078620346E-2</v>
      </c>
      <c r="E58" s="40">
        <v>9.674022692368493E-6</v>
      </c>
      <c r="F58" s="20">
        <v>1400</v>
      </c>
    </row>
    <row r="59" spans="1:6" x14ac:dyDescent="0.35">
      <c r="A59" s="36">
        <v>0.39559051364415032</v>
      </c>
      <c r="B59" s="40">
        <v>0.51726544822024811</v>
      </c>
      <c r="C59" s="18">
        <v>4.2988028519908911E-4</v>
      </c>
      <c r="D59" s="36">
        <v>1.5192110687952575E-2</v>
      </c>
      <c r="E59" s="40">
        <v>4.9157169577138434E-5</v>
      </c>
      <c r="F59" s="20">
        <v>1500</v>
      </c>
    </row>
    <row r="60" spans="1:6" x14ac:dyDescent="0.35">
      <c r="A60" s="36">
        <v>0.43095533252497775</v>
      </c>
      <c r="B60" s="40">
        <v>0.64326690251711072</v>
      </c>
      <c r="C60" s="18">
        <v>9.4448587359395521E-4</v>
      </c>
      <c r="D60" s="36">
        <v>2.0943454661188177E-2</v>
      </c>
      <c r="E60" s="40">
        <v>2.1585704425402055E-4</v>
      </c>
      <c r="F60" s="20">
        <v>1600</v>
      </c>
    </row>
    <row r="61" spans="1:6" x14ac:dyDescent="0.35">
      <c r="A61" s="36">
        <v>0.46602227713883054</v>
      </c>
      <c r="B61" s="40">
        <v>0.78738758240063644</v>
      </c>
      <c r="C61" s="18">
        <v>1.9374391814561563E-3</v>
      </c>
      <c r="D61" s="36">
        <v>2.7969877492208434E-2</v>
      </c>
      <c r="E61" s="40">
        <v>8.388809154417483E-4</v>
      </c>
      <c r="F61" s="20">
        <v>1700</v>
      </c>
    </row>
    <row r="62" spans="1:6" x14ac:dyDescent="0.35">
      <c r="A62" s="36">
        <v>0.50081461095308266</v>
      </c>
      <c r="B62" s="40">
        <v>0.95074832158821931</v>
      </c>
      <c r="C62" s="18">
        <v>3.7509882625330797E-3</v>
      </c>
      <c r="D62" s="36">
        <v>3.6377830675139201E-2</v>
      </c>
      <c r="E62" s="40">
        <v>2.9394685832774933E-3</v>
      </c>
      <c r="F62" s="20">
        <v>1800</v>
      </c>
    </row>
    <row r="63" spans="1:6" x14ac:dyDescent="0.35">
      <c r="A63" s="36">
        <v>0.53535608044660232</v>
      </c>
      <c r="B63" s="40">
        <v>1.1344706332562209</v>
      </c>
      <c r="C63" s="18">
        <v>6.9128316936421137E-3</v>
      </c>
      <c r="D63" s="36">
        <v>4.6268672227164555E-2</v>
      </c>
      <c r="E63" s="40">
        <v>9.4249453926343284E-3</v>
      </c>
      <c r="F63" s="20">
        <v>1900</v>
      </c>
    </row>
    <row r="64" spans="1:6" ht="15" thickBot="1" x14ac:dyDescent="0.4">
      <c r="A64" s="36">
        <v>0.56966957328013501</v>
      </c>
      <c r="B64" s="40">
        <v>1.3396767498382891</v>
      </c>
      <c r="C64" s="18">
        <v>1.2210293792595596E-2</v>
      </c>
      <c r="D64" s="36">
        <v>5.7739661077134435E-2</v>
      </c>
      <c r="E64" s="41">
        <v>2.7982406897134462E-2</v>
      </c>
      <c r="F64" s="37">
        <v>2000</v>
      </c>
    </row>
    <row r="65" spans="1:8" ht="15" thickBot="1" x14ac:dyDescent="0.4">
      <c r="A65" s="34" t="s">
        <v>152</v>
      </c>
      <c r="B65" s="39">
        <v>0.5647477875708935</v>
      </c>
      <c r="C65" s="35">
        <v>1.3395822905944803</v>
      </c>
      <c r="D65" s="39">
        <v>1.2210293792595596E-2</v>
      </c>
      <c r="E65" s="39">
        <v>5.7739660913087701E-2</v>
      </c>
      <c r="F65" s="43">
        <v>2.7982406897134462E-2</v>
      </c>
    </row>
    <row r="67" spans="1:8" x14ac:dyDescent="0.35">
      <c r="E67" s="32"/>
    </row>
    <row r="68" spans="1:8" ht="15" thickBot="1" x14ac:dyDescent="0.4">
      <c r="E68" s="32"/>
    </row>
    <row r="69" spans="1:8" ht="49.5" customHeight="1" x14ac:dyDescent="0.35">
      <c r="E69" s="32"/>
      <c r="H69" s="166" t="s">
        <v>154</v>
      </c>
    </row>
    <row r="70" spans="1:8" ht="58.5" thickBot="1" x14ac:dyDescent="0.4">
      <c r="H70" s="167" t="s">
        <v>153</v>
      </c>
    </row>
    <row r="71" spans="1:8" x14ac:dyDescent="0.35">
      <c r="B71" s="32"/>
      <c r="E71" s="32"/>
    </row>
    <row r="72" spans="1:8" x14ac:dyDescent="0.35">
      <c r="B72" s="32"/>
      <c r="E72" s="32"/>
    </row>
    <row r="73" spans="1:8" x14ac:dyDescent="0.35">
      <c r="B73" s="32"/>
      <c r="E73" s="32"/>
    </row>
    <row r="74" spans="1:8" x14ac:dyDescent="0.35">
      <c r="B74" s="32"/>
      <c r="E74" s="32"/>
    </row>
    <row r="75" spans="1:8" x14ac:dyDescent="0.35">
      <c r="B75" s="32"/>
      <c r="E75" s="32"/>
    </row>
    <row r="76" spans="1:8" x14ac:dyDescent="0.35">
      <c r="B76" s="32"/>
      <c r="E76" s="32"/>
    </row>
    <row r="77" spans="1:8" x14ac:dyDescent="0.35">
      <c r="B77" s="32"/>
      <c r="E77" s="32"/>
    </row>
    <row r="78" spans="1:8" x14ac:dyDescent="0.35">
      <c r="B78" s="32"/>
      <c r="E78" s="32"/>
    </row>
    <row r="79" spans="1:8" x14ac:dyDescent="0.35">
      <c r="B79" s="32"/>
      <c r="E79" s="32"/>
    </row>
    <row r="80" spans="1:8" x14ac:dyDescent="0.35">
      <c r="B80" s="32"/>
      <c r="E80" s="32"/>
    </row>
    <row r="84" s="18" customFormat="1" ht="60" customHeight="1" x14ac:dyDescent="0.35"/>
    <row r="197" spans="1:4" x14ac:dyDescent="0.35">
      <c r="A197" s="47"/>
    </row>
    <row r="199" spans="1:4" x14ac:dyDescent="0.35">
      <c r="C199" s="15"/>
      <c r="D199" s="15"/>
    </row>
    <row r="202" spans="1:4" x14ac:dyDescent="0.35">
      <c r="A202" s="47"/>
    </row>
    <row r="223" spans="1:19" ht="15" thickBot="1" x14ac:dyDescent="0.4"/>
    <row r="224" spans="1:19" x14ac:dyDescent="0.35">
      <c r="A224" s="158" t="s">
        <v>133</v>
      </c>
      <c r="B224" s="159">
        <v>749.05520000000001</v>
      </c>
      <c r="C224" s="19">
        <v>1395.6502</v>
      </c>
      <c r="D224" s="19">
        <v>1708.0454</v>
      </c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9"/>
    </row>
    <row r="225" spans="1:19" x14ac:dyDescent="0.35">
      <c r="A225" s="36" t="s">
        <v>134</v>
      </c>
      <c r="B225" s="9">
        <v>1347.6588999999999</v>
      </c>
      <c r="C225" s="9">
        <v>1347.6601000000001</v>
      </c>
      <c r="D225" s="16">
        <v>1347.8755000000001</v>
      </c>
      <c r="E225" s="9">
        <v>1563.8518999999999</v>
      </c>
      <c r="F225" s="9">
        <v>1563.8532</v>
      </c>
      <c r="G225" s="9">
        <v>3036.0944</v>
      </c>
      <c r="H225" s="9">
        <v>3148.7404999999999</v>
      </c>
      <c r="I225" s="9">
        <v>3148.7406999999998</v>
      </c>
      <c r="J225" s="9">
        <v>3148.9899</v>
      </c>
      <c r="S225" s="20"/>
    </row>
    <row r="226" spans="1:19" x14ac:dyDescent="0.35">
      <c r="A226" s="36" t="s">
        <v>135</v>
      </c>
      <c r="B226" s="9">
        <v>1603.5082</v>
      </c>
      <c r="C226" s="9">
        <v>3806.1278000000002</v>
      </c>
      <c r="D226" s="17">
        <v>3928.4319</v>
      </c>
      <c r="S226" s="20"/>
    </row>
    <row r="227" spans="1:19" ht="15" thickBot="1" x14ac:dyDescent="0.4">
      <c r="A227" s="160" t="s">
        <v>136</v>
      </c>
      <c r="B227" s="21">
        <f>308.2331</f>
        <v>308.23309999999998</v>
      </c>
      <c r="C227" s="21">
        <v>824.46770000000004</v>
      </c>
      <c r="D227" s="22">
        <v>824.46799999999996</v>
      </c>
      <c r="E227" s="22">
        <v>998.51430000000005</v>
      </c>
      <c r="F227" s="22">
        <v>1219.1466</v>
      </c>
      <c r="G227" s="22">
        <v>1219.1487999999999</v>
      </c>
      <c r="H227" s="22">
        <v>1408.3605</v>
      </c>
      <c r="I227" s="22">
        <v>1429.9567</v>
      </c>
      <c r="J227" s="22">
        <v>1507.8732</v>
      </c>
      <c r="K227" s="22">
        <v>1507.8738000000001</v>
      </c>
      <c r="L227" s="22">
        <v>1509.4987000000001</v>
      </c>
      <c r="M227" s="22">
        <v>1509.5007000000001</v>
      </c>
      <c r="N227" s="22">
        <v>3036.4703</v>
      </c>
      <c r="O227" s="22">
        <v>3037.5115999999998</v>
      </c>
      <c r="P227" s="22">
        <v>3090.0859</v>
      </c>
      <c r="Q227" s="22">
        <v>3090.0859999999998</v>
      </c>
      <c r="R227" s="22">
        <v>3113.5823999999998</v>
      </c>
      <c r="S227" s="23">
        <v>3113.5841999999998</v>
      </c>
    </row>
    <row r="231" spans="1:19" ht="15" thickBot="1" x14ac:dyDescent="0.4"/>
    <row r="232" spans="1:19" ht="15" thickBot="1" x14ac:dyDescent="0.4">
      <c r="A232" s="49"/>
      <c r="B232" s="24" t="s">
        <v>144</v>
      </c>
      <c r="C232" s="25" t="s">
        <v>143</v>
      </c>
    </row>
    <row r="233" spans="1:19" x14ac:dyDescent="0.35">
      <c r="A233" s="42" t="s">
        <v>132</v>
      </c>
      <c r="B233" s="26" t="s">
        <v>138</v>
      </c>
      <c r="C233" s="74"/>
    </row>
    <row r="234" spans="1:19" ht="29" x14ac:dyDescent="0.35">
      <c r="A234" s="40" t="s">
        <v>133</v>
      </c>
      <c r="B234" s="27" t="s">
        <v>140</v>
      </c>
      <c r="C234" s="30">
        <f>D224-B224</f>
        <v>958.99019999999996</v>
      </c>
      <c r="D234" s="15"/>
    </row>
    <row r="235" spans="1:19" x14ac:dyDescent="0.35">
      <c r="A235" s="40" t="s">
        <v>134</v>
      </c>
      <c r="B235" s="28" t="s">
        <v>139</v>
      </c>
      <c r="C235" s="30">
        <f>J225-B225</f>
        <v>1801.3310000000001</v>
      </c>
      <c r="D235" s="15"/>
      <c r="E235" s="15"/>
      <c r="F235" s="15"/>
      <c r="G235" s="15"/>
      <c r="H235" s="15"/>
      <c r="I235" s="15"/>
      <c r="J235" s="15"/>
    </row>
    <row r="236" spans="1:19" x14ac:dyDescent="0.35">
      <c r="A236" s="40" t="s">
        <v>135</v>
      </c>
      <c r="B236" s="28" t="s">
        <v>141</v>
      </c>
      <c r="C236" s="30">
        <f>D226-B226</f>
        <v>2324.9237000000003</v>
      </c>
      <c r="D236" s="15"/>
    </row>
    <row r="237" spans="1:19" ht="15" thickBot="1" x14ac:dyDescent="0.4">
      <c r="A237" s="41" t="s">
        <v>136</v>
      </c>
      <c r="B237" s="29" t="s">
        <v>142</v>
      </c>
      <c r="C237" s="31">
        <f>S227-B227</f>
        <v>2805.3510999999999</v>
      </c>
      <c r="D237" s="15"/>
    </row>
    <row r="242" spans="1:5" x14ac:dyDescent="0.35">
      <c r="A242" s="17"/>
      <c r="B242" s="71" t="s">
        <v>10</v>
      </c>
    </row>
    <row r="243" spans="1:5" x14ac:dyDescent="0.35">
      <c r="A243" s="17" t="s">
        <v>132</v>
      </c>
      <c r="B243" s="17">
        <v>1</v>
      </c>
    </row>
    <row r="244" spans="1:5" x14ac:dyDescent="0.35">
      <c r="A244" s="17" t="s">
        <v>133</v>
      </c>
      <c r="B244" s="17">
        <v>2</v>
      </c>
    </row>
    <row r="245" spans="1:5" x14ac:dyDescent="0.35">
      <c r="A245" s="17" t="s">
        <v>134</v>
      </c>
      <c r="B245" s="17">
        <v>1</v>
      </c>
    </row>
    <row r="246" spans="1:5" x14ac:dyDescent="0.35">
      <c r="A246" s="17" t="s">
        <v>135</v>
      </c>
      <c r="B246" s="17">
        <v>1</v>
      </c>
    </row>
    <row r="247" spans="1:5" x14ac:dyDescent="0.35">
      <c r="A247" s="17" t="s">
        <v>136</v>
      </c>
      <c r="B247" s="17">
        <v>1</v>
      </c>
    </row>
    <row r="255" spans="1:5" x14ac:dyDescent="0.35">
      <c r="A255" s="18" t="s">
        <v>148</v>
      </c>
    </row>
    <row r="256" spans="1:5" x14ac:dyDescent="0.35">
      <c r="A256" s="17" t="s">
        <v>132</v>
      </c>
      <c r="B256" s="17" t="s">
        <v>133</v>
      </c>
      <c r="C256" s="17" t="s">
        <v>134</v>
      </c>
      <c r="D256" s="17" t="s">
        <v>135</v>
      </c>
      <c r="E256" s="17" t="s">
        <v>136</v>
      </c>
    </row>
    <row r="257" spans="1:6" x14ac:dyDescent="0.35">
      <c r="A257" s="18">
        <v>2.342062918067803E-3</v>
      </c>
      <c r="B257" s="18">
        <v>1.1422532899068629</v>
      </c>
      <c r="C257" s="18">
        <v>0.35596306949326617</v>
      </c>
      <c r="D257" s="18">
        <v>3.1687195340809896E-2</v>
      </c>
      <c r="E257" s="18">
        <v>8.3575444874067291</v>
      </c>
      <c r="F257" s="161">
        <v>298.14999999999998</v>
      </c>
    </row>
    <row r="258" spans="1:6" x14ac:dyDescent="0.35">
      <c r="A258" s="18">
        <v>2.6913728758856469E-2</v>
      </c>
      <c r="B258" s="18">
        <v>2.6026899067663107</v>
      </c>
      <c r="C258" s="18">
        <v>1.5568800875715376</v>
      </c>
      <c r="D258" s="18">
        <v>0.17668989511619959</v>
      </c>
      <c r="E258" s="18">
        <v>15.208604368641248</v>
      </c>
      <c r="F258" s="161">
        <v>400</v>
      </c>
    </row>
    <row r="259" spans="1:6" x14ac:dyDescent="0.35">
      <c r="A259" s="18">
        <v>0.10807553695718626</v>
      </c>
      <c r="B259" s="18">
        <v>4.3483107504115912</v>
      </c>
      <c r="C259" s="18">
        <v>3.6335420799758764</v>
      </c>
      <c r="D259" s="18">
        <v>0.4698200441974883</v>
      </c>
      <c r="E259" s="18">
        <v>23.342015990942567</v>
      </c>
      <c r="F259" s="161">
        <v>500</v>
      </c>
    </row>
    <row r="260" spans="1:6" x14ac:dyDescent="0.35">
      <c r="A260" s="18">
        <v>0.26685563517293043</v>
      </c>
      <c r="B260" s="18">
        <v>6.2476968282097234</v>
      </c>
      <c r="C260" s="18">
        <v>6.3759707562138868</v>
      </c>
      <c r="D260" s="18">
        <v>0.89446159487025734</v>
      </c>
      <c r="E260" s="18">
        <v>32.244875556782446</v>
      </c>
      <c r="F260" s="161">
        <v>600</v>
      </c>
    </row>
    <row r="261" spans="1:6" x14ac:dyDescent="0.35">
      <c r="A261" s="18">
        <v>0.50190803288972041</v>
      </c>
      <c r="B261" s="18">
        <v>8.1967846336216805</v>
      </c>
      <c r="C261" s="18">
        <v>9.5582731157287988</v>
      </c>
      <c r="D261" s="18">
        <v>1.4206337518780778</v>
      </c>
      <c r="E261" s="18">
        <v>41.481296959657257</v>
      </c>
      <c r="F261" s="161">
        <v>700</v>
      </c>
    </row>
    <row r="262" spans="1:6" x14ac:dyDescent="0.35">
      <c r="A262" s="18">
        <v>0.79924175839170386</v>
      </c>
      <c r="B262" s="18">
        <v>10.131076124293395</v>
      </c>
      <c r="C262" s="18">
        <v>13.015546404937027</v>
      </c>
      <c r="D262" s="18">
        <v>2.0254950572442332</v>
      </c>
      <c r="E262" s="18">
        <v>50.790794737396652</v>
      </c>
      <c r="F262" s="161">
        <v>800</v>
      </c>
    </row>
    <row r="263" spans="1:6" x14ac:dyDescent="0.35">
      <c r="A263" s="18">
        <v>1.1417195385785597</v>
      </c>
      <c r="B263" s="18">
        <v>12.013919813405252</v>
      </c>
      <c r="C263" s="18">
        <v>16.633706066885672</v>
      </c>
      <c r="D263" s="18">
        <v>2.6936412370472471</v>
      </c>
      <c r="E263" s="18">
        <v>60.021289368696266</v>
      </c>
      <c r="F263" s="161">
        <v>900</v>
      </c>
    </row>
    <row r="264" spans="1:6" x14ac:dyDescent="0.35">
      <c r="A264" s="18">
        <v>1.5138670272407748</v>
      </c>
      <c r="B264" s="18">
        <v>13.826477665813176</v>
      </c>
      <c r="C264" s="18">
        <v>20.332800531079194</v>
      </c>
      <c r="D264" s="18">
        <v>3.4135895740091473</v>
      </c>
      <c r="E264" s="18">
        <v>69.082238304784497</v>
      </c>
      <c r="F264" s="161">
        <v>1000</v>
      </c>
    </row>
    <row r="265" spans="1:6" x14ac:dyDescent="0.35">
      <c r="A265" s="18">
        <v>1.9033853485421364</v>
      </c>
      <c r="B265" s="18">
        <v>15.560653839554883</v>
      </c>
      <c r="C265" s="18">
        <v>24.055898684437238</v>
      </c>
      <c r="D265" s="18">
        <v>4.1754810033414991</v>
      </c>
      <c r="E265" s="18">
        <v>77.919166683201169</v>
      </c>
      <c r="F265" s="161">
        <v>1100</v>
      </c>
    </row>
    <row r="266" spans="1:6" x14ac:dyDescent="0.35">
      <c r="A266" s="18">
        <v>2.3011321878775735</v>
      </c>
      <c r="B266" s="18">
        <v>17.214570530752926</v>
      </c>
      <c r="C266" s="18">
        <v>27.76235734820041</v>
      </c>
      <c r="D266" s="18">
        <v>4.9702370114704646</v>
      </c>
      <c r="E266" s="18">
        <v>86.500180132652488</v>
      </c>
      <c r="F266" s="161">
        <v>1200</v>
      </c>
    </row>
    <row r="267" spans="1:6" x14ac:dyDescent="0.35">
      <c r="A267" s="18">
        <v>2.700583582770065</v>
      </c>
      <c r="B267" s="18">
        <v>18.789808672575717</v>
      </c>
      <c r="C267" s="18">
        <v>31.423474208090834</v>
      </c>
      <c r="D267" s="18">
        <v>5.7894638012270354</v>
      </c>
      <c r="E267" s="18">
        <v>94.808308223501754</v>
      </c>
      <c r="F267" s="161">
        <v>1300</v>
      </c>
    </row>
    <row r="268" spans="1:6" x14ac:dyDescent="0.35">
      <c r="A268" s="18">
        <v>3.0972211045626872</v>
      </c>
      <c r="B268" s="18">
        <v>20.289766837850696</v>
      </c>
      <c r="C268" s="18">
        <v>35.01942994902398</v>
      </c>
      <c r="D268" s="18">
        <v>6.6255837624108551</v>
      </c>
      <c r="E268" s="18">
        <v>102.83672316454066</v>
      </c>
      <c r="F268" s="161">
        <v>1400</v>
      </c>
    </row>
    <row r="269" spans="1:6" x14ac:dyDescent="0.35">
      <c r="A269" s="18">
        <v>3.4880009350902572</v>
      </c>
      <c r="B269" s="18">
        <v>21.71870095491245</v>
      </c>
      <c r="C269" s="18">
        <v>38.537018225277471</v>
      </c>
      <c r="D269" s="18">
        <v>7.4719577599783031</v>
      </c>
      <c r="E269" s="18">
        <v>110.58552167452973</v>
      </c>
      <c r="F269" s="161">
        <v>1500</v>
      </c>
    </row>
    <row r="270" spans="1:6" x14ac:dyDescent="0.35">
      <c r="A270" s="18">
        <v>3.8709390330222138</v>
      </c>
      <c r="B270" s="18">
        <v>23.081171285700449</v>
      </c>
      <c r="C270" s="18">
        <v>41.967925049425332</v>
      </c>
      <c r="D270" s="18">
        <v>8.3229302250268411</v>
      </c>
      <c r="E270" s="18">
        <v>118.05946667894199</v>
      </c>
      <c r="F270" s="161">
        <v>1600</v>
      </c>
    </row>
    <row r="271" spans="1:6" x14ac:dyDescent="0.35">
      <c r="A271" s="18">
        <v>4.2448024909653004</v>
      </c>
      <c r="B271" s="18">
        <v>24.381731159478534</v>
      </c>
      <c r="C271" s="18">
        <v>45.307421745575631</v>
      </c>
      <c r="D271" s="18">
        <v>9.1738007756476154</v>
      </c>
      <c r="E271" s="18">
        <v>125.26637664074374</v>
      </c>
      <c r="F271" s="161">
        <v>1700</v>
      </c>
    </row>
    <row r="272" spans="1:6" x14ac:dyDescent="0.35">
      <c r="A272" s="18">
        <v>4.6088856030966809</v>
      </c>
      <c r="B272" s="18">
        <v>25.624758612094933</v>
      </c>
      <c r="C272" s="18">
        <v>48.553377365899706</v>
      </c>
      <c r="D272" s="18">
        <v>10.020746749677572</v>
      </c>
      <c r="E272" s="18">
        <v>132.21597524295669</v>
      </c>
      <c r="F272" s="161">
        <v>1800</v>
      </c>
    </row>
    <row r="273" spans="1:6" x14ac:dyDescent="0.35">
      <c r="A273" s="18">
        <v>4.962849520386488</v>
      </c>
      <c r="B273" s="18">
        <v>26.814372093062513</v>
      </c>
      <c r="C273" s="18">
        <v>51.705517995331945</v>
      </c>
      <c r="D273" s="18">
        <v>10.86072074248688</v>
      </c>
      <c r="E273" s="18">
        <v>138.9190752627415</v>
      </c>
      <c r="F273" s="161">
        <v>1900</v>
      </c>
    </row>
    <row r="274" spans="1:6" x14ac:dyDescent="0.35">
      <c r="A274" s="18">
        <v>5.3066082156223793</v>
      </c>
      <c r="B274" s="18">
        <v>27.954395193145064</v>
      </c>
      <c r="C274" s="18">
        <v>54.764875277497147</v>
      </c>
      <c r="D274" s="18">
        <v>11.691340800264227</v>
      </c>
      <c r="E274" s="18">
        <v>145.38700612829481</v>
      </c>
      <c r="F274" s="162">
        <v>2000</v>
      </c>
    </row>
    <row r="275" spans="1:6" x14ac:dyDescent="0.35">
      <c r="A275" s="163">
        <f>A274-A257</f>
        <v>5.3042661527043116</v>
      </c>
      <c r="B275" s="163">
        <f t="shared" ref="B275:E275" si="1">B274-B257</f>
        <v>26.812141903238203</v>
      </c>
      <c r="C275" s="163">
        <f t="shared" si="1"/>
        <v>54.408912208003883</v>
      </c>
      <c r="D275" s="163">
        <f t="shared" si="1"/>
        <v>11.659653604923417</v>
      </c>
      <c r="E275" s="163">
        <f t="shared" si="1"/>
        <v>137.02946164088809</v>
      </c>
    </row>
    <row r="281" spans="1:6" x14ac:dyDescent="0.35">
      <c r="A281" s="18" t="s">
        <v>59</v>
      </c>
    </row>
    <row r="282" spans="1:6" x14ac:dyDescent="0.35">
      <c r="A282" s="17" t="s">
        <v>132</v>
      </c>
      <c r="B282" s="17" t="s">
        <v>133</v>
      </c>
      <c r="C282" s="17" t="s">
        <v>134</v>
      </c>
      <c r="D282" s="17" t="s">
        <v>135</v>
      </c>
      <c r="E282" s="17" t="s">
        <v>136</v>
      </c>
    </row>
    <row r="283" spans="1:6" x14ac:dyDescent="0.35">
      <c r="A283" s="18">
        <v>41.557629812264992</v>
      </c>
      <c r="B283" s="18">
        <v>76.654148550717622</v>
      </c>
      <c r="C283" s="18">
        <v>53.93350982053682</v>
      </c>
      <c r="D283" s="18">
        <v>43.871120145757565</v>
      </c>
      <c r="E283" s="18">
        <v>68.1842784062204</v>
      </c>
      <c r="F283" s="161">
        <v>298.14999999999998</v>
      </c>
    </row>
    <row r="284" spans="1:6" x14ac:dyDescent="0.35">
      <c r="A284" s="18">
        <v>44.00098291222762</v>
      </c>
      <c r="B284" s="18">
        <v>80.319178200661568</v>
      </c>
      <c r="C284" s="18">
        <v>57.598539470480773</v>
      </c>
      <c r="D284" s="18">
        <v>47.536149795701519</v>
      </c>
      <c r="E284" s="18">
        <v>71.849308056164361</v>
      </c>
      <c r="F284" s="161">
        <v>400</v>
      </c>
    </row>
    <row r="285" spans="1:6" x14ac:dyDescent="0.35">
      <c r="A285" s="18">
        <v>45.856301628077382</v>
      </c>
      <c r="B285" s="18">
        <v>83.102156274436211</v>
      </c>
      <c r="C285" s="18">
        <v>60.381517544255409</v>
      </c>
      <c r="D285" s="18">
        <v>50.319127869476162</v>
      </c>
      <c r="E285" s="18">
        <v>74.632286129939004</v>
      </c>
      <c r="F285" s="161">
        <v>500</v>
      </c>
    </row>
    <row r="286" spans="1:6" x14ac:dyDescent="0.35">
      <c r="A286" s="18">
        <v>47.372207396496286</v>
      </c>
      <c r="B286" s="18">
        <v>85.37601492706456</v>
      </c>
      <c r="C286" s="18">
        <v>62.655376196883765</v>
      </c>
      <c r="D286" s="18">
        <v>52.592986522104518</v>
      </c>
      <c r="E286" s="18">
        <v>76.906144782567338</v>
      </c>
      <c r="F286" s="161">
        <v>600</v>
      </c>
    </row>
    <row r="287" spans="1:6" x14ac:dyDescent="0.35">
      <c r="A287" s="18">
        <v>48.653887461459306</v>
      </c>
      <c r="B287" s="18">
        <v>87.298535024509093</v>
      </c>
      <c r="C287" s="18">
        <v>64.577896294328298</v>
      </c>
      <c r="D287" s="18">
        <v>54.515506619549051</v>
      </c>
      <c r="E287" s="18">
        <v>78.828664880011885</v>
      </c>
      <c r="F287" s="161">
        <v>700</v>
      </c>
    </row>
    <row r="288" spans="1:6" x14ac:dyDescent="0.35">
      <c r="A288" s="18">
        <v>49.764129233765381</v>
      </c>
      <c r="B288" s="18">
        <v>88.963897682968209</v>
      </c>
      <c r="C288" s="18">
        <v>66.243258952787414</v>
      </c>
      <c r="D288" s="18">
        <v>56.18086927800816</v>
      </c>
      <c r="E288" s="18">
        <v>80.494027538470988</v>
      </c>
      <c r="F288" s="161">
        <v>800</v>
      </c>
    </row>
    <row r="289" spans="1:6" x14ac:dyDescent="0.35">
      <c r="A289" s="18">
        <v>50.743431880764952</v>
      </c>
      <c r="B289" s="18">
        <v>90.432851653467552</v>
      </c>
      <c r="C289" s="18">
        <v>67.712212923286756</v>
      </c>
      <c r="D289" s="18">
        <v>57.649823248507509</v>
      </c>
      <c r="E289" s="18">
        <v>81.962981508970344</v>
      </c>
      <c r="F289" s="161">
        <v>900</v>
      </c>
    </row>
    <row r="290" spans="1:6" x14ac:dyDescent="0.35">
      <c r="A290" s="18">
        <v>51.619447949615143</v>
      </c>
      <c r="B290" s="18">
        <v>91.746875756742853</v>
      </c>
      <c r="C290" s="18">
        <v>69.026237026562058</v>
      </c>
      <c r="D290" s="18">
        <v>58.96384735178281</v>
      </c>
      <c r="E290" s="18">
        <v>83.277005612245645</v>
      </c>
      <c r="F290" s="161">
        <v>1000</v>
      </c>
    </row>
    <row r="291" spans="1:6" x14ac:dyDescent="0.35">
      <c r="A291" s="18">
        <v>52.411900876713062</v>
      </c>
      <c r="B291" s="18">
        <v>92.935555147389721</v>
      </c>
      <c r="C291" s="18">
        <v>70.214916417208926</v>
      </c>
      <c r="D291" s="18">
        <v>60.152526742429686</v>
      </c>
      <c r="E291" s="18">
        <v>84.465685002892528</v>
      </c>
      <c r="F291" s="161">
        <v>1100</v>
      </c>
    </row>
    <row r="292" spans="1:6" x14ac:dyDescent="0.35">
      <c r="A292" s="18">
        <v>53.135353718034047</v>
      </c>
      <c r="B292" s="18">
        <v>94.020734409371215</v>
      </c>
      <c r="C292" s="18">
        <v>71.300095679190406</v>
      </c>
      <c r="D292" s="18">
        <v>61.237706004411152</v>
      </c>
      <c r="E292" s="18">
        <v>85.550864264873994</v>
      </c>
      <c r="F292" s="161">
        <v>1200</v>
      </c>
    </row>
    <row r="293" spans="1:6" x14ac:dyDescent="0.35">
      <c r="A293" s="18">
        <v>53.800865818829166</v>
      </c>
      <c r="B293" s="18">
        <v>95.019002560563877</v>
      </c>
      <c r="C293" s="18">
        <v>72.298363830383082</v>
      </c>
      <c r="D293" s="18">
        <v>62.235974155603834</v>
      </c>
      <c r="E293" s="18">
        <v>86.549132416066669</v>
      </c>
      <c r="F293" s="161">
        <v>1300</v>
      </c>
    </row>
    <row r="294" spans="1:6" x14ac:dyDescent="0.35">
      <c r="A294" s="18">
        <v>54.417033782997073</v>
      </c>
      <c r="B294" s="18">
        <v>95.943254506815748</v>
      </c>
      <c r="C294" s="18">
        <v>73.222615776634939</v>
      </c>
      <c r="D294" s="18">
        <v>63.160226101855692</v>
      </c>
      <c r="E294" s="18">
        <v>87.473384362318527</v>
      </c>
      <c r="F294" s="161">
        <v>1400</v>
      </c>
    </row>
    <row r="295" spans="1:6" x14ac:dyDescent="0.35">
      <c r="A295" s="18">
        <v>54.990672433883809</v>
      </c>
      <c r="B295" s="18">
        <v>96.803712483145844</v>
      </c>
      <c r="C295" s="18">
        <v>74.083073752965049</v>
      </c>
      <c r="D295" s="18">
        <v>64.020684078185795</v>
      </c>
      <c r="E295" s="18">
        <v>88.333842338648637</v>
      </c>
      <c r="F295" s="161">
        <v>1500</v>
      </c>
    </row>
    <row r="296" spans="1:6" x14ac:dyDescent="0.35">
      <c r="A296" s="18">
        <v>55.527275555303149</v>
      </c>
      <c r="B296" s="18">
        <v>97.608617165274865</v>
      </c>
      <c r="C296" s="18">
        <v>74.88797843509407</v>
      </c>
      <c r="D296" s="18">
        <v>64.825588760314801</v>
      </c>
      <c r="E296" s="18">
        <v>89.138747020777643</v>
      </c>
      <c r="F296" s="161">
        <v>1600</v>
      </c>
    </row>
    <row r="297" spans="1:6" x14ac:dyDescent="0.35">
      <c r="A297" s="18">
        <v>56.031336707126279</v>
      </c>
      <c r="B297" s="18">
        <v>98.364708893009549</v>
      </c>
      <c r="C297" s="18">
        <v>75.644070162828754</v>
      </c>
      <c r="D297" s="18">
        <v>65.581680488049514</v>
      </c>
      <c r="E297" s="18">
        <v>89.894838748512342</v>
      </c>
      <c r="F297" s="161">
        <v>1700</v>
      </c>
    </row>
    <row r="298" spans="1:6" x14ac:dyDescent="0.35">
      <c r="A298" s="18">
        <v>56.506578202302713</v>
      </c>
      <c r="B298" s="18">
        <v>99.077571135774193</v>
      </c>
      <c r="C298" s="18">
        <v>76.356932405593398</v>
      </c>
      <c r="D298" s="18">
        <v>66.294542730814143</v>
      </c>
      <c r="E298" s="18">
        <v>90.607700991276985</v>
      </c>
      <c r="F298" s="161">
        <v>1800</v>
      </c>
    </row>
    <row r="299" spans="1:6" x14ac:dyDescent="0.35">
      <c r="A299" s="18">
        <v>56.956118092413554</v>
      </c>
      <c r="B299" s="18">
        <v>99.751880970940462</v>
      </c>
      <c r="C299" s="18">
        <v>77.031242240759653</v>
      </c>
      <c r="D299" s="18">
        <v>66.968852565980413</v>
      </c>
      <c r="E299" s="18">
        <v>91.282010826443255</v>
      </c>
      <c r="F299" s="161">
        <v>1900</v>
      </c>
    </row>
    <row r="300" spans="1:6" x14ac:dyDescent="0.35">
      <c r="A300" s="18">
        <v>57.382594271152911</v>
      </c>
      <c r="B300" s="18">
        <v>100.39159523904949</v>
      </c>
      <c r="C300" s="18">
        <v>77.670956508868699</v>
      </c>
      <c r="D300" s="18">
        <v>67.608566834089459</v>
      </c>
      <c r="E300" s="18">
        <v>91.921725094552286</v>
      </c>
      <c r="F300" s="162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co</vt:lpstr>
      <vt:lpstr>no2</vt:lpstr>
      <vt:lpstr>metano</vt:lpstr>
      <vt:lpstr>Acqua</vt:lpstr>
      <vt:lpstr>etano</vt:lpstr>
      <vt:lpstr>Comparisons</vt:lpstr>
      <vt:lpstr>co!Qtable</vt:lpstr>
      <vt:lpstr>metano!Qtable</vt:lpstr>
      <vt:lpstr>'no2'!Qtable</vt:lpstr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2024-06-28T09:45:44Z</dcterms:modified>
</cp:coreProperties>
</file>