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6\"/>
    </mc:Choice>
  </mc:AlternateContent>
  <xr:revisionPtr revIDLastSave="0" documentId="13_ncr:1_{FA1EB25A-F45D-40A8-8186-CAFB7446FF08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H2=2H" sheetId="1" r:id="rId1"/>
    <sheet name="CH4=CH3+H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GbuzWtgZog6ToXzOy/IS7KLPoE92Zg+qP+ujzsSh4="/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24" i="4"/>
  <c r="G10" i="1"/>
  <c r="G9" i="1"/>
  <c r="E65" i="1"/>
  <c r="D65" i="1"/>
  <c r="D60" i="4"/>
  <c r="B17" i="4"/>
  <c r="G8" i="1"/>
  <c r="H10" i="1"/>
  <c r="H10" i="4"/>
  <c r="H9" i="4"/>
  <c r="H8" i="4"/>
  <c r="D63" i="4"/>
  <c r="D62" i="4"/>
  <c r="D61" i="4"/>
  <c r="D68" i="1"/>
  <c r="E63" i="4" s="1"/>
  <c r="D67" i="1"/>
  <c r="E62" i="4" s="1"/>
  <c r="D66" i="1"/>
  <c r="E61" i="4" s="1"/>
  <c r="E60" i="4"/>
  <c r="D64" i="1"/>
  <c r="E59" i="4" s="1"/>
  <c r="E25" i="4"/>
  <c r="F25" i="4" s="1"/>
  <c r="E26" i="4"/>
  <c r="F26" i="4" s="1"/>
  <c r="E27" i="4"/>
  <c r="E28" i="4"/>
  <c r="F28" i="4" s="1"/>
  <c r="E29" i="4"/>
  <c r="E30" i="4"/>
  <c r="E31" i="4"/>
  <c r="D35" i="4"/>
  <c r="C35" i="4"/>
  <c r="D34" i="4"/>
  <c r="C34" i="4"/>
  <c r="D33" i="4"/>
  <c r="C33" i="4"/>
  <c r="D32" i="4"/>
  <c r="C32" i="4"/>
  <c r="C26" i="4"/>
  <c r="C27" i="4"/>
  <c r="D27" i="4"/>
  <c r="D26" i="4"/>
  <c r="C25" i="4"/>
  <c r="D25" i="4"/>
  <c r="D24" i="4"/>
  <c r="C24" i="4"/>
  <c r="C60" i="4"/>
  <c r="C61" i="4"/>
  <c r="C37" i="1"/>
  <c r="C36" i="1"/>
  <c r="C35" i="1"/>
  <c r="C34" i="1"/>
  <c r="C32" i="1"/>
  <c r="E32" i="1" s="1"/>
  <c r="F32" i="1" s="1"/>
  <c r="C31" i="1"/>
  <c r="C30" i="1"/>
  <c r="C29" i="1"/>
  <c r="C27" i="1"/>
  <c r="C26" i="1"/>
  <c r="C25" i="1"/>
  <c r="C24" i="1"/>
  <c r="C63" i="4"/>
  <c r="C62" i="4"/>
  <c r="E57" i="4"/>
  <c r="E56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E52" i="4"/>
  <c r="D52" i="4"/>
  <c r="C52" i="4"/>
  <c r="C68" i="1"/>
  <c r="C67" i="1"/>
  <c r="C66" i="1"/>
  <c r="C65" i="1"/>
  <c r="E64" i="1"/>
  <c r="F64" i="1" s="1"/>
  <c r="G64" i="1" s="1"/>
  <c r="D63" i="1"/>
  <c r="E54" i="4" s="1"/>
  <c r="D62" i="1"/>
  <c r="E53" i="4" s="1"/>
  <c r="D61" i="1"/>
  <c r="C64" i="1"/>
  <c r="C63" i="1"/>
  <c r="C62" i="1"/>
  <c r="C61" i="1"/>
  <c r="D60" i="1"/>
  <c r="E60" i="1" s="1"/>
  <c r="F60" i="1" s="1"/>
  <c r="G60" i="1" s="1"/>
  <c r="D59" i="1"/>
  <c r="E59" i="1" s="1"/>
  <c r="F59" i="1" s="1"/>
  <c r="G59" i="1" s="1"/>
  <c r="C59" i="1"/>
  <c r="C58" i="1"/>
  <c r="D57" i="1"/>
  <c r="C57" i="1"/>
  <c r="F18" i="4"/>
  <c r="D18" i="4"/>
  <c r="I10" i="4"/>
  <c r="I9" i="4"/>
  <c r="I8" i="4"/>
  <c r="G10" i="4"/>
  <c r="G9" i="4"/>
  <c r="G8" i="4"/>
  <c r="H9" i="1"/>
  <c r="H8" i="1"/>
  <c r="F16" i="4"/>
  <c r="F17" i="4"/>
  <c r="D17" i="4"/>
  <c r="I6" i="4"/>
  <c r="I7" i="4"/>
  <c r="G6" i="4"/>
  <c r="G7" i="4"/>
  <c r="G6" i="1"/>
  <c r="H6" i="1" s="1"/>
  <c r="G7" i="1"/>
  <c r="B14" i="4"/>
  <c r="H7" i="4" s="1"/>
  <c r="D16" i="4"/>
  <c r="D58" i="1"/>
  <c r="D38" i="1"/>
  <c r="E38" i="1" s="1"/>
  <c r="F38" i="1" s="1"/>
  <c r="D37" i="1"/>
  <c r="D36" i="1"/>
  <c r="E34" i="4" s="1"/>
  <c r="D35" i="1"/>
  <c r="D34" i="1"/>
  <c r="E32" i="4" s="1"/>
  <c r="D33" i="1"/>
  <c r="E33" i="1" s="1"/>
  <c r="F33" i="1" s="1"/>
  <c r="D32" i="1"/>
  <c r="D31" i="1"/>
  <c r="D30" i="1"/>
  <c r="D29" i="1"/>
  <c r="D28" i="1"/>
  <c r="E28" i="1" s="1"/>
  <c r="F28" i="1" s="1"/>
  <c r="D27" i="1"/>
  <c r="D26" i="1"/>
  <c r="E26" i="1" s="1"/>
  <c r="F26" i="1" s="1"/>
  <c r="D25" i="1"/>
  <c r="E25" i="1" s="1"/>
  <c r="F25" i="1" s="1"/>
  <c r="D24" i="1"/>
  <c r="E24" i="4" s="1"/>
  <c r="C14" i="1"/>
  <c r="B14" i="1"/>
  <c r="F65" i="1" l="1"/>
  <c r="G65" i="1" s="1"/>
  <c r="H7" i="1"/>
  <c r="E35" i="1"/>
  <c r="F35" i="1" s="1"/>
  <c r="E37" i="1"/>
  <c r="F37" i="1" s="1"/>
  <c r="E58" i="4"/>
  <c r="F58" i="4" s="1"/>
  <c r="G58" i="4" s="1"/>
  <c r="H58" i="4" s="1"/>
  <c r="E35" i="4"/>
  <c r="E33" i="4"/>
  <c r="F33" i="4" s="1"/>
  <c r="G33" i="4" s="1"/>
  <c r="H33" i="4" s="1"/>
  <c r="F32" i="4"/>
  <c r="G32" i="4" s="1"/>
  <c r="H32" i="4" s="1"/>
  <c r="E68" i="1"/>
  <c r="F68" i="1" s="1"/>
  <c r="G68" i="1" s="1"/>
  <c r="E67" i="1"/>
  <c r="F67" i="1" s="1"/>
  <c r="G67" i="1" s="1"/>
  <c r="E66" i="1"/>
  <c r="F66" i="1" s="1"/>
  <c r="G66" i="1" s="1"/>
  <c r="F31" i="4"/>
  <c r="G31" i="4" s="1"/>
  <c r="H31" i="4" s="1"/>
  <c r="F30" i="4"/>
  <c r="G30" i="4" s="1"/>
  <c r="H30" i="4" s="1"/>
  <c r="F35" i="4"/>
  <c r="G35" i="4" s="1"/>
  <c r="H35" i="4" s="1"/>
  <c r="F34" i="4"/>
  <c r="G34" i="4" s="1"/>
  <c r="H34" i="4" s="1"/>
  <c r="F29" i="4"/>
  <c r="G29" i="4" s="1"/>
  <c r="H29" i="4" s="1"/>
  <c r="F27" i="4"/>
  <c r="G27" i="4" s="1"/>
  <c r="H27" i="4" s="1"/>
  <c r="G28" i="4"/>
  <c r="H28" i="4" s="1"/>
  <c r="G25" i="4"/>
  <c r="H25" i="4" s="1"/>
  <c r="G26" i="4"/>
  <c r="H26" i="4" s="1"/>
  <c r="G24" i="4"/>
  <c r="H24" i="4" s="1"/>
  <c r="E36" i="1"/>
  <c r="F36" i="1" s="1"/>
  <c r="E34" i="1"/>
  <c r="F34" i="1" s="1"/>
  <c r="E31" i="1"/>
  <c r="F31" i="1" s="1"/>
  <c r="E30" i="1"/>
  <c r="F30" i="1" s="1"/>
  <c r="E29" i="1"/>
  <c r="F29" i="1" s="1"/>
  <c r="E27" i="1"/>
  <c r="F27" i="1" s="1"/>
  <c r="E24" i="1"/>
  <c r="F24" i="1" s="1"/>
  <c r="F63" i="4"/>
  <c r="G63" i="4" s="1"/>
  <c r="H63" i="4" s="1"/>
  <c r="F62" i="4"/>
  <c r="G62" i="4" s="1"/>
  <c r="H62" i="4" s="1"/>
  <c r="F61" i="4"/>
  <c r="G61" i="4" s="1"/>
  <c r="H61" i="4" s="1"/>
  <c r="F60" i="4"/>
  <c r="G60" i="4" s="1"/>
  <c r="H60" i="4" s="1"/>
  <c r="F59" i="4"/>
  <c r="G59" i="4" s="1"/>
  <c r="H59" i="4" s="1"/>
  <c r="F57" i="4"/>
  <c r="G57" i="4" s="1"/>
  <c r="H57" i="4" s="1"/>
  <c r="F56" i="4"/>
  <c r="G56" i="4" s="1"/>
  <c r="H56" i="4" s="1"/>
  <c r="F54" i="4"/>
  <c r="G54" i="4" s="1"/>
  <c r="H54" i="4" s="1"/>
  <c r="F53" i="4"/>
  <c r="G53" i="4" s="1"/>
  <c r="H53" i="4" s="1"/>
  <c r="F52" i="4"/>
  <c r="G52" i="4" s="1"/>
  <c r="H52" i="4" s="1"/>
  <c r="E55" i="4"/>
  <c r="F55" i="4" s="1"/>
  <c r="G55" i="4" s="1"/>
  <c r="H55" i="4" s="1"/>
  <c r="E63" i="1"/>
  <c r="F63" i="1" s="1"/>
  <c r="G63" i="1" s="1"/>
  <c r="E62" i="1"/>
  <c r="F62" i="1" s="1"/>
  <c r="G62" i="1" s="1"/>
  <c r="E61" i="1"/>
  <c r="F61" i="1" s="1"/>
  <c r="G61" i="1" s="1"/>
  <c r="E57" i="1"/>
  <c r="F57" i="1" s="1"/>
  <c r="G57" i="1" s="1"/>
  <c r="H6" i="4"/>
  <c r="B16" i="4"/>
  <c r="B16" i="1"/>
  <c r="D16" i="1" s="1"/>
  <c r="B17" i="1"/>
  <c r="E58" i="1"/>
  <c r="F58" i="1" s="1"/>
  <c r="G58" i="1" s="1"/>
  <c r="D17" i="1" l="1"/>
  <c r="B18" i="1"/>
  <c r="D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4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7dGZAmNMxwhicS8fVhM3g3ttj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12319A3B-B608-45BF-AAE1-78BC8A65AF5A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</commentList>
</comments>
</file>

<file path=xl/sharedStrings.xml><?xml version="1.0" encoding="utf-8"?>
<sst xmlns="http://schemas.openxmlformats.org/spreadsheetml/2006/main" count="276" uniqueCount="104">
  <si>
    <t>Experimental Energy H bond</t>
  </si>
  <si>
    <t>H2 = 1s + 1s</t>
  </si>
  <si>
    <t>Core Orbital</t>
  </si>
  <si>
    <t>Valence Orbital</t>
  </si>
  <si>
    <t>Core Orbitals</t>
  </si>
  <si>
    <t>Basis set</t>
  </si>
  <si>
    <t>Core</t>
  </si>
  <si>
    <t>Plus</t>
  </si>
  <si>
    <t>(d,p)</t>
  </si>
  <si>
    <t>H Basis Function</t>
  </si>
  <si>
    <t>H Primitive Gaussians</t>
  </si>
  <si>
    <t>3-21G</t>
  </si>
  <si>
    <t>3</t>
  </si>
  <si>
    <t>2</t>
  </si>
  <si>
    <t>1</t>
  </si>
  <si>
    <t>0</t>
  </si>
  <si>
    <t>6-31+G(d,p)</t>
  </si>
  <si>
    <t>cc-pVDZ</t>
  </si>
  <si>
    <t>aug-cc-pVDZ</t>
  </si>
  <si>
    <t>aug-cc-pVTZ</t>
  </si>
  <si>
    <t>Theory level</t>
  </si>
  <si>
    <t>Energy product (H2)</t>
  </si>
  <si>
    <t>Energy reactant (2H)</t>
  </si>
  <si>
    <t>deltaE (hartree/mol)</t>
  </si>
  <si>
    <t>deltaE (kcal/mol)</t>
  </si>
  <si>
    <t>HF</t>
  </si>
  <si>
    <t>6-31+g(d,p)</t>
  </si>
  <si>
    <t>B3LYP</t>
  </si>
  <si>
    <t>3-21</t>
  </si>
  <si>
    <t>Mp2</t>
  </si>
  <si>
    <t>Most accurate Basis set</t>
  </si>
  <si>
    <t>MOLPRO CALCULATIONS</t>
  </si>
  <si>
    <t>s</t>
  </si>
  <si>
    <t>p</t>
  </si>
  <si>
    <t>d</t>
  </si>
  <si>
    <t>4s3p2d</t>
  </si>
  <si>
    <t>C Basis Function</t>
  </si>
  <si>
    <t>Energy product (CH4)</t>
  </si>
  <si>
    <t>Energy reactant 1 (CH3)</t>
  </si>
  <si>
    <t>Energy reactant 2 (H)</t>
  </si>
  <si>
    <t>H = 1s</t>
  </si>
  <si>
    <t>C = 1s 2s 2p</t>
  </si>
  <si>
    <t>(Li-Ne)</t>
  </si>
  <si>
    <t>H2 Primitive Gaussians</t>
  </si>
  <si>
    <t>H2 Basis Function</t>
  </si>
  <si>
    <t>Experimental Energy bond</t>
  </si>
  <si>
    <t>Energy reactant1 (CH3)</t>
  </si>
  <si>
    <t>Energy reactant2 (H)</t>
  </si>
  <si>
    <t>H4 = 1s + 1s +1s+ 1s</t>
  </si>
  <si>
    <t>H4 Primitive Gaussians</t>
  </si>
  <si>
    <t>C Primitive Gaussians</t>
  </si>
  <si>
    <t>H4 Basis Function</t>
  </si>
  <si>
    <t>H3 Basis Function</t>
  </si>
  <si>
    <t>H3 = 1s +1s+ 1s</t>
  </si>
  <si>
    <t>H3 Primitive Gaussians</t>
  </si>
  <si>
    <t>Orbital</t>
  </si>
  <si>
    <t>Function</t>
  </si>
  <si>
    <t xml:space="preserve">3s2p1d </t>
  </si>
  <si>
    <t xml:space="preserve">5s4p3d2f </t>
  </si>
  <si>
    <t>aug-cc-pVTZ: too heavy for CH4/CH3</t>
  </si>
  <si>
    <t>UMP2</t>
  </si>
  <si>
    <t>3s</t>
  </si>
  <si>
    <t>4s (+3)</t>
  </si>
  <si>
    <t>6s3p</t>
  </si>
  <si>
    <t>9s4p</t>
  </si>
  <si>
    <t>C Primitive</t>
  </si>
  <si>
    <t>C Basis function</t>
  </si>
  <si>
    <t>H basis function</t>
  </si>
  <si>
    <t>H primitives</t>
  </si>
  <si>
    <t>2s</t>
  </si>
  <si>
    <t>2s1p</t>
  </si>
  <si>
    <t>3s2p</t>
  </si>
  <si>
    <t>10s4p</t>
  </si>
  <si>
    <t>f</t>
  </si>
  <si>
    <t>5s 2p</t>
  </si>
  <si>
    <t>12s8p1d</t>
  </si>
  <si>
    <t>13s5p</t>
  </si>
  <si>
    <t>Valence 1 (external)</t>
  </si>
  <si>
    <t>Valence 2 (internal)</t>
  </si>
  <si>
    <t>1d aumenta la barriera per le vibrazioni, altimenti continuerebbe ad oscillare</t>
  </si>
  <si>
    <t>H minimum basis set</t>
  </si>
  <si>
    <t>1s</t>
  </si>
  <si>
    <t>C minimum basis set</t>
  </si>
  <si>
    <t>1s2s1p</t>
  </si>
  <si>
    <t>Note</t>
  </si>
  <si>
    <t>65% total valence correlation (Jensen)</t>
  </si>
  <si>
    <t>85% total valence correlation (Jensen)</t>
  </si>
  <si>
    <t>Split-Valence</t>
  </si>
  <si>
    <t>Polarization</t>
  </si>
  <si>
    <t>Diffuse</t>
  </si>
  <si>
    <t>Considerazioni</t>
  </si>
  <si>
    <t>La rottura del bond in H2 cambia la correlazione elettronica. Dato che l'idrogeno non ha atomi nel core, un basis set basato sulle valenze è il più accurato.</t>
  </si>
  <si>
    <t xml:space="preserve">Difference </t>
  </si>
  <si>
    <t>Difference</t>
  </si>
  <si>
    <t>Aggiungendo le diffuse è meno accurato</t>
  </si>
  <si>
    <t>Sia diffuse che triple valence -&gt; descrive meglio la rottura del bond</t>
  </si>
  <si>
    <t>2/3 zeta per e- esterni, singola per interni</t>
  </si>
  <si>
    <t>2/3 zeta basis set</t>
  </si>
  <si>
    <t>2/volte le funzioni del basis set minimo.</t>
  </si>
  <si>
    <t>Generalmente in MP2 si sovrastima l'energia di correlazione</t>
  </si>
  <si>
    <t>L'unico che sovrastima</t>
  </si>
  <si>
    <t>Considerazioni finali</t>
  </si>
  <si>
    <t>Al contrario di prima, ci sono elettroni nel core in questo sistema (data la presenza del C).  In questo sistema, è più importante usare un set di basi che usi più elettroni per gli orbitali di core.</t>
  </si>
  <si>
    <t>+ aggiunge diffusione su atomi pesanti, (d,p) aggiunge polarizzazione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</si>
</sst>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00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9C0006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4" fillId="2" borderId="2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5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65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6" fillId="0" borderId="19" xfId="0" applyNumberFormat="1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49" fontId="6" fillId="0" borderId="35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0" fontId="3" fillId="7" borderId="10" xfId="0" applyFont="1" applyFill="1" applyBorder="1" applyAlignment="1">
      <alignment horizontal="center" wrapText="1"/>
    </xf>
    <xf numFmtId="0" fontId="6" fillId="0" borderId="55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0" fontId="3" fillId="8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0" fillId="5" borderId="0" xfId="2" applyFont="1"/>
    <xf numFmtId="0" fontId="6" fillId="11" borderId="10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3" fillId="6" borderId="6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6" fillId="0" borderId="50" xfId="0" applyFont="1" applyBorder="1" applyAlignment="1">
      <alignment horizontal="center"/>
    </xf>
    <xf numFmtId="49" fontId="6" fillId="0" borderId="47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6" fillId="0" borderId="66" xfId="0" applyFont="1" applyBorder="1" applyAlignment="1">
      <alignment horizontal="center" wrapText="1"/>
    </xf>
    <xf numFmtId="0" fontId="6" fillId="0" borderId="67" xfId="0" applyFont="1" applyBorder="1" applyAlignment="1">
      <alignment horizontal="center" wrapText="1"/>
    </xf>
    <xf numFmtId="0" fontId="6" fillId="0" borderId="68" xfId="0" applyFont="1" applyBorder="1" applyAlignment="1">
      <alignment horizontal="center" wrapText="1"/>
    </xf>
    <xf numFmtId="0" fontId="6" fillId="0" borderId="31" xfId="0" applyFont="1" applyBorder="1"/>
    <xf numFmtId="0" fontId="3" fillId="0" borderId="10" xfId="0" applyFont="1" applyBorder="1"/>
    <xf numFmtId="0" fontId="6" fillId="12" borderId="15" xfId="0" applyFont="1" applyFill="1" applyBorder="1" applyAlignment="1">
      <alignment horizontal="center"/>
    </xf>
    <xf numFmtId="0" fontId="6" fillId="12" borderId="27" xfId="0" applyFont="1" applyFill="1" applyBorder="1" applyAlignment="1">
      <alignment horizontal="center"/>
    </xf>
    <xf numFmtId="0" fontId="6" fillId="12" borderId="2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3" borderId="26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3" fillId="13" borderId="69" xfId="0" applyFont="1" applyFill="1" applyBorder="1" applyAlignment="1">
      <alignment horizontal="center"/>
    </xf>
    <xf numFmtId="0" fontId="3" fillId="13" borderId="56" xfId="0" applyFont="1" applyFill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14" borderId="72" xfId="0" applyFont="1" applyFill="1" applyBorder="1" applyAlignment="1">
      <alignment horizontal="center"/>
    </xf>
    <xf numFmtId="49" fontId="3" fillId="14" borderId="59" xfId="0" applyNumberFormat="1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6" fillId="0" borderId="27" xfId="0" applyFont="1" applyBorder="1" applyAlignment="1">
      <alignment vertical="top" wrapText="1"/>
    </xf>
    <xf numFmtId="0" fontId="3" fillId="0" borderId="60" xfId="0" applyFont="1" applyBorder="1"/>
    <xf numFmtId="0" fontId="6" fillId="0" borderId="22" xfId="0" applyFont="1" applyBorder="1"/>
    <xf numFmtId="0" fontId="6" fillId="0" borderId="19" xfId="0" applyFont="1" applyBorder="1" applyAlignment="1">
      <alignment vertical="center"/>
    </xf>
    <xf numFmtId="0" fontId="6" fillId="0" borderId="19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9" fillId="10" borderId="24" xfId="1" applyFont="1" applyFill="1" applyBorder="1" applyAlignment="1">
      <alignment horizontal="center" vertical="center"/>
    </xf>
    <xf numFmtId="0" fontId="9" fillId="10" borderId="54" xfId="1" applyFont="1" applyFill="1" applyBorder="1" applyAlignment="1">
      <alignment horizontal="center" vertical="center"/>
    </xf>
    <xf numFmtId="0" fontId="9" fillId="10" borderId="60" xfId="1" applyFont="1" applyFill="1" applyBorder="1" applyAlignment="1">
      <alignment horizontal="center" vertical="center"/>
    </xf>
    <xf numFmtId="0" fontId="9" fillId="10" borderId="38" xfId="1" applyFont="1" applyFill="1" applyBorder="1" applyAlignment="1">
      <alignment horizontal="center" vertical="center"/>
    </xf>
    <xf numFmtId="0" fontId="9" fillId="10" borderId="32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6" fillId="0" borderId="0" xfId="0" quotePrefix="1" applyFont="1"/>
  </cellXfs>
  <cellStyles count="3">
    <cellStyle name="Normale" xfId="0" builtinId="0"/>
    <cellStyle name="Valore non valido" xfId="2" builtinId="27"/>
    <cellStyle name="Valore valido" xfId="1" builtinId="26"/>
  </cellStyles>
  <dxfs count="14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2=2H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H4=CH3+H-style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 headerRowDxfId="7" dataDxfId="6" totalsRowDxfId="5">
  <tableColumns count="1">
    <tableColumn id="6" xr3:uid="{00000000-0010-0000-0000-000006000000}" name="Experimental Energy H bond" dataDxfId="4"/>
  </tableColumns>
  <tableStyleInfo name="H2=2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CC9FAB-468E-41F9-A9F6-CA50C3632E65}" name="Table_14" displayName="Table_14" ref="A1:A3" headerRowDxfId="3" dataDxfId="2" totalsRowDxfId="1">
  <tableColumns count="1">
    <tableColumn id="6" xr3:uid="{320F24D8-73B1-46BF-8C0F-797668A41A25}" name="Experimental Energy bond" dataDxfId="0"/>
  </tableColumns>
  <tableStyleInfo name="H2=2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3"/>
  <sheetViews>
    <sheetView topLeftCell="C1" zoomScale="92" zoomScaleNormal="70" workbookViewId="0">
      <selection activeCell="E15" sqref="E15"/>
    </sheetView>
  </sheetViews>
  <sheetFormatPr defaultColWidth="12.54296875" defaultRowHeight="15" customHeight="1" x14ac:dyDescent="0.3"/>
  <cols>
    <col min="1" max="1" width="37.26953125" style="41" customWidth="1"/>
    <col min="2" max="2" width="23.7265625" style="41" bestFit="1" customWidth="1"/>
    <col min="3" max="4" width="27.1796875" style="41" bestFit="1" customWidth="1"/>
    <col min="5" max="5" width="35.36328125" style="41" bestFit="1" customWidth="1"/>
    <col min="6" max="6" width="37.26953125" style="41" bestFit="1" customWidth="1"/>
    <col min="7" max="7" width="17" style="41" bestFit="1" customWidth="1"/>
    <col min="8" max="8" width="36.453125" style="41" bestFit="1" customWidth="1"/>
    <col min="9" max="9" width="16.1796875" style="41" bestFit="1" customWidth="1"/>
    <col min="10" max="10" width="14.453125" style="41" customWidth="1"/>
    <col min="11" max="11" width="62.26953125" style="41" bestFit="1" customWidth="1"/>
    <col min="12" max="12" width="26.453125" style="41" customWidth="1"/>
    <col min="13" max="23" width="7.54296875" style="41" customWidth="1"/>
    <col min="24" max="16384" width="12.54296875" style="41"/>
  </cols>
  <sheetData>
    <row r="1" spans="1:11" ht="14.5" thickBot="1" x14ac:dyDescent="0.35">
      <c r="A1" s="41" t="s">
        <v>0</v>
      </c>
      <c r="C1" s="102" t="s">
        <v>80</v>
      </c>
      <c r="D1" s="122" t="s">
        <v>82</v>
      </c>
      <c r="E1" s="124" t="s">
        <v>97</v>
      </c>
      <c r="F1" s="10" t="s">
        <v>87</v>
      </c>
    </row>
    <row r="2" spans="1:11" ht="14.5" thickBot="1" x14ac:dyDescent="0.35">
      <c r="A2" s="8">
        <v>103.2</v>
      </c>
      <c r="B2" s="8"/>
      <c r="C2" s="101" t="s">
        <v>81</v>
      </c>
      <c r="D2" s="123" t="s">
        <v>83</v>
      </c>
      <c r="E2" s="125" t="s">
        <v>98</v>
      </c>
      <c r="F2" s="125" t="s">
        <v>96</v>
      </c>
    </row>
    <row r="3" spans="1:11" ht="14" x14ac:dyDescent="0.3">
      <c r="A3" s="8"/>
      <c r="B3" s="8"/>
    </row>
    <row r="4" spans="1:11" ht="14" x14ac:dyDescent="0.3">
      <c r="A4" s="8"/>
      <c r="B4" s="8"/>
      <c r="D4" s="8"/>
      <c r="E4" s="8"/>
      <c r="F4" s="8"/>
      <c r="G4" s="8"/>
    </row>
    <row r="5" spans="1:11" ht="14" x14ac:dyDescent="0.3">
      <c r="A5" s="42" t="s">
        <v>5</v>
      </c>
      <c r="B5" s="43" t="s">
        <v>6</v>
      </c>
      <c r="C5" s="43" t="s">
        <v>77</v>
      </c>
      <c r="D5" s="43" t="s">
        <v>78</v>
      </c>
      <c r="E5" s="43" t="s">
        <v>7</v>
      </c>
      <c r="F5" s="43" t="s">
        <v>8</v>
      </c>
      <c r="G5" s="5" t="s">
        <v>9</v>
      </c>
      <c r="H5" s="3" t="s">
        <v>44</v>
      </c>
      <c r="I5" s="3" t="s">
        <v>67</v>
      </c>
      <c r="J5" s="3" t="s">
        <v>68</v>
      </c>
      <c r="K5" s="3" t="s">
        <v>84</v>
      </c>
    </row>
    <row r="6" spans="1:11" ht="14" x14ac:dyDescent="0.3">
      <c r="A6" s="10" t="s">
        <v>11</v>
      </c>
      <c r="B6" s="44" t="s">
        <v>12</v>
      </c>
      <c r="C6" s="45" t="s">
        <v>13</v>
      </c>
      <c r="D6" s="45" t="s">
        <v>14</v>
      </c>
      <c r="E6" s="46" t="s">
        <v>15</v>
      </c>
      <c r="F6" s="10">
        <v>0</v>
      </c>
      <c r="G6" s="10">
        <f>B6*B14+2*C14</f>
        <v>2</v>
      </c>
      <c r="H6" s="10">
        <f>E14*G6</f>
        <v>4</v>
      </c>
      <c r="I6" s="47" t="s">
        <v>69</v>
      </c>
      <c r="J6" s="10" t="s">
        <v>61</v>
      </c>
    </row>
    <row r="7" spans="1:11" ht="14" x14ac:dyDescent="0.3">
      <c r="A7" s="10" t="s">
        <v>16</v>
      </c>
      <c r="B7" s="48">
        <v>6</v>
      </c>
      <c r="C7" s="49">
        <v>3</v>
      </c>
      <c r="D7" s="49">
        <v>1</v>
      </c>
      <c r="E7" s="49">
        <v>1</v>
      </c>
      <c r="F7" s="50">
        <v>1</v>
      </c>
      <c r="G7" s="51">
        <f>B7*B14+2*C14+3</f>
        <v>5</v>
      </c>
      <c r="H7" s="51">
        <f>E14*G7</f>
        <v>10</v>
      </c>
      <c r="I7" s="10" t="s">
        <v>70</v>
      </c>
      <c r="J7" s="10" t="s">
        <v>62</v>
      </c>
      <c r="K7" s="140" t="s">
        <v>103</v>
      </c>
    </row>
    <row r="8" spans="1:11" ht="14" x14ac:dyDescent="0.3">
      <c r="A8" s="10" t="s">
        <v>17</v>
      </c>
      <c r="B8" s="8"/>
      <c r="C8" s="8"/>
      <c r="D8" s="8"/>
      <c r="E8" s="8"/>
      <c r="F8" s="8"/>
      <c r="G8" s="10">
        <f>2*H16+1*H17</f>
        <v>5</v>
      </c>
      <c r="H8" s="10">
        <f>$E$14*G8</f>
        <v>10</v>
      </c>
      <c r="I8" s="10" t="s">
        <v>70</v>
      </c>
      <c r="J8" s="10" t="s">
        <v>62</v>
      </c>
    </row>
    <row r="9" spans="1:11" ht="14" x14ac:dyDescent="0.3">
      <c r="A9" s="10" t="s">
        <v>18</v>
      </c>
      <c r="B9" s="8"/>
      <c r="C9" s="8"/>
      <c r="D9" s="8"/>
      <c r="E9" s="8"/>
      <c r="F9" s="8"/>
      <c r="G9" s="10">
        <f>3*H16+2*H17</f>
        <v>9</v>
      </c>
      <c r="H9" s="10">
        <f t="shared" ref="H9" si="0">$E$14*G9</f>
        <v>18</v>
      </c>
      <c r="I9" s="10" t="s">
        <v>71</v>
      </c>
      <c r="J9" s="10" t="s">
        <v>74</v>
      </c>
    </row>
    <row r="10" spans="1:11" ht="14" x14ac:dyDescent="0.3">
      <c r="A10" s="10" t="s">
        <v>19</v>
      </c>
      <c r="B10" s="8"/>
      <c r="C10" s="8"/>
      <c r="D10" s="8"/>
      <c r="E10" s="8"/>
      <c r="F10" s="8"/>
      <c r="G10" s="10">
        <f>4*H16+3*H17+2*H18</f>
        <v>23</v>
      </c>
      <c r="H10" s="10">
        <f>$E$14*G10</f>
        <v>46</v>
      </c>
      <c r="I10" s="10" t="s">
        <v>35</v>
      </c>
      <c r="J10" s="10" t="s">
        <v>35</v>
      </c>
    </row>
    <row r="11" spans="1:11" ht="15" customHeight="1" thickBot="1" x14ac:dyDescent="0.35"/>
    <row r="12" spans="1:11" ht="15" customHeight="1" thickBot="1" x14ac:dyDescent="0.35">
      <c r="B12" s="4" t="s">
        <v>40</v>
      </c>
      <c r="C12" s="14"/>
      <c r="D12" s="4" t="s">
        <v>1</v>
      </c>
      <c r="E12" s="28"/>
    </row>
    <row r="13" spans="1:11" ht="14.5" thickBot="1" x14ac:dyDescent="0.35">
      <c r="B13" s="52" t="s">
        <v>2</v>
      </c>
      <c r="C13" s="52" t="s">
        <v>3</v>
      </c>
      <c r="D13" s="52" t="s">
        <v>4</v>
      </c>
      <c r="E13" s="52" t="s">
        <v>3</v>
      </c>
    </row>
    <row r="14" spans="1:11" ht="15.75" customHeight="1" thickBot="1" x14ac:dyDescent="0.35">
      <c r="B14" s="53">
        <f>0</f>
        <v>0</v>
      </c>
      <c r="C14" s="7">
        <f>1</f>
        <v>1</v>
      </c>
      <c r="D14" s="53">
        <v>0</v>
      </c>
      <c r="E14" s="7">
        <v>2</v>
      </c>
    </row>
    <row r="15" spans="1:11" ht="15.75" customHeight="1" thickBot="1" x14ac:dyDescent="0.35">
      <c r="B15" s="6" t="s">
        <v>10</v>
      </c>
      <c r="D15" s="2" t="s">
        <v>43</v>
      </c>
      <c r="G15" s="54" t="s">
        <v>55</v>
      </c>
      <c r="H15" s="97" t="s">
        <v>56</v>
      </c>
    </row>
    <row r="16" spans="1:11" ht="15.75" customHeight="1" thickBot="1" x14ac:dyDescent="0.35">
      <c r="A16" s="11" t="s">
        <v>11</v>
      </c>
      <c r="B16" s="55">
        <f>B14*B6+C14*(D6+C6)</f>
        <v>3</v>
      </c>
      <c r="D16" s="56">
        <f>2*B16</f>
        <v>6</v>
      </c>
      <c r="E16" s="8"/>
      <c r="G16" s="57" t="s">
        <v>32</v>
      </c>
      <c r="H16" s="98">
        <v>1</v>
      </c>
    </row>
    <row r="17" spans="1:8" ht="15.75" customHeight="1" thickBot="1" x14ac:dyDescent="0.35">
      <c r="A17" s="11" t="s">
        <v>16</v>
      </c>
      <c r="B17" s="58">
        <f>B14*B7+C14*(C7+D7)+3*F7</f>
        <v>7</v>
      </c>
      <c r="D17" s="59">
        <f>2*B17</f>
        <v>14</v>
      </c>
      <c r="E17" s="8"/>
      <c r="G17" s="60" t="s">
        <v>33</v>
      </c>
      <c r="H17" s="99">
        <v>3</v>
      </c>
    </row>
    <row r="18" spans="1:8" ht="15.75" customHeight="1" thickBot="1" x14ac:dyDescent="0.35">
      <c r="A18" s="11" t="s">
        <v>17</v>
      </c>
      <c r="B18" s="58">
        <f>B17</f>
        <v>7</v>
      </c>
      <c r="D18" s="58">
        <f>2*B18</f>
        <v>14</v>
      </c>
      <c r="E18" s="8"/>
      <c r="G18" s="61" t="s">
        <v>34</v>
      </c>
      <c r="H18" s="100">
        <v>5</v>
      </c>
    </row>
    <row r="19" spans="1:8" ht="15.75" customHeight="1" x14ac:dyDescent="0.3">
      <c r="E19" s="8"/>
    </row>
    <row r="20" spans="1:8" ht="15.75" customHeight="1" x14ac:dyDescent="0.3">
      <c r="E20" s="8"/>
    </row>
    <row r="21" spans="1:8" ht="15.75" customHeight="1" x14ac:dyDescent="0.3"/>
    <row r="22" spans="1:8" ht="15.75" customHeight="1" x14ac:dyDescent="0.3"/>
    <row r="23" spans="1:8" ht="15.75" customHeight="1" thickBot="1" x14ac:dyDescent="0.35">
      <c r="A23" s="66" t="s">
        <v>20</v>
      </c>
      <c r="B23" s="42" t="s">
        <v>5</v>
      </c>
      <c r="C23" s="42" t="s">
        <v>21</v>
      </c>
      <c r="D23" s="42" t="s">
        <v>22</v>
      </c>
      <c r="E23" s="42" t="s">
        <v>23</v>
      </c>
      <c r="F23" s="42" t="s">
        <v>24</v>
      </c>
      <c r="G23" s="42" t="s">
        <v>92</v>
      </c>
      <c r="H23" s="42" t="s">
        <v>90</v>
      </c>
    </row>
    <row r="24" spans="1:8" ht="15.75" customHeight="1" x14ac:dyDescent="0.3">
      <c r="A24" s="12" t="s">
        <v>25</v>
      </c>
      <c r="B24" s="13" t="s">
        <v>11</v>
      </c>
      <c r="C24" s="14">
        <f>-1.12279503566+0.01061</f>
        <v>-1.11218503566</v>
      </c>
      <c r="D24" s="14">
        <f>2*-0.496199</f>
        <v>-0.992398</v>
      </c>
      <c r="E24" s="14">
        <f t="shared" ref="E24:E27" si="1">D24-C24</f>
        <v>0.11978703566000004</v>
      </c>
      <c r="F24" s="14">
        <f t="shared" ref="F24:F28" si="2">E24*627.503</f>
        <v>75.166724237757009</v>
      </c>
      <c r="G24" s="15">
        <f t="shared" ref="G24:G38" si="3">ABS(F24-$A$2)</f>
        <v>28.033275762242994</v>
      </c>
      <c r="H24" s="126"/>
    </row>
    <row r="25" spans="1:8" ht="15.75" customHeight="1" x14ac:dyDescent="0.3">
      <c r="A25" s="16" t="s">
        <v>25</v>
      </c>
      <c r="B25" s="17" t="s">
        <v>26</v>
      </c>
      <c r="C25" s="8">
        <f>0.01056-1.13111935051</f>
        <v>-1.12055935051</v>
      </c>
      <c r="D25" s="8">
        <f>2*-0.498233</f>
        <v>-0.99646599999999996</v>
      </c>
      <c r="E25" s="8">
        <f t="shared" si="1"/>
        <v>0.12409335051000003</v>
      </c>
      <c r="F25" s="8">
        <f t="shared" si="2"/>
        <v>77.868949725076561</v>
      </c>
      <c r="G25" s="105">
        <f t="shared" si="3"/>
        <v>25.331050274923442</v>
      </c>
      <c r="H25" s="127"/>
    </row>
    <row r="26" spans="1:8" ht="15.75" customHeight="1" x14ac:dyDescent="0.3">
      <c r="A26" s="16" t="s">
        <v>25</v>
      </c>
      <c r="B26" s="17" t="s">
        <v>17</v>
      </c>
      <c r="C26" s="8">
        <f>0.010446-1.12874313474</f>
        <v>-1.1182971347400001</v>
      </c>
      <c r="D26" s="8">
        <f>2*-0.499278</f>
        <v>-0.998556</v>
      </c>
      <c r="E26" s="8">
        <f t="shared" si="1"/>
        <v>0.11974113474000014</v>
      </c>
      <c r="F26" s="8">
        <f t="shared" si="2"/>
        <v>75.137921272754312</v>
      </c>
      <c r="G26" s="18">
        <f t="shared" si="3"/>
        <v>28.062078727245691</v>
      </c>
      <c r="H26" s="127"/>
    </row>
    <row r="27" spans="1:8" ht="15.75" customHeight="1" x14ac:dyDescent="0.3">
      <c r="A27" s="19" t="s">
        <v>25</v>
      </c>
      <c r="B27" s="20" t="s">
        <v>18</v>
      </c>
      <c r="C27" s="8">
        <f>-1.12882342992+0.010388</f>
        <v>-1.1184354299199999</v>
      </c>
      <c r="D27" s="8">
        <f>2*-0.499334</f>
        <v>-0.998668</v>
      </c>
      <c r="E27" s="8">
        <f t="shared" si="1"/>
        <v>0.11976742991999989</v>
      </c>
      <c r="F27" s="8">
        <f t="shared" si="2"/>
        <v>75.154421577089693</v>
      </c>
      <c r="G27" s="18">
        <f t="shared" si="3"/>
        <v>28.04557842291031</v>
      </c>
      <c r="H27" s="127"/>
    </row>
    <row r="28" spans="1:8" ht="15.75" customHeight="1" thickBot="1" x14ac:dyDescent="0.35">
      <c r="A28" s="21" t="s">
        <v>25</v>
      </c>
      <c r="B28" s="22" t="s">
        <v>19</v>
      </c>
      <c r="C28" s="23">
        <v>-1.1226050000000001</v>
      </c>
      <c r="D28" s="23">
        <f>2*-0.499821</f>
        <v>-0.99964200000000003</v>
      </c>
      <c r="E28" s="23">
        <f t="shared" ref="E28:E38" si="4">-C28+D28</f>
        <v>0.12296300000000004</v>
      </c>
      <c r="F28" s="23">
        <f t="shared" si="2"/>
        <v>77.159651389000032</v>
      </c>
      <c r="G28" s="24">
        <f t="shared" si="3"/>
        <v>26.04034861099997</v>
      </c>
      <c r="H28" s="127"/>
    </row>
    <row r="29" spans="1:8" ht="15.75" customHeight="1" x14ac:dyDescent="0.3">
      <c r="A29" s="25" t="s">
        <v>27</v>
      </c>
      <c r="B29" s="26" t="s">
        <v>28</v>
      </c>
      <c r="C29" s="27">
        <f>0.010185-1.17060138011</f>
        <v>-1.16041638011</v>
      </c>
      <c r="D29" s="14">
        <f>2*-0.497311</f>
        <v>-0.99462200000000001</v>
      </c>
      <c r="E29" s="14">
        <f t="shared" si="4"/>
        <v>0.16579438011000003</v>
      </c>
      <c r="F29" s="28">
        <f t="shared" ref="F29:F31" si="5">E29*628.5095</f>
        <v>104.20334294574606</v>
      </c>
      <c r="G29" s="29">
        <f t="shared" si="3"/>
        <v>1.0033429457460556</v>
      </c>
      <c r="H29" s="127"/>
    </row>
    <row r="30" spans="1:8" ht="15.75" customHeight="1" x14ac:dyDescent="0.3">
      <c r="A30" s="30" t="s">
        <v>27</v>
      </c>
      <c r="B30" s="31" t="s">
        <v>26</v>
      </c>
      <c r="C30" s="32">
        <f>-1.17850460568+0.010169</f>
        <v>-1.1683356056799998</v>
      </c>
      <c r="D30" s="8">
        <f>2*-0.500273</f>
        <v>-1.0005459999999999</v>
      </c>
      <c r="E30" s="8">
        <f t="shared" si="4"/>
        <v>0.1677896056799999</v>
      </c>
      <c r="F30" s="33">
        <f t="shared" si="5"/>
        <v>105.4573611711339</v>
      </c>
      <c r="G30" s="34">
        <f t="shared" si="3"/>
        <v>2.2573611711338941</v>
      </c>
      <c r="H30" s="127" t="s">
        <v>100</v>
      </c>
    </row>
    <row r="31" spans="1:8" ht="15.75" customHeight="1" x14ac:dyDescent="0.3">
      <c r="A31" s="30" t="s">
        <v>27</v>
      </c>
      <c r="B31" s="31" t="s">
        <v>17</v>
      </c>
      <c r="C31" s="32">
        <f>0.009953-1.17351057743</f>
        <v>-1.16355757743</v>
      </c>
      <c r="D31" s="8">
        <f>2*-0.501258</f>
        <v>-1.002516</v>
      </c>
      <c r="E31" s="8">
        <f t="shared" si="4"/>
        <v>0.16104157743000003</v>
      </c>
      <c r="F31" s="33">
        <f t="shared" si="5"/>
        <v>101.2161613097406</v>
      </c>
      <c r="G31" s="34">
        <f t="shared" si="3"/>
        <v>1.9838386902594038</v>
      </c>
      <c r="H31" s="127"/>
    </row>
    <row r="32" spans="1:8" ht="15.75" customHeight="1" thickBot="1" x14ac:dyDescent="0.35">
      <c r="A32" s="35" t="s">
        <v>27</v>
      </c>
      <c r="B32" s="36" t="s">
        <v>18</v>
      </c>
      <c r="C32" s="32">
        <f>-1.17394766295+0.009928</f>
        <v>-1.1640196629500001</v>
      </c>
      <c r="D32" s="8">
        <f>-0.501657*2</f>
        <v>-1.003314</v>
      </c>
      <c r="E32" s="8">
        <f t="shared" si="4"/>
        <v>0.16070566295000011</v>
      </c>
      <c r="F32" s="33">
        <f>E32*627.503</f>
        <v>100.84328561811392</v>
      </c>
      <c r="G32" s="34">
        <f t="shared" si="3"/>
        <v>2.3567143818860785</v>
      </c>
      <c r="H32" s="127" t="s">
        <v>94</v>
      </c>
    </row>
    <row r="33" spans="1:8" ht="31.5" customHeight="1" thickBot="1" x14ac:dyDescent="0.35">
      <c r="A33" s="129" t="s">
        <v>27</v>
      </c>
      <c r="B33" s="130" t="s">
        <v>19</v>
      </c>
      <c r="C33" s="131">
        <v>-1.1699679999999999</v>
      </c>
      <c r="D33" s="132">
        <f>2*-0.50226</f>
        <v>-1.0045200000000001</v>
      </c>
      <c r="E33" s="132">
        <f t="shared" si="4"/>
        <v>0.16544799999999982</v>
      </c>
      <c r="F33" s="133">
        <f t="shared" ref="F33:F36" si="6">E33*628.5095</f>
        <v>103.98563975599988</v>
      </c>
      <c r="G33" s="133">
        <f t="shared" si="3"/>
        <v>0.78563975599988112</v>
      </c>
      <c r="H33" s="134" t="s">
        <v>95</v>
      </c>
    </row>
    <row r="34" spans="1:8" ht="28" customHeight="1" x14ac:dyDescent="0.3">
      <c r="A34" s="135" t="s">
        <v>29</v>
      </c>
      <c r="B34" s="136" t="s">
        <v>28</v>
      </c>
      <c r="C34" s="137">
        <f>-1.1402545234355+0.010376</f>
        <v>-1.1298785234355</v>
      </c>
      <c r="D34" s="137">
        <f>2*-0.496198636018</f>
        <v>-0.99239727203600003</v>
      </c>
      <c r="E34" s="137">
        <f t="shared" si="4"/>
        <v>0.13748125139949996</v>
      </c>
      <c r="F34" s="137">
        <f t="shared" si="6"/>
        <v>86.408272576474019</v>
      </c>
      <c r="G34" s="138">
        <f t="shared" si="3"/>
        <v>16.791727423525984</v>
      </c>
      <c r="H34" s="139" t="s">
        <v>99</v>
      </c>
    </row>
    <row r="35" spans="1:8" ht="15.75" customHeight="1" x14ac:dyDescent="0.3">
      <c r="A35" s="16" t="s">
        <v>29</v>
      </c>
      <c r="B35" s="17" t="s">
        <v>26</v>
      </c>
      <c r="C35" s="8">
        <f>0.01051-1.1576610782806</f>
        <v>-1.1471510782806</v>
      </c>
      <c r="D35" s="8">
        <f>-0.498232909202*2</f>
        <v>-0.99646581840399995</v>
      </c>
      <c r="E35" s="8">
        <f t="shared" si="4"/>
        <v>0.15068525987660009</v>
      </c>
      <c r="F35" s="8">
        <f t="shared" si="6"/>
        <v>94.707117342411976</v>
      </c>
      <c r="G35" s="18">
        <f t="shared" si="3"/>
        <v>8.4928826575880265</v>
      </c>
      <c r="H35" s="127"/>
    </row>
    <row r="36" spans="1:8" ht="15.75" customHeight="1" x14ac:dyDescent="0.3">
      <c r="A36" s="16" t="s">
        <v>29</v>
      </c>
      <c r="B36" s="17" t="s">
        <v>17</v>
      </c>
      <c r="C36" s="8">
        <f>-1.1552182656304 + 0.01025</f>
        <v>-1.1449682656303999</v>
      </c>
      <c r="D36" s="8">
        <f>2*-0.49927840342</f>
        <v>-0.99855680684000003</v>
      </c>
      <c r="E36" s="8">
        <f t="shared" si="4"/>
        <v>0.14641145879039985</v>
      </c>
      <c r="F36" s="8">
        <f t="shared" si="6"/>
        <v>92.020992758624814</v>
      </c>
      <c r="G36" s="18">
        <f t="shared" si="3"/>
        <v>11.179007241375189</v>
      </c>
      <c r="H36" s="127"/>
    </row>
    <row r="37" spans="1:8" ht="15.75" customHeight="1" x14ac:dyDescent="0.3">
      <c r="A37" s="16" t="s">
        <v>29</v>
      </c>
      <c r="B37" s="17" t="s">
        <v>18</v>
      </c>
      <c r="C37" s="8">
        <f>0.010166-1.1562164703769</f>
        <v>-1.1460504703769001</v>
      </c>
      <c r="D37" s="8">
        <f>-0.49933431544*2</f>
        <v>-0.99866863088000002</v>
      </c>
      <c r="E37" s="8">
        <f t="shared" si="4"/>
        <v>0.14738183949690009</v>
      </c>
      <c r="F37" s="8">
        <f>E37*627.503</f>
        <v>92.482546429823302</v>
      </c>
      <c r="G37" s="18">
        <f t="shared" si="3"/>
        <v>10.717453570176701</v>
      </c>
      <c r="H37" s="127"/>
    </row>
    <row r="38" spans="1:8" ht="15.75" customHeight="1" thickBot="1" x14ac:dyDescent="0.35">
      <c r="A38" s="38" t="s">
        <v>29</v>
      </c>
      <c r="B38" s="39" t="s">
        <v>19</v>
      </c>
      <c r="C38" s="40">
        <v>-1.154736</v>
      </c>
      <c r="D38" s="40">
        <f>2*-0.499821176024</f>
        <v>-0.999642352048</v>
      </c>
      <c r="E38" s="40">
        <f t="shared" si="4"/>
        <v>0.15509364795199998</v>
      </c>
      <c r="F38" s="40">
        <f>E38*628.5095</f>
        <v>97.477831127487534</v>
      </c>
      <c r="G38" s="104">
        <f t="shared" si="3"/>
        <v>5.7221688725124693</v>
      </c>
      <c r="H38" s="128"/>
    </row>
    <row r="39" spans="1:8" ht="15.75" customHeight="1" x14ac:dyDescent="0.3"/>
    <row r="40" spans="1:8" ht="15.75" customHeight="1" x14ac:dyDescent="0.3"/>
    <row r="41" spans="1:8" ht="15.75" customHeight="1" x14ac:dyDescent="0.3"/>
    <row r="42" spans="1:8" ht="15.75" customHeight="1" thickBot="1" x14ac:dyDescent="0.35"/>
    <row r="43" spans="1:8" ht="15.75" customHeight="1" x14ac:dyDescent="0.3">
      <c r="A43" s="62" t="s">
        <v>20</v>
      </c>
      <c r="B43" s="63" t="s">
        <v>30</v>
      </c>
    </row>
    <row r="44" spans="1:8" ht="15.75" customHeight="1" x14ac:dyDescent="0.3">
      <c r="A44" s="16" t="s">
        <v>25</v>
      </c>
      <c r="B44" s="17" t="s">
        <v>26</v>
      </c>
    </row>
    <row r="45" spans="1:8" ht="15.75" customHeight="1" x14ac:dyDescent="0.3">
      <c r="A45" s="64" t="s">
        <v>27</v>
      </c>
      <c r="B45" s="65" t="s">
        <v>19</v>
      </c>
    </row>
    <row r="46" spans="1:8" ht="15.75" customHeight="1" thickBot="1" x14ac:dyDescent="0.35">
      <c r="A46" s="21" t="s">
        <v>29</v>
      </c>
      <c r="B46" s="22" t="s">
        <v>19</v>
      </c>
    </row>
    <row r="47" spans="1:8" ht="15.75" customHeight="1" thickBot="1" x14ac:dyDescent="0.35"/>
    <row r="48" spans="1:8" ht="15.75" customHeight="1" x14ac:dyDescent="0.3">
      <c r="A48" s="120" t="s">
        <v>101</v>
      </c>
    </row>
    <row r="49" spans="1:7" ht="59" customHeight="1" thickBot="1" x14ac:dyDescent="0.35">
      <c r="A49" s="121" t="s">
        <v>91</v>
      </c>
    </row>
    <row r="50" spans="1:7" ht="15.75" customHeight="1" x14ac:dyDescent="0.3"/>
    <row r="51" spans="1:7" ht="15.75" customHeight="1" x14ac:dyDescent="0.3"/>
    <row r="52" spans="1:7" ht="15.75" customHeight="1" x14ac:dyDescent="0.3"/>
    <row r="53" spans="1:7" ht="15.75" customHeight="1" x14ac:dyDescent="0.3"/>
    <row r="54" spans="1:7" ht="15.75" customHeight="1" x14ac:dyDescent="0.3">
      <c r="A54" s="1" t="s">
        <v>31</v>
      </c>
    </row>
    <row r="55" spans="1:7" ht="15.75" customHeight="1" x14ac:dyDescent="0.3"/>
    <row r="56" spans="1:7" ht="15.75" customHeight="1" thickBot="1" x14ac:dyDescent="0.35">
      <c r="A56" s="66" t="s">
        <v>20</v>
      </c>
      <c r="B56" s="42" t="s">
        <v>5</v>
      </c>
      <c r="C56" s="42" t="s">
        <v>21</v>
      </c>
      <c r="D56" s="42" t="s">
        <v>22</v>
      </c>
      <c r="E56" s="42" t="s">
        <v>23</v>
      </c>
      <c r="F56" s="42" t="s">
        <v>24</v>
      </c>
      <c r="G56" s="42" t="s">
        <v>93</v>
      </c>
    </row>
    <row r="57" spans="1:7" ht="15.75" customHeight="1" x14ac:dyDescent="0.3">
      <c r="A57" s="12" t="s">
        <v>25</v>
      </c>
      <c r="B57" s="67" t="s">
        <v>11</v>
      </c>
      <c r="C57" s="68">
        <f>0.01060995-1.12295984</f>
        <v>-1.11234989</v>
      </c>
      <c r="D57" s="14">
        <f>2*-0.49619864</f>
        <v>-0.99239728000000005</v>
      </c>
      <c r="E57" s="14">
        <f t="shared" ref="E57:E60" si="7">D57-C57</f>
        <v>0.1199526099999999</v>
      </c>
      <c r="F57" s="14">
        <f t="shared" ref="F57:F60" si="8">E57*627.503</f>
        <v>75.270622632829941</v>
      </c>
      <c r="G57" s="15">
        <f t="shared" ref="G57:G60" si="9">ABS(F57-$A$2)</f>
        <v>27.929377367170062</v>
      </c>
    </row>
    <row r="58" spans="1:7" ht="15.75" customHeight="1" x14ac:dyDescent="0.3">
      <c r="A58" s="16" t="s">
        <v>25</v>
      </c>
      <c r="B58" s="11" t="s">
        <v>26</v>
      </c>
      <c r="C58" s="69">
        <f>0.01055985-1.13133359</f>
        <v>-1.1207737400000002</v>
      </c>
      <c r="D58" s="8">
        <f>2*-0.49823291</f>
        <v>-0.99646581999999995</v>
      </c>
      <c r="E58" s="8">
        <f t="shared" si="7"/>
        <v>0.12430792000000024</v>
      </c>
      <c r="F58" s="8">
        <f t="shared" si="8"/>
        <v>78.00359272376015</v>
      </c>
      <c r="G58" s="18">
        <f t="shared" si="9"/>
        <v>25.196407276239853</v>
      </c>
    </row>
    <row r="59" spans="1:7" ht="15.75" customHeight="1" x14ac:dyDescent="0.3">
      <c r="A59" s="16" t="s">
        <v>25</v>
      </c>
      <c r="B59" s="11" t="s">
        <v>17</v>
      </c>
      <c r="C59" s="69">
        <f>0.01044316-1.12874612</f>
        <v>-1.1183029600000001</v>
      </c>
      <c r="D59" s="8">
        <f>2*-0.4992784</f>
        <v>-0.99855680000000002</v>
      </c>
      <c r="E59" s="8">
        <f t="shared" si="7"/>
        <v>0.11974616000000005</v>
      </c>
      <c r="F59" s="8">
        <f t="shared" si="8"/>
        <v>75.141074638480035</v>
      </c>
      <c r="G59" s="18">
        <f t="shared" si="9"/>
        <v>28.058925361519968</v>
      </c>
    </row>
    <row r="60" spans="1:7" ht="15.75" customHeight="1" thickBot="1" x14ac:dyDescent="0.35">
      <c r="A60" s="19" t="s">
        <v>25</v>
      </c>
      <c r="B60" s="70" t="s">
        <v>18</v>
      </c>
      <c r="C60" s="69">
        <v>-1.12882343</v>
      </c>
      <c r="D60" s="8">
        <f>2*-0.49933432</f>
        <v>-0.99866864</v>
      </c>
      <c r="E60" s="8">
        <f t="shared" si="7"/>
        <v>0.13015478999999996</v>
      </c>
      <c r="F60" s="8">
        <f t="shared" si="8"/>
        <v>81.672521189369988</v>
      </c>
      <c r="G60" s="105">
        <f t="shared" si="9"/>
        <v>21.527478810630015</v>
      </c>
    </row>
    <row r="61" spans="1:7" ht="15.75" customHeight="1" thickBot="1" x14ac:dyDescent="0.35">
      <c r="A61" s="117" t="s">
        <v>27</v>
      </c>
      <c r="B61" s="118" t="s">
        <v>28</v>
      </c>
      <c r="C61" s="119">
        <f>0.0101781-1.16383957</f>
        <v>-1.1536614699999999</v>
      </c>
      <c r="D61" s="119">
        <f>2*-0.49388665</f>
        <v>-0.98777329999999997</v>
      </c>
      <c r="E61" s="119">
        <f t="shared" ref="E61:E68" si="10">-C61+D61</f>
        <v>0.16588816999999989</v>
      </c>
      <c r="F61" s="119">
        <f t="shared" ref="F61:F63" si="11">E61*628.5095</f>
        <v>104.26229078261493</v>
      </c>
      <c r="G61" s="108">
        <f t="shared" ref="G61:G68" si="12">ABS(F61-$A$2)</f>
        <v>1.062290782614923</v>
      </c>
    </row>
    <row r="62" spans="1:7" ht="15.75" customHeight="1" x14ac:dyDescent="0.3">
      <c r="A62" s="115" t="s">
        <v>27</v>
      </c>
      <c r="B62" s="116" t="s">
        <v>26</v>
      </c>
      <c r="C62" s="8">
        <f>0.01016977-1.1717732</f>
        <v>-1.16160343</v>
      </c>
      <c r="D62" s="8">
        <f>2*-0.49686205</f>
        <v>-0.9937241</v>
      </c>
      <c r="E62" s="8">
        <f t="shared" si="10"/>
        <v>0.16787932999999999</v>
      </c>
      <c r="F62" s="8">
        <f t="shared" si="11"/>
        <v>105.51375375863499</v>
      </c>
      <c r="G62" s="90">
        <f t="shared" si="12"/>
        <v>2.3137537586349879</v>
      </c>
    </row>
    <row r="63" spans="1:7" ht="15.75" customHeight="1" x14ac:dyDescent="0.3">
      <c r="A63" s="111" t="s">
        <v>27</v>
      </c>
      <c r="B63" s="112" t="s">
        <v>17</v>
      </c>
      <c r="C63" s="110">
        <f>0.0099439-1.16684035</f>
        <v>-1.1568964500000001</v>
      </c>
      <c r="D63" s="110">
        <f>2*-0.49785866</f>
        <v>-0.99571732000000002</v>
      </c>
      <c r="E63" s="110">
        <f t="shared" si="10"/>
        <v>0.16117913000000006</v>
      </c>
      <c r="F63" s="110">
        <f t="shared" si="11"/>
        <v>101.30261440673503</v>
      </c>
      <c r="G63" s="109">
        <f t="shared" si="12"/>
        <v>1.8973855932649712</v>
      </c>
    </row>
    <row r="64" spans="1:7" ht="15.75" customHeight="1" thickBot="1" x14ac:dyDescent="0.35">
      <c r="A64" s="113" t="s">
        <v>27</v>
      </c>
      <c r="B64" s="114" t="s">
        <v>18</v>
      </c>
      <c r="C64" s="23">
        <f>0.00991603-1.16727311</f>
        <v>-1.1573570799999999</v>
      </c>
      <c r="D64" s="23">
        <f>2*-0.49826982</f>
        <v>-0.99653963999999995</v>
      </c>
      <c r="E64" s="23">
        <f t="shared" si="10"/>
        <v>0.16081743999999998</v>
      </c>
      <c r="F64" s="23">
        <f>E64*627.503</f>
        <v>100.91342605231999</v>
      </c>
      <c r="G64" s="94">
        <f t="shared" si="12"/>
        <v>2.2865739476800115</v>
      </c>
    </row>
    <row r="65" spans="1:7" ht="15.75" customHeight="1" x14ac:dyDescent="0.3">
      <c r="A65" s="37" t="s">
        <v>60</v>
      </c>
      <c r="B65" s="71" t="s">
        <v>28</v>
      </c>
      <c r="C65" s="69">
        <f>0.01037127-1.14025454</f>
        <v>-1.1298832699999999</v>
      </c>
      <c r="D65" s="8">
        <f>2*-0.49619864</f>
        <v>-0.99239728000000005</v>
      </c>
      <c r="E65" s="8">
        <f>-C65+D65</f>
        <v>0.13748598999999984</v>
      </c>
      <c r="F65" s="8">
        <f>E65*628.5095</f>
        <v>86.411250831904894</v>
      </c>
      <c r="G65" s="18">
        <f t="shared" si="12"/>
        <v>16.788749168095109</v>
      </c>
    </row>
    <row r="66" spans="1:7" ht="15.75" customHeight="1" x14ac:dyDescent="0.3">
      <c r="A66" s="37" t="s">
        <v>60</v>
      </c>
      <c r="B66" s="11" t="s">
        <v>26</v>
      </c>
      <c r="C66" s="69">
        <f>0.01050087-1.15766113</f>
        <v>-1.1471602599999999</v>
      </c>
      <c r="D66" s="8">
        <f>2*-0.49823291</f>
        <v>-0.99646581999999995</v>
      </c>
      <c r="E66" s="8">
        <f t="shared" si="10"/>
        <v>0.15069443999999999</v>
      </c>
      <c r="F66" s="8">
        <f>E66*628.5095</f>
        <v>94.71288713717999</v>
      </c>
      <c r="G66" s="105">
        <f t="shared" si="12"/>
        <v>8.4871128628200125</v>
      </c>
    </row>
    <row r="67" spans="1:7" ht="15.75" customHeight="1" x14ac:dyDescent="0.3">
      <c r="A67" s="37" t="s">
        <v>60</v>
      </c>
      <c r="B67" s="11" t="s">
        <v>17</v>
      </c>
      <c r="C67" s="69">
        <f>0.01025474-1.15521828</f>
        <v>-1.14496354</v>
      </c>
      <c r="D67" s="8">
        <f>2*-0.49933432</f>
        <v>-0.99866864</v>
      </c>
      <c r="E67" s="8">
        <f t="shared" si="10"/>
        <v>0.14629490000000001</v>
      </c>
      <c r="F67" s="8">
        <f>E67*628.5095</f>
        <v>91.947734451550005</v>
      </c>
      <c r="G67" s="18">
        <f t="shared" si="12"/>
        <v>11.252265548449998</v>
      </c>
    </row>
    <row r="68" spans="1:7" ht="15.75" customHeight="1" thickBot="1" x14ac:dyDescent="0.35">
      <c r="A68" s="38" t="s">
        <v>60</v>
      </c>
      <c r="B68" s="72" t="s">
        <v>18</v>
      </c>
      <c r="C68" s="73">
        <f>-1.15621648+0.01016921</f>
        <v>-1.1460472700000002</v>
      </c>
      <c r="D68" s="23">
        <f>2*-0.49933432</f>
        <v>-0.99866864</v>
      </c>
      <c r="E68" s="23">
        <f t="shared" si="10"/>
        <v>0.14737863000000018</v>
      </c>
      <c r="F68" s="23">
        <f>E68*627.503</f>
        <v>92.480532460890117</v>
      </c>
      <c r="G68" s="24">
        <f t="shared" si="12"/>
        <v>10.719467539109885</v>
      </c>
    </row>
    <row r="69" spans="1:7" ht="15.75" customHeight="1" x14ac:dyDescent="0.3"/>
    <row r="70" spans="1:7" ht="15.75" customHeight="1" x14ac:dyDescent="0.3"/>
    <row r="71" spans="1:7" ht="15.75" customHeight="1" x14ac:dyDescent="0.3"/>
    <row r="72" spans="1:7" ht="15.75" customHeight="1" x14ac:dyDescent="0.3"/>
    <row r="73" spans="1:7" ht="15.75" customHeight="1" x14ac:dyDescent="0.3"/>
    <row r="74" spans="1:7" ht="15.75" customHeight="1" x14ac:dyDescent="0.3"/>
    <row r="75" spans="1:7" ht="15.75" customHeight="1" x14ac:dyDescent="0.3"/>
    <row r="76" spans="1:7" ht="15.75" customHeight="1" x14ac:dyDescent="0.3"/>
    <row r="77" spans="1:7" ht="15.75" customHeight="1" x14ac:dyDescent="0.3"/>
    <row r="78" spans="1:7" ht="15.75" customHeight="1" x14ac:dyDescent="0.3"/>
    <row r="79" spans="1:7" ht="15.75" customHeight="1" x14ac:dyDescent="0.3"/>
    <row r="80" spans="1:7" ht="15.75" customHeight="1" x14ac:dyDescent="0.3"/>
    <row r="81" s="41" customFormat="1" ht="15.75" customHeight="1" x14ac:dyDescent="0.3"/>
    <row r="82" s="41" customFormat="1" ht="15.75" customHeight="1" x14ac:dyDescent="0.3"/>
    <row r="83" s="41" customFormat="1" ht="15.75" customHeight="1" x14ac:dyDescent="0.3"/>
    <row r="84" s="41" customFormat="1" ht="15.75" customHeight="1" x14ac:dyDescent="0.3"/>
    <row r="85" s="41" customFormat="1" ht="15.75" customHeight="1" x14ac:dyDescent="0.3"/>
    <row r="86" s="41" customFormat="1" ht="15.75" customHeight="1" x14ac:dyDescent="0.3"/>
    <row r="87" s="41" customFormat="1" ht="15.75" customHeight="1" x14ac:dyDescent="0.3"/>
    <row r="88" s="41" customFormat="1" ht="15.75" customHeight="1" x14ac:dyDescent="0.3"/>
    <row r="89" s="41" customFormat="1" ht="15.75" customHeight="1" x14ac:dyDescent="0.3"/>
    <row r="90" s="41" customFormat="1" ht="15.75" customHeight="1" x14ac:dyDescent="0.3"/>
    <row r="91" s="41" customFormat="1" ht="15.75" customHeight="1" x14ac:dyDescent="0.3"/>
    <row r="92" s="41" customFormat="1" ht="15.75" customHeight="1" x14ac:dyDescent="0.3"/>
    <row r="93" s="41" customFormat="1" ht="15.75" customHeight="1" x14ac:dyDescent="0.3"/>
    <row r="94" s="41" customFormat="1" ht="15.75" customHeight="1" x14ac:dyDescent="0.3"/>
    <row r="95" s="41" customFormat="1" ht="15.75" customHeight="1" x14ac:dyDescent="0.3"/>
    <row r="96" s="41" customFormat="1" ht="15.75" customHeight="1" x14ac:dyDescent="0.3"/>
    <row r="97" s="41" customFormat="1" ht="15.75" customHeight="1" x14ac:dyDescent="0.3"/>
    <row r="98" s="41" customFormat="1" ht="15.75" customHeight="1" x14ac:dyDescent="0.3"/>
    <row r="99" s="41" customFormat="1" ht="15.75" customHeight="1" x14ac:dyDescent="0.3"/>
    <row r="100" s="41" customFormat="1" ht="15.75" customHeight="1" x14ac:dyDescent="0.3"/>
    <row r="101" s="41" customFormat="1" ht="15.75" customHeight="1" x14ac:dyDescent="0.3"/>
    <row r="102" s="41" customFormat="1" ht="15.75" customHeight="1" x14ac:dyDescent="0.3"/>
    <row r="103" s="41" customFormat="1" ht="15.75" customHeight="1" x14ac:dyDescent="0.3"/>
    <row r="104" s="41" customFormat="1" ht="15.75" customHeight="1" x14ac:dyDescent="0.3"/>
    <row r="105" s="41" customFormat="1" ht="15.75" customHeight="1" x14ac:dyDescent="0.3"/>
    <row r="106" s="41" customFormat="1" ht="15.75" customHeight="1" x14ac:dyDescent="0.3"/>
    <row r="107" s="41" customFormat="1" ht="15.75" customHeight="1" x14ac:dyDescent="0.3"/>
    <row r="108" s="41" customFormat="1" ht="15.75" customHeight="1" x14ac:dyDescent="0.3"/>
    <row r="109" s="41" customFormat="1" ht="15.75" customHeight="1" x14ac:dyDescent="0.3"/>
    <row r="110" s="41" customFormat="1" ht="15.75" customHeight="1" x14ac:dyDescent="0.3"/>
    <row r="111" s="41" customFormat="1" ht="15.75" customHeight="1" x14ac:dyDescent="0.3"/>
    <row r="112" s="41" customFormat="1" ht="15.75" customHeight="1" x14ac:dyDescent="0.3"/>
    <row r="113" s="41" customFormat="1" ht="15.75" customHeight="1" x14ac:dyDescent="0.3"/>
    <row r="114" s="41" customFormat="1" ht="15.75" customHeight="1" x14ac:dyDescent="0.3"/>
    <row r="115" s="41" customFormat="1" ht="15.75" customHeight="1" x14ac:dyDescent="0.3"/>
    <row r="116" s="41" customFormat="1" ht="15.75" customHeight="1" x14ac:dyDescent="0.3"/>
    <row r="117" s="41" customFormat="1" ht="15.75" customHeight="1" x14ac:dyDescent="0.3"/>
    <row r="118" s="41" customFormat="1" ht="15.75" customHeight="1" x14ac:dyDescent="0.3"/>
    <row r="119" s="41" customFormat="1" ht="15.75" customHeight="1" x14ac:dyDescent="0.3"/>
    <row r="120" s="41" customFormat="1" ht="15.75" customHeight="1" x14ac:dyDescent="0.3"/>
    <row r="121" s="41" customFormat="1" ht="15.75" customHeight="1" x14ac:dyDescent="0.3"/>
    <row r="122" s="41" customFormat="1" ht="15.75" customHeight="1" x14ac:dyDescent="0.3"/>
    <row r="123" s="41" customFormat="1" ht="15.75" customHeight="1" x14ac:dyDescent="0.3"/>
    <row r="124" s="41" customFormat="1" ht="15.75" customHeight="1" x14ac:dyDescent="0.3"/>
    <row r="125" s="41" customFormat="1" ht="15.75" customHeight="1" x14ac:dyDescent="0.3"/>
    <row r="126" s="41" customFormat="1" ht="15.75" customHeight="1" x14ac:dyDescent="0.3"/>
    <row r="127" s="41" customFormat="1" ht="15.75" customHeight="1" x14ac:dyDescent="0.3"/>
    <row r="128" s="41" customFormat="1" ht="15.75" customHeight="1" x14ac:dyDescent="0.3"/>
    <row r="129" s="41" customFormat="1" ht="15.75" customHeight="1" x14ac:dyDescent="0.3"/>
    <row r="130" s="41" customFormat="1" ht="15.75" customHeight="1" x14ac:dyDescent="0.3"/>
    <row r="131" s="41" customFormat="1" ht="15.75" customHeight="1" x14ac:dyDescent="0.3"/>
    <row r="132" s="41" customFormat="1" ht="15.75" customHeight="1" x14ac:dyDescent="0.3"/>
    <row r="133" s="41" customFormat="1" ht="15.75" customHeight="1" x14ac:dyDescent="0.3"/>
    <row r="134" s="41" customFormat="1" ht="15.75" customHeight="1" x14ac:dyDescent="0.3"/>
    <row r="135" s="41" customFormat="1" ht="15.75" customHeight="1" x14ac:dyDescent="0.3"/>
    <row r="136" s="41" customFormat="1" ht="15.75" customHeight="1" x14ac:dyDescent="0.3"/>
    <row r="137" s="41" customFormat="1" ht="15.75" customHeight="1" x14ac:dyDescent="0.3"/>
    <row r="138" s="41" customFormat="1" ht="15.75" customHeight="1" x14ac:dyDescent="0.3"/>
    <row r="139" s="41" customFormat="1" ht="15.75" customHeight="1" x14ac:dyDescent="0.3"/>
    <row r="140" s="41" customFormat="1" ht="15.75" customHeight="1" x14ac:dyDescent="0.3"/>
    <row r="141" s="41" customFormat="1" ht="15.75" customHeight="1" x14ac:dyDescent="0.3"/>
    <row r="142" s="41" customFormat="1" ht="15.75" customHeight="1" x14ac:dyDescent="0.3"/>
    <row r="143" s="41" customFormat="1" ht="15.75" customHeight="1" x14ac:dyDescent="0.3"/>
    <row r="144" s="41" customFormat="1" ht="15.75" customHeight="1" x14ac:dyDescent="0.3"/>
    <row r="145" s="41" customFormat="1" ht="15.75" customHeight="1" x14ac:dyDescent="0.3"/>
    <row r="146" s="41" customFormat="1" ht="15.75" customHeight="1" x14ac:dyDescent="0.3"/>
    <row r="147" s="41" customFormat="1" ht="15.75" customHeight="1" x14ac:dyDescent="0.3"/>
    <row r="148" s="41" customFormat="1" ht="15.75" customHeight="1" x14ac:dyDescent="0.3"/>
    <row r="149" s="41" customFormat="1" ht="15.75" customHeight="1" x14ac:dyDescent="0.3"/>
    <row r="150" s="41" customFormat="1" ht="15.75" customHeight="1" x14ac:dyDescent="0.3"/>
    <row r="151" s="41" customFormat="1" ht="15.75" customHeight="1" x14ac:dyDescent="0.3"/>
    <row r="152" s="41" customFormat="1" ht="15.75" customHeight="1" x14ac:dyDescent="0.3"/>
    <row r="153" s="41" customFormat="1" ht="15.75" customHeight="1" x14ac:dyDescent="0.3"/>
    <row r="154" s="41" customFormat="1" ht="15.75" customHeight="1" x14ac:dyDescent="0.3"/>
    <row r="155" s="41" customFormat="1" ht="15.75" customHeight="1" x14ac:dyDescent="0.3"/>
    <row r="156" s="41" customFormat="1" ht="15.75" customHeight="1" x14ac:dyDescent="0.3"/>
    <row r="157" s="41" customFormat="1" ht="15.75" customHeight="1" x14ac:dyDescent="0.3"/>
    <row r="158" s="41" customFormat="1" ht="15.75" customHeight="1" x14ac:dyDescent="0.3"/>
    <row r="159" s="41" customFormat="1" ht="15.75" customHeight="1" x14ac:dyDescent="0.3"/>
    <row r="160" s="41" customFormat="1" ht="15.75" customHeight="1" x14ac:dyDescent="0.3"/>
    <row r="161" s="41" customFormat="1" ht="15.75" customHeight="1" x14ac:dyDescent="0.3"/>
    <row r="162" s="41" customFormat="1" ht="15.75" customHeight="1" x14ac:dyDescent="0.3"/>
    <row r="163" s="41" customFormat="1" ht="15.75" customHeight="1" x14ac:dyDescent="0.3"/>
    <row r="164" s="41" customFormat="1" ht="15.75" customHeight="1" x14ac:dyDescent="0.3"/>
    <row r="165" s="41" customFormat="1" ht="15.75" customHeight="1" x14ac:dyDescent="0.3"/>
    <row r="166" s="41" customFormat="1" ht="15.75" customHeight="1" x14ac:dyDescent="0.3"/>
    <row r="167" s="41" customFormat="1" ht="15.75" customHeight="1" x14ac:dyDescent="0.3"/>
    <row r="168" s="41" customFormat="1" ht="15.75" customHeight="1" x14ac:dyDescent="0.3"/>
    <row r="169" s="41" customFormat="1" ht="15.75" customHeight="1" x14ac:dyDescent="0.3"/>
    <row r="170" s="41" customFormat="1" ht="15.75" customHeight="1" x14ac:dyDescent="0.3"/>
    <row r="171" s="41" customFormat="1" ht="15.75" customHeight="1" x14ac:dyDescent="0.3"/>
    <row r="172" s="41" customFormat="1" ht="15.75" customHeight="1" x14ac:dyDescent="0.3"/>
    <row r="173" s="41" customFormat="1" ht="15.75" customHeight="1" x14ac:dyDescent="0.3"/>
    <row r="174" s="41" customFormat="1" ht="15.75" customHeight="1" x14ac:dyDescent="0.3"/>
    <row r="175" s="41" customFormat="1" ht="15.75" customHeight="1" x14ac:dyDescent="0.3"/>
    <row r="176" s="41" customFormat="1" ht="15.75" customHeight="1" x14ac:dyDescent="0.3"/>
    <row r="177" s="41" customFormat="1" ht="15.75" customHeight="1" x14ac:dyDescent="0.3"/>
    <row r="178" s="41" customFormat="1" ht="15.75" customHeight="1" x14ac:dyDescent="0.3"/>
    <row r="179" s="41" customFormat="1" ht="15.75" customHeight="1" x14ac:dyDescent="0.3"/>
    <row r="180" s="41" customFormat="1" ht="15.75" customHeight="1" x14ac:dyDescent="0.3"/>
    <row r="181" s="41" customFormat="1" ht="15.75" customHeight="1" x14ac:dyDescent="0.3"/>
    <row r="182" s="41" customFormat="1" ht="15.75" customHeight="1" x14ac:dyDescent="0.3"/>
    <row r="183" s="41" customFormat="1" ht="15.75" customHeight="1" x14ac:dyDescent="0.3"/>
    <row r="184" s="41" customFormat="1" ht="15.75" customHeight="1" x14ac:dyDescent="0.3"/>
    <row r="185" s="41" customFormat="1" ht="15.75" customHeight="1" x14ac:dyDescent="0.3"/>
    <row r="186" s="41" customFormat="1" ht="15.75" customHeight="1" x14ac:dyDescent="0.3"/>
    <row r="187" s="41" customFormat="1" ht="15.75" customHeight="1" x14ac:dyDescent="0.3"/>
    <row r="188" s="41" customFormat="1" ht="15.75" customHeight="1" x14ac:dyDescent="0.3"/>
    <row r="189" s="41" customFormat="1" ht="15.75" customHeight="1" x14ac:dyDescent="0.3"/>
    <row r="190" s="41" customFormat="1" ht="15.75" customHeight="1" x14ac:dyDescent="0.3"/>
    <row r="191" s="41" customFormat="1" ht="15.75" customHeight="1" x14ac:dyDescent="0.3"/>
    <row r="192" s="41" customFormat="1" ht="15.75" customHeight="1" x14ac:dyDescent="0.3"/>
    <row r="193" s="41" customFormat="1" ht="15.75" customHeight="1" x14ac:dyDescent="0.3"/>
    <row r="194" s="41" customFormat="1" ht="15.75" customHeight="1" x14ac:dyDescent="0.3"/>
    <row r="195" s="41" customFormat="1" ht="15.75" customHeight="1" x14ac:dyDescent="0.3"/>
    <row r="196" s="41" customFormat="1" ht="15.75" customHeight="1" x14ac:dyDescent="0.3"/>
    <row r="197" s="41" customFormat="1" ht="15.75" customHeight="1" x14ac:dyDescent="0.3"/>
    <row r="198" s="41" customFormat="1" ht="15.75" customHeight="1" x14ac:dyDescent="0.3"/>
    <row r="199" s="41" customFormat="1" ht="15.75" customHeight="1" x14ac:dyDescent="0.3"/>
    <row r="200" s="41" customFormat="1" ht="15.75" customHeight="1" x14ac:dyDescent="0.3"/>
    <row r="201" s="41" customFormat="1" ht="15.75" customHeight="1" x14ac:dyDescent="0.3"/>
    <row r="202" s="41" customFormat="1" ht="15.75" customHeight="1" x14ac:dyDescent="0.3"/>
    <row r="203" s="41" customFormat="1" ht="15.75" customHeight="1" x14ac:dyDescent="0.3"/>
    <row r="204" s="41" customFormat="1" ht="15.75" customHeight="1" x14ac:dyDescent="0.3"/>
    <row r="205" s="41" customFormat="1" ht="15.75" customHeight="1" x14ac:dyDescent="0.3"/>
    <row r="206" s="41" customFormat="1" ht="15.75" customHeight="1" x14ac:dyDescent="0.3"/>
    <row r="207" s="41" customFormat="1" ht="15.75" customHeight="1" x14ac:dyDescent="0.3"/>
    <row r="208" s="41" customFormat="1" ht="15.75" customHeight="1" x14ac:dyDescent="0.3"/>
    <row r="209" s="41" customFormat="1" ht="15.75" customHeight="1" x14ac:dyDescent="0.3"/>
    <row r="210" s="41" customFormat="1" ht="15.75" customHeight="1" x14ac:dyDescent="0.3"/>
    <row r="211" s="41" customFormat="1" ht="15.75" customHeight="1" x14ac:dyDescent="0.3"/>
    <row r="212" s="41" customFormat="1" ht="15.75" customHeight="1" x14ac:dyDescent="0.3"/>
    <row r="213" s="41" customFormat="1" ht="15.75" customHeight="1" x14ac:dyDescent="0.3"/>
    <row r="214" s="41" customFormat="1" ht="15.75" customHeight="1" x14ac:dyDescent="0.3"/>
    <row r="215" s="41" customFormat="1" ht="15.75" customHeight="1" x14ac:dyDescent="0.3"/>
    <row r="216" s="41" customFormat="1" ht="15.75" customHeight="1" x14ac:dyDescent="0.3"/>
    <row r="217" s="41" customFormat="1" ht="15.75" customHeight="1" x14ac:dyDescent="0.3"/>
    <row r="218" s="41" customFormat="1" ht="15.75" customHeight="1" x14ac:dyDescent="0.3"/>
    <row r="219" s="41" customFormat="1" ht="15.75" customHeight="1" x14ac:dyDescent="0.3"/>
    <row r="220" s="41" customFormat="1" ht="15.75" customHeight="1" x14ac:dyDescent="0.3"/>
    <row r="221" s="41" customFormat="1" ht="15.75" customHeight="1" x14ac:dyDescent="0.3"/>
    <row r="222" s="41" customFormat="1" ht="15.75" customHeight="1" x14ac:dyDescent="0.3"/>
    <row r="223" s="41" customFormat="1" ht="15.75" customHeight="1" x14ac:dyDescent="0.3"/>
    <row r="224" s="41" customFormat="1" ht="15.75" customHeight="1" x14ac:dyDescent="0.3"/>
    <row r="225" s="41" customFormat="1" ht="15.75" customHeight="1" x14ac:dyDescent="0.3"/>
    <row r="226" s="41" customFormat="1" ht="15.75" customHeight="1" x14ac:dyDescent="0.3"/>
    <row r="227" s="41" customFormat="1" ht="15.75" customHeight="1" x14ac:dyDescent="0.3"/>
    <row r="228" s="41" customFormat="1" ht="15.75" customHeight="1" x14ac:dyDescent="0.3"/>
    <row r="229" s="41" customFormat="1" ht="15.75" customHeight="1" x14ac:dyDescent="0.3"/>
    <row r="230" s="41" customFormat="1" ht="15.75" customHeight="1" x14ac:dyDescent="0.3"/>
    <row r="231" s="41" customFormat="1" ht="15.75" customHeight="1" x14ac:dyDescent="0.3"/>
    <row r="232" s="41" customFormat="1" ht="15.75" customHeight="1" x14ac:dyDescent="0.3"/>
    <row r="233" s="41" customFormat="1" ht="15.75" customHeight="1" x14ac:dyDescent="0.3"/>
    <row r="234" s="41" customFormat="1" ht="15.75" customHeight="1" x14ac:dyDescent="0.3"/>
    <row r="235" s="41" customFormat="1" ht="15.75" customHeight="1" x14ac:dyDescent="0.3"/>
    <row r="236" s="41" customFormat="1" ht="15.75" customHeight="1" x14ac:dyDescent="0.3"/>
    <row r="237" s="41" customFormat="1" ht="15.75" customHeight="1" x14ac:dyDescent="0.3"/>
    <row r="238" s="41" customFormat="1" ht="15.75" customHeight="1" x14ac:dyDescent="0.3"/>
    <row r="239" s="41" customFormat="1" ht="15.75" customHeight="1" x14ac:dyDescent="0.3"/>
    <row r="240" s="41" customFormat="1" ht="15.75" customHeight="1" x14ac:dyDescent="0.3"/>
    <row r="241" s="41" customFormat="1" ht="15.75" customHeight="1" x14ac:dyDescent="0.3"/>
    <row r="242" s="41" customFormat="1" ht="15.75" customHeight="1" x14ac:dyDescent="0.3"/>
    <row r="243" s="41" customFormat="1" ht="15.75" customHeight="1" x14ac:dyDescent="0.3"/>
    <row r="244" s="41" customFormat="1" ht="15.75" customHeight="1" x14ac:dyDescent="0.3"/>
    <row r="245" s="41" customFormat="1" ht="15.75" customHeight="1" x14ac:dyDescent="0.3"/>
    <row r="246" s="41" customFormat="1" ht="15.75" customHeight="1" x14ac:dyDescent="0.3"/>
    <row r="247" s="41" customFormat="1" ht="15.75" customHeight="1" x14ac:dyDescent="0.3"/>
    <row r="248" s="41" customFormat="1" ht="15.75" customHeight="1" x14ac:dyDescent="0.3"/>
    <row r="249" s="41" customFormat="1" ht="15.75" customHeight="1" x14ac:dyDescent="0.3"/>
    <row r="250" s="41" customFormat="1" ht="15.75" customHeight="1" x14ac:dyDescent="0.3"/>
    <row r="251" s="41" customFormat="1" ht="15.75" customHeight="1" x14ac:dyDescent="0.3"/>
    <row r="252" s="41" customFormat="1" ht="15.75" customHeight="1" x14ac:dyDescent="0.3"/>
    <row r="253" s="41" customFormat="1" ht="15.75" customHeight="1" x14ac:dyDescent="0.3"/>
    <row r="254" s="41" customFormat="1" ht="15.75" customHeight="1" x14ac:dyDescent="0.3"/>
    <row r="255" s="41" customFormat="1" ht="15.75" customHeight="1" x14ac:dyDescent="0.3"/>
    <row r="256" s="41" customFormat="1" ht="15.75" customHeight="1" x14ac:dyDescent="0.3"/>
    <row r="257" s="41" customFormat="1" ht="15.75" customHeight="1" x14ac:dyDescent="0.3"/>
    <row r="258" s="41" customFormat="1" ht="15.75" customHeight="1" x14ac:dyDescent="0.3"/>
    <row r="259" s="41" customFormat="1" ht="15.75" customHeight="1" x14ac:dyDescent="0.3"/>
    <row r="260" s="41" customFormat="1" ht="15.75" customHeight="1" x14ac:dyDescent="0.3"/>
    <row r="261" s="41" customFormat="1" ht="15.75" customHeight="1" x14ac:dyDescent="0.3"/>
    <row r="262" s="41" customFormat="1" ht="15.75" customHeight="1" x14ac:dyDescent="0.3"/>
    <row r="263" s="41" customFormat="1" ht="15.75" customHeight="1" x14ac:dyDescent="0.3"/>
    <row r="264" s="41" customFormat="1" ht="15.75" customHeight="1" x14ac:dyDescent="0.3"/>
    <row r="265" s="41" customFormat="1" ht="15.75" customHeight="1" x14ac:dyDescent="0.3"/>
    <row r="266" s="41" customFormat="1" ht="15.75" customHeight="1" x14ac:dyDescent="0.3"/>
    <row r="267" s="41" customFormat="1" ht="15.75" customHeight="1" x14ac:dyDescent="0.3"/>
    <row r="268" s="41" customFormat="1" ht="15.75" customHeight="1" x14ac:dyDescent="0.3"/>
    <row r="269" s="41" customFormat="1" ht="15.75" customHeight="1" x14ac:dyDescent="0.3"/>
    <row r="270" s="41" customFormat="1" ht="15.75" customHeight="1" x14ac:dyDescent="0.3"/>
    <row r="271" s="41" customFormat="1" ht="15.75" customHeight="1" x14ac:dyDescent="0.3"/>
    <row r="272" s="41" customFormat="1" ht="15.75" customHeight="1" x14ac:dyDescent="0.3"/>
    <row r="273" s="41" customFormat="1" ht="15.75" customHeight="1" x14ac:dyDescent="0.3"/>
    <row r="274" s="41" customFormat="1" ht="15.75" customHeight="1" x14ac:dyDescent="0.3"/>
    <row r="275" s="41" customFormat="1" ht="15.75" customHeight="1" x14ac:dyDescent="0.3"/>
    <row r="276" s="41" customFormat="1" ht="15.75" customHeight="1" x14ac:dyDescent="0.3"/>
    <row r="277" s="41" customFormat="1" ht="15.75" customHeight="1" x14ac:dyDescent="0.3"/>
    <row r="278" s="41" customFormat="1" ht="15.75" customHeight="1" x14ac:dyDescent="0.3"/>
    <row r="279" s="41" customFormat="1" ht="15.75" customHeight="1" x14ac:dyDescent="0.3"/>
    <row r="280" s="41" customFormat="1" ht="15.75" customHeight="1" x14ac:dyDescent="0.3"/>
    <row r="281" s="41" customFormat="1" ht="15.75" customHeight="1" x14ac:dyDescent="0.3"/>
    <row r="282" s="41" customFormat="1" ht="15.75" customHeight="1" x14ac:dyDescent="0.3"/>
    <row r="283" s="41" customFormat="1" ht="15.75" customHeight="1" x14ac:dyDescent="0.3"/>
    <row r="284" s="41" customFormat="1" ht="15.75" customHeight="1" x14ac:dyDescent="0.3"/>
    <row r="285" s="41" customFormat="1" ht="15.75" customHeight="1" x14ac:dyDescent="0.3"/>
    <row r="286" s="41" customFormat="1" ht="15.75" customHeight="1" x14ac:dyDescent="0.3"/>
    <row r="287" s="41" customFormat="1" ht="15.75" customHeight="1" x14ac:dyDescent="0.3"/>
    <row r="288" s="41" customFormat="1" ht="15.75" customHeight="1" x14ac:dyDescent="0.3"/>
    <row r="289" s="41" customFormat="1" ht="15.75" customHeight="1" x14ac:dyDescent="0.3"/>
    <row r="290" s="41" customFormat="1" ht="15.75" customHeight="1" x14ac:dyDescent="0.3"/>
    <row r="291" s="41" customFormat="1" ht="15.75" customHeight="1" x14ac:dyDescent="0.3"/>
    <row r="292" s="41" customFormat="1" ht="15.75" customHeight="1" x14ac:dyDescent="0.3"/>
    <row r="293" s="41" customFormat="1" ht="15.75" customHeight="1" x14ac:dyDescent="0.3"/>
    <row r="294" s="41" customFormat="1" ht="15.75" customHeight="1" x14ac:dyDescent="0.3"/>
    <row r="295" s="41" customFormat="1" ht="15.75" customHeight="1" x14ac:dyDescent="0.3"/>
    <row r="296" s="41" customFormat="1" ht="15.75" customHeight="1" x14ac:dyDescent="0.3"/>
    <row r="297" s="41" customFormat="1" ht="15.75" customHeight="1" x14ac:dyDescent="0.3"/>
    <row r="298" s="41" customFormat="1" ht="15.75" customHeight="1" x14ac:dyDescent="0.3"/>
    <row r="299" s="41" customFormat="1" ht="15.75" customHeight="1" x14ac:dyDescent="0.3"/>
    <row r="300" s="41" customFormat="1" ht="15.75" customHeight="1" x14ac:dyDescent="0.3"/>
    <row r="301" s="41" customFormat="1" ht="15.75" customHeight="1" x14ac:dyDescent="0.3"/>
    <row r="302" s="41" customFormat="1" ht="15.75" customHeight="1" x14ac:dyDescent="0.3"/>
    <row r="303" s="41" customFormat="1" ht="15.75" customHeight="1" x14ac:dyDescent="0.3"/>
    <row r="304" s="41" customFormat="1" ht="15.75" customHeight="1" x14ac:dyDescent="0.3"/>
    <row r="305" s="41" customFormat="1" ht="15.75" customHeight="1" x14ac:dyDescent="0.3"/>
    <row r="306" s="41" customFormat="1" ht="15.75" customHeight="1" x14ac:dyDescent="0.3"/>
    <row r="307" s="41" customFormat="1" ht="15.75" customHeight="1" x14ac:dyDescent="0.3"/>
    <row r="308" s="41" customFormat="1" ht="15.75" customHeight="1" x14ac:dyDescent="0.3"/>
    <row r="309" s="41" customFormat="1" ht="15.75" customHeight="1" x14ac:dyDescent="0.3"/>
    <row r="310" s="41" customFormat="1" ht="15.75" customHeight="1" x14ac:dyDescent="0.3"/>
    <row r="311" s="41" customFormat="1" ht="15.75" customHeight="1" x14ac:dyDescent="0.3"/>
    <row r="312" s="41" customFormat="1" ht="15.75" customHeight="1" x14ac:dyDescent="0.3"/>
    <row r="313" s="41" customFormat="1" ht="15.75" customHeight="1" x14ac:dyDescent="0.3"/>
    <row r="314" s="41" customFormat="1" ht="15.75" customHeight="1" x14ac:dyDescent="0.3"/>
    <row r="315" s="41" customFormat="1" ht="15.75" customHeight="1" x14ac:dyDescent="0.3"/>
    <row r="316" s="41" customFormat="1" ht="15.75" customHeight="1" x14ac:dyDescent="0.3"/>
    <row r="317" s="41" customFormat="1" ht="15.75" customHeight="1" x14ac:dyDescent="0.3"/>
    <row r="318" s="41" customFormat="1" ht="15.75" customHeight="1" x14ac:dyDescent="0.3"/>
    <row r="319" s="41" customFormat="1" ht="15.75" customHeight="1" x14ac:dyDescent="0.3"/>
    <row r="320" s="41" customFormat="1" ht="15.75" customHeight="1" x14ac:dyDescent="0.3"/>
    <row r="321" s="41" customFormat="1" ht="15.75" customHeight="1" x14ac:dyDescent="0.3"/>
    <row r="322" s="41" customFormat="1" ht="15.75" customHeight="1" x14ac:dyDescent="0.3"/>
    <row r="323" s="41" customFormat="1" ht="15.75" customHeight="1" x14ac:dyDescent="0.3"/>
    <row r="324" s="41" customFormat="1" ht="15.75" customHeight="1" x14ac:dyDescent="0.3"/>
    <row r="325" s="41" customFormat="1" ht="15.75" customHeight="1" x14ac:dyDescent="0.3"/>
    <row r="326" s="41" customFormat="1" ht="15.75" customHeight="1" x14ac:dyDescent="0.3"/>
    <row r="327" s="41" customFormat="1" ht="15.75" customHeight="1" x14ac:dyDescent="0.3"/>
    <row r="328" s="41" customFormat="1" ht="15.75" customHeight="1" x14ac:dyDescent="0.3"/>
    <row r="329" s="41" customFormat="1" ht="15.75" customHeight="1" x14ac:dyDescent="0.3"/>
    <row r="330" s="41" customFormat="1" ht="15.75" customHeight="1" x14ac:dyDescent="0.3"/>
    <row r="331" s="41" customFormat="1" ht="15.75" customHeight="1" x14ac:dyDescent="0.3"/>
    <row r="332" s="41" customFormat="1" ht="15.75" customHeight="1" x14ac:dyDescent="0.3"/>
    <row r="333" s="41" customFormat="1" ht="15.75" customHeight="1" x14ac:dyDescent="0.3"/>
    <row r="334" s="41" customFormat="1" ht="15.75" customHeight="1" x14ac:dyDescent="0.3"/>
    <row r="335" s="41" customFormat="1" ht="15.75" customHeight="1" x14ac:dyDescent="0.3"/>
    <row r="336" s="41" customFormat="1" ht="15.75" customHeight="1" x14ac:dyDescent="0.3"/>
    <row r="337" s="41" customFormat="1" ht="15.75" customHeight="1" x14ac:dyDescent="0.3"/>
    <row r="338" s="41" customFormat="1" ht="15.75" customHeight="1" x14ac:dyDescent="0.3"/>
    <row r="339" s="41" customFormat="1" ht="15.75" customHeight="1" x14ac:dyDescent="0.3"/>
    <row r="340" s="41" customFormat="1" ht="15.75" customHeight="1" x14ac:dyDescent="0.3"/>
    <row r="341" s="41" customFormat="1" ht="15.75" customHeight="1" x14ac:dyDescent="0.3"/>
    <row r="342" s="41" customFormat="1" ht="15.75" customHeight="1" x14ac:dyDescent="0.3"/>
    <row r="343" s="41" customFormat="1" ht="15.75" customHeight="1" x14ac:dyDescent="0.3"/>
    <row r="344" s="41" customFormat="1" ht="15.75" customHeight="1" x14ac:dyDescent="0.3"/>
    <row r="345" s="41" customFormat="1" ht="15.75" customHeight="1" x14ac:dyDescent="0.3"/>
    <row r="346" s="41" customFormat="1" ht="15.75" customHeight="1" x14ac:dyDescent="0.3"/>
    <row r="347" s="41" customFormat="1" ht="15.75" customHeight="1" x14ac:dyDescent="0.3"/>
    <row r="348" s="41" customFormat="1" ht="15.75" customHeight="1" x14ac:dyDescent="0.3"/>
    <row r="349" s="41" customFormat="1" ht="15.75" customHeight="1" x14ac:dyDescent="0.3"/>
    <row r="350" s="41" customFormat="1" ht="15.75" customHeight="1" x14ac:dyDescent="0.3"/>
    <row r="351" s="41" customFormat="1" ht="15.75" customHeight="1" x14ac:dyDescent="0.3"/>
    <row r="352" s="41" customFormat="1" ht="15.75" customHeight="1" x14ac:dyDescent="0.3"/>
    <row r="353" s="41" customFormat="1" ht="15.75" customHeight="1" x14ac:dyDescent="0.3"/>
    <row r="354" s="41" customFormat="1" ht="15.75" customHeight="1" x14ac:dyDescent="0.3"/>
    <row r="355" s="41" customFormat="1" ht="15.75" customHeight="1" x14ac:dyDescent="0.3"/>
    <row r="356" s="41" customFormat="1" ht="15.75" customHeight="1" x14ac:dyDescent="0.3"/>
    <row r="357" s="41" customFormat="1" ht="15.75" customHeight="1" x14ac:dyDescent="0.3"/>
    <row r="358" s="41" customFormat="1" ht="15.75" customHeight="1" x14ac:dyDescent="0.3"/>
    <row r="359" s="41" customFormat="1" ht="15.75" customHeight="1" x14ac:dyDescent="0.3"/>
    <row r="360" s="41" customFormat="1" ht="15.75" customHeight="1" x14ac:dyDescent="0.3"/>
    <row r="361" s="41" customFormat="1" ht="15.75" customHeight="1" x14ac:dyDescent="0.3"/>
    <row r="362" s="41" customFormat="1" ht="15.75" customHeight="1" x14ac:dyDescent="0.3"/>
    <row r="363" s="41" customFormat="1" ht="15.75" customHeight="1" x14ac:dyDescent="0.3"/>
    <row r="364" s="41" customFormat="1" ht="15.75" customHeight="1" x14ac:dyDescent="0.3"/>
    <row r="365" s="41" customFormat="1" ht="15.75" customHeight="1" x14ac:dyDescent="0.3"/>
    <row r="366" s="41" customFormat="1" ht="15.75" customHeight="1" x14ac:dyDescent="0.3"/>
    <row r="367" s="41" customFormat="1" ht="15.75" customHeight="1" x14ac:dyDescent="0.3"/>
    <row r="368" s="41" customFormat="1" ht="15.75" customHeight="1" x14ac:dyDescent="0.3"/>
    <row r="369" s="41" customFormat="1" ht="15.75" customHeight="1" x14ac:dyDescent="0.3"/>
    <row r="370" s="41" customFormat="1" ht="15.75" customHeight="1" x14ac:dyDescent="0.3"/>
    <row r="371" s="41" customFormat="1" ht="15.75" customHeight="1" x14ac:dyDescent="0.3"/>
    <row r="372" s="41" customFormat="1" ht="15.75" customHeight="1" x14ac:dyDescent="0.3"/>
    <row r="373" s="41" customFormat="1" ht="15.75" customHeight="1" x14ac:dyDescent="0.3"/>
    <row r="374" s="41" customFormat="1" ht="15.75" customHeight="1" x14ac:dyDescent="0.3"/>
    <row r="375" s="41" customFormat="1" ht="15.75" customHeight="1" x14ac:dyDescent="0.3"/>
    <row r="376" s="41" customFormat="1" ht="15.75" customHeight="1" x14ac:dyDescent="0.3"/>
    <row r="377" s="41" customFormat="1" ht="15.75" customHeight="1" x14ac:dyDescent="0.3"/>
    <row r="378" s="41" customFormat="1" ht="15.75" customHeight="1" x14ac:dyDescent="0.3"/>
    <row r="379" s="41" customFormat="1" ht="15.75" customHeight="1" x14ac:dyDescent="0.3"/>
    <row r="380" s="41" customFormat="1" ht="15.75" customHeight="1" x14ac:dyDescent="0.3"/>
    <row r="381" s="41" customFormat="1" ht="15.75" customHeight="1" x14ac:dyDescent="0.3"/>
    <row r="382" s="41" customFormat="1" ht="15.75" customHeight="1" x14ac:dyDescent="0.3"/>
    <row r="383" s="41" customFormat="1" ht="15.75" customHeight="1" x14ac:dyDescent="0.3"/>
    <row r="384" s="41" customFormat="1" ht="15.75" customHeight="1" x14ac:dyDescent="0.3"/>
    <row r="385" s="41" customFormat="1" ht="15.75" customHeight="1" x14ac:dyDescent="0.3"/>
    <row r="386" s="41" customFormat="1" ht="15.75" customHeight="1" x14ac:dyDescent="0.3"/>
    <row r="387" s="41" customFormat="1" ht="15.75" customHeight="1" x14ac:dyDescent="0.3"/>
    <row r="388" s="41" customFormat="1" ht="15.75" customHeight="1" x14ac:dyDescent="0.3"/>
    <row r="389" s="41" customFormat="1" ht="15.75" customHeight="1" x14ac:dyDescent="0.3"/>
    <row r="390" s="41" customFormat="1" ht="15.75" customHeight="1" x14ac:dyDescent="0.3"/>
    <row r="391" s="41" customFormat="1" ht="15.75" customHeight="1" x14ac:dyDescent="0.3"/>
    <row r="392" s="41" customFormat="1" ht="15.75" customHeight="1" x14ac:dyDescent="0.3"/>
    <row r="393" s="41" customFormat="1" ht="15.75" customHeight="1" x14ac:dyDescent="0.3"/>
    <row r="394" s="41" customFormat="1" ht="15.75" customHeight="1" x14ac:dyDescent="0.3"/>
    <row r="395" s="41" customFormat="1" ht="15.75" customHeight="1" x14ac:dyDescent="0.3"/>
    <row r="396" s="41" customFormat="1" ht="15.75" customHeight="1" x14ac:dyDescent="0.3"/>
    <row r="397" s="41" customFormat="1" ht="15.75" customHeight="1" x14ac:dyDescent="0.3"/>
    <row r="398" s="41" customFormat="1" ht="15.75" customHeight="1" x14ac:dyDescent="0.3"/>
    <row r="399" s="41" customFormat="1" ht="15.75" customHeight="1" x14ac:dyDescent="0.3"/>
    <row r="400" s="41" customFormat="1" ht="15.75" customHeight="1" x14ac:dyDescent="0.3"/>
    <row r="401" s="41" customFormat="1" ht="15.75" customHeight="1" x14ac:dyDescent="0.3"/>
    <row r="402" s="41" customFormat="1" ht="15.75" customHeight="1" x14ac:dyDescent="0.3"/>
    <row r="403" s="41" customFormat="1" ht="15.75" customHeight="1" x14ac:dyDescent="0.3"/>
    <row r="404" s="41" customFormat="1" ht="15.75" customHeight="1" x14ac:dyDescent="0.3"/>
    <row r="405" s="41" customFormat="1" ht="15.75" customHeight="1" x14ac:dyDescent="0.3"/>
    <row r="406" s="41" customFormat="1" ht="15.75" customHeight="1" x14ac:dyDescent="0.3"/>
    <row r="407" s="41" customFormat="1" ht="15.75" customHeight="1" x14ac:dyDescent="0.3"/>
    <row r="408" s="41" customFormat="1" ht="15.75" customHeight="1" x14ac:dyDescent="0.3"/>
    <row r="409" s="41" customFormat="1" ht="15.75" customHeight="1" x14ac:dyDescent="0.3"/>
    <row r="410" s="41" customFormat="1" ht="15.75" customHeight="1" x14ac:dyDescent="0.3"/>
    <row r="411" s="41" customFormat="1" ht="15.75" customHeight="1" x14ac:dyDescent="0.3"/>
    <row r="412" s="41" customFormat="1" ht="15.75" customHeight="1" x14ac:dyDescent="0.3"/>
    <row r="413" s="41" customFormat="1" ht="15.75" customHeight="1" x14ac:dyDescent="0.3"/>
    <row r="414" s="41" customFormat="1" ht="15.75" customHeight="1" x14ac:dyDescent="0.3"/>
    <row r="415" s="41" customFormat="1" ht="15.75" customHeight="1" x14ac:dyDescent="0.3"/>
    <row r="416" s="41" customFormat="1" ht="15.75" customHeight="1" x14ac:dyDescent="0.3"/>
    <row r="417" s="41" customFormat="1" ht="15.75" customHeight="1" x14ac:dyDescent="0.3"/>
    <row r="418" s="41" customFormat="1" ht="15.75" customHeight="1" x14ac:dyDescent="0.3"/>
    <row r="419" s="41" customFormat="1" ht="15.75" customHeight="1" x14ac:dyDescent="0.3"/>
    <row r="420" s="41" customFormat="1" ht="15.75" customHeight="1" x14ac:dyDescent="0.3"/>
    <row r="421" s="41" customFormat="1" ht="15.75" customHeight="1" x14ac:dyDescent="0.3"/>
    <row r="422" s="41" customFormat="1" ht="15.75" customHeight="1" x14ac:dyDescent="0.3"/>
    <row r="423" s="41" customFormat="1" ht="15.75" customHeight="1" x14ac:dyDescent="0.3"/>
    <row r="424" s="41" customFormat="1" ht="15.75" customHeight="1" x14ac:dyDescent="0.3"/>
    <row r="425" s="41" customFormat="1" ht="15.75" customHeight="1" x14ac:dyDescent="0.3"/>
    <row r="426" s="41" customFormat="1" ht="15.75" customHeight="1" x14ac:dyDescent="0.3"/>
    <row r="427" s="41" customFormat="1" ht="15.75" customHeight="1" x14ac:dyDescent="0.3"/>
    <row r="428" s="41" customFormat="1" ht="15.75" customHeight="1" x14ac:dyDescent="0.3"/>
    <row r="429" s="41" customFormat="1" ht="15.75" customHeight="1" x14ac:dyDescent="0.3"/>
    <row r="430" s="41" customFormat="1" ht="15.75" customHeight="1" x14ac:dyDescent="0.3"/>
    <row r="431" s="41" customFormat="1" ht="15.75" customHeight="1" x14ac:dyDescent="0.3"/>
    <row r="432" s="41" customFormat="1" ht="15.75" customHeight="1" x14ac:dyDescent="0.3"/>
    <row r="433" s="41" customFormat="1" ht="15.75" customHeight="1" x14ac:dyDescent="0.3"/>
    <row r="434" s="41" customFormat="1" ht="15.75" customHeight="1" x14ac:dyDescent="0.3"/>
    <row r="435" s="41" customFormat="1" ht="15.75" customHeight="1" x14ac:dyDescent="0.3"/>
    <row r="436" s="41" customFormat="1" ht="15.75" customHeight="1" x14ac:dyDescent="0.3"/>
    <row r="437" s="41" customFormat="1" ht="15.75" customHeight="1" x14ac:dyDescent="0.3"/>
    <row r="438" s="41" customFormat="1" ht="15.75" customHeight="1" x14ac:dyDescent="0.3"/>
    <row r="439" s="41" customFormat="1" ht="15.75" customHeight="1" x14ac:dyDescent="0.3"/>
    <row r="440" s="41" customFormat="1" ht="15.75" customHeight="1" x14ac:dyDescent="0.3"/>
    <row r="441" s="41" customFormat="1" ht="15.75" customHeight="1" x14ac:dyDescent="0.3"/>
    <row r="442" s="41" customFormat="1" ht="15.75" customHeight="1" x14ac:dyDescent="0.3"/>
    <row r="443" s="41" customFormat="1" ht="15.75" customHeight="1" x14ac:dyDescent="0.3"/>
    <row r="444" s="41" customFormat="1" ht="15.75" customHeight="1" x14ac:dyDescent="0.3"/>
    <row r="445" s="41" customFormat="1" ht="15.75" customHeight="1" x14ac:dyDescent="0.3"/>
    <row r="446" s="41" customFormat="1" ht="15.75" customHeight="1" x14ac:dyDescent="0.3"/>
    <row r="447" s="41" customFormat="1" ht="15.75" customHeight="1" x14ac:dyDescent="0.3"/>
    <row r="448" s="41" customFormat="1" ht="15.75" customHeight="1" x14ac:dyDescent="0.3"/>
    <row r="449" s="41" customFormat="1" ht="15.75" customHeight="1" x14ac:dyDescent="0.3"/>
    <row r="450" s="41" customFormat="1" ht="15.75" customHeight="1" x14ac:dyDescent="0.3"/>
    <row r="451" s="41" customFormat="1" ht="15.75" customHeight="1" x14ac:dyDescent="0.3"/>
    <row r="452" s="41" customFormat="1" ht="15.75" customHeight="1" x14ac:dyDescent="0.3"/>
    <row r="453" s="41" customFormat="1" ht="15.75" customHeight="1" x14ac:dyDescent="0.3"/>
    <row r="454" s="41" customFormat="1" ht="15.75" customHeight="1" x14ac:dyDescent="0.3"/>
    <row r="455" s="41" customFormat="1" ht="15.75" customHeight="1" x14ac:dyDescent="0.3"/>
    <row r="456" s="41" customFormat="1" ht="15.75" customHeight="1" x14ac:dyDescent="0.3"/>
    <row r="457" s="41" customFormat="1" ht="15.75" customHeight="1" x14ac:dyDescent="0.3"/>
    <row r="458" s="41" customFormat="1" ht="15.75" customHeight="1" x14ac:dyDescent="0.3"/>
    <row r="459" s="41" customFormat="1" ht="15.75" customHeight="1" x14ac:dyDescent="0.3"/>
    <row r="460" s="41" customFormat="1" ht="15.75" customHeight="1" x14ac:dyDescent="0.3"/>
    <row r="461" s="41" customFormat="1" ht="15.75" customHeight="1" x14ac:dyDescent="0.3"/>
    <row r="462" s="41" customFormat="1" ht="15.75" customHeight="1" x14ac:dyDescent="0.3"/>
    <row r="463" s="41" customFormat="1" ht="15.75" customHeight="1" x14ac:dyDescent="0.3"/>
    <row r="464" s="41" customFormat="1" ht="15.75" customHeight="1" x14ac:dyDescent="0.3"/>
    <row r="465" s="41" customFormat="1" ht="15.75" customHeight="1" x14ac:dyDescent="0.3"/>
    <row r="466" s="41" customFormat="1" ht="15.75" customHeight="1" x14ac:dyDescent="0.3"/>
    <row r="467" s="41" customFormat="1" ht="15.75" customHeight="1" x14ac:dyDescent="0.3"/>
    <row r="468" s="41" customFormat="1" ht="15.75" customHeight="1" x14ac:dyDescent="0.3"/>
    <row r="469" s="41" customFormat="1" ht="15.75" customHeight="1" x14ac:dyDescent="0.3"/>
    <row r="470" s="41" customFormat="1" ht="15.75" customHeight="1" x14ac:dyDescent="0.3"/>
    <row r="471" s="41" customFormat="1" ht="15.75" customHeight="1" x14ac:dyDescent="0.3"/>
    <row r="472" s="41" customFormat="1" ht="15.75" customHeight="1" x14ac:dyDescent="0.3"/>
    <row r="473" s="41" customFormat="1" ht="15.75" customHeight="1" x14ac:dyDescent="0.3"/>
    <row r="474" s="41" customFormat="1" ht="15.75" customHeight="1" x14ac:dyDescent="0.3"/>
    <row r="475" s="41" customFormat="1" ht="15.75" customHeight="1" x14ac:dyDescent="0.3"/>
    <row r="476" s="41" customFormat="1" ht="15.75" customHeight="1" x14ac:dyDescent="0.3"/>
    <row r="477" s="41" customFormat="1" ht="15.75" customHeight="1" x14ac:dyDescent="0.3"/>
    <row r="478" s="41" customFormat="1" ht="15.75" customHeight="1" x14ac:dyDescent="0.3"/>
    <row r="479" s="41" customFormat="1" ht="15.75" customHeight="1" x14ac:dyDescent="0.3"/>
    <row r="480" s="41" customFormat="1" ht="15.75" customHeight="1" x14ac:dyDescent="0.3"/>
    <row r="481" s="41" customFormat="1" ht="15.75" customHeight="1" x14ac:dyDescent="0.3"/>
    <row r="482" s="41" customFormat="1" ht="15.75" customHeight="1" x14ac:dyDescent="0.3"/>
    <row r="483" s="41" customFormat="1" ht="15.75" customHeight="1" x14ac:dyDescent="0.3"/>
    <row r="484" s="41" customFormat="1" ht="15.75" customHeight="1" x14ac:dyDescent="0.3"/>
    <row r="485" s="41" customFormat="1" ht="15.75" customHeight="1" x14ac:dyDescent="0.3"/>
    <row r="486" s="41" customFormat="1" ht="15.75" customHeight="1" x14ac:dyDescent="0.3"/>
    <row r="487" s="41" customFormat="1" ht="15.75" customHeight="1" x14ac:dyDescent="0.3"/>
    <row r="488" s="41" customFormat="1" ht="15.75" customHeight="1" x14ac:dyDescent="0.3"/>
    <row r="489" s="41" customFormat="1" ht="15.75" customHeight="1" x14ac:dyDescent="0.3"/>
    <row r="490" s="41" customFormat="1" ht="15.75" customHeight="1" x14ac:dyDescent="0.3"/>
    <row r="491" s="41" customFormat="1" ht="15.75" customHeight="1" x14ac:dyDescent="0.3"/>
    <row r="492" s="41" customFormat="1" ht="15.75" customHeight="1" x14ac:dyDescent="0.3"/>
    <row r="493" s="41" customFormat="1" ht="15.75" customHeight="1" x14ac:dyDescent="0.3"/>
    <row r="494" s="41" customFormat="1" ht="15.75" customHeight="1" x14ac:dyDescent="0.3"/>
    <row r="495" s="41" customFormat="1" ht="15.75" customHeight="1" x14ac:dyDescent="0.3"/>
    <row r="496" s="41" customFormat="1" ht="15.75" customHeight="1" x14ac:dyDescent="0.3"/>
    <row r="497" s="41" customFormat="1" ht="15.75" customHeight="1" x14ac:dyDescent="0.3"/>
    <row r="498" s="41" customFormat="1" ht="15.75" customHeight="1" x14ac:dyDescent="0.3"/>
    <row r="499" s="41" customFormat="1" ht="15.75" customHeight="1" x14ac:dyDescent="0.3"/>
    <row r="500" s="41" customFormat="1" ht="15.75" customHeight="1" x14ac:dyDescent="0.3"/>
    <row r="501" s="41" customFormat="1" ht="15.75" customHeight="1" x14ac:dyDescent="0.3"/>
    <row r="502" s="41" customFormat="1" ht="15.75" customHeight="1" x14ac:dyDescent="0.3"/>
    <row r="503" s="41" customFormat="1" ht="15.75" customHeight="1" x14ac:dyDescent="0.3"/>
    <row r="504" s="41" customFormat="1" ht="15.75" customHeight="1" x14ac:dyDescent="0.3"/>
    <row r="505" s="41" customFormat="1" ht="15.75" customHeight="1" x14ac:dyDescent="0.3"/>
    <row r="506" s="41" customFormat="1" ht="15.75" customHeight="1" x14ac:dyDescent="0.3"/>
    <row r="507" s="41" customFormat="1" ht="15.75" customHeight="1" x14ac:dyDescent="0.3"/>
    <row r="508" s="41" customFormat="1" ht="15.75" customHeight="1" x14ac:dyDescent="0.3"/>
    <row r="509" s="41" customFormat="1" ht="15.75" customHeight="1" x14ac:dyDescent="0.3"/>
    <row r="510" s="41" customFormat="1" ht="15.75" customHeight="1" x14ac:dyDescent="0.3"/>
    <row r="511" s="41" customFormat="1" ht="15.75" customHeight="1" x14ac:dyDescent="0.3"/>
    <row r="512" s="41" customFormat="1" ht="15.75" customHeight="1" x14ac:dyDescent="0.3"/>
    <row r="513" s="41" customFormat="1" ht="15.75" customHeight="1" x14ac:dyDescent="0.3"/>
    <row r="514" s="41" customFormat="1" ht="15.75" customHeight="1" x14ac:dyDescent="0.3"/>
    <row r="515" s="41" customFormat="1" ht="15.75" customHeight="1" x14ac:dyDescent="0.3"/>
    <row r="516" s="41" customFormat="1" ht="15.75" customHeight="1" x14ac:dyDescent="0.3"/>
    <row r="517" s="41" customFormat="1" ht="15.75" customHeight="1" x14ac:dyDescent="0.3"/>
    <row r="518" s="41" customFormat="1" ht="15.75" customHeight="1" x14ac:dyDescent="0.3"/>
    <row r="519" s="41" customFormat="1" ht="15.75" customHeight="1" x14ac:dyDescent="0.3"/>
    <row r="520" s="41" customFormat="1" ht="15.75" customHeight="1" x14ac:dyDescent="0.3"/>
    <row r="521" s="41" customFormat="1" ht="15.75" customHeight="1" x14ac:dyDescent="0.3"/>
    <row r="522" s="41" customFormat="1" ht="15.75" customHeight="1" x14ac:dyDescent="0.3"/>
    <row r="523" s="41" customFormat="1" ht="15.75" customHeight="1" x14ac:dyDescent="0.3"/>
    <row r="524" s="41" customFormat="1" ht="15.75" customHeight="1" x14ac:dyDescent="0.3"/>
    <row r="525" s="41" customFormat="1" ht="15.75" customHeight="1" x14ac:dyDescent="0.3"/>
    <row r="526" s="41" customFormat="1" ht="15.75" customHeight="1" x14ac:dyDescent="0.3"/>
    <row r="527" s="41" customFormat="1" ht="15.75" customHeight="1" x14ac:dyDescent="0.3"/>
    <row r="528" s="41" customFormat="1" ht="15.75" customHeight="1" x14ac:dyDescent="0.3"/>
    <row r="529" s="41" customFormat="1" ht="15.75" customHeight="1" x14ac:dyDescent="0.3"/>
    <row r="530" s="41" customFormat="1" ht="15.75" customHeight="1" x14ac:dyDescent="0.3"/>
    <row r="531" s="41" customFormat="1" ht="15.75" customHeight="1" x14ac:dyDescent="0.3"/>
    <row r="532" s="41" customFormat="1" ht="15.75" customHeight="1" x14ac:dyDescent="0.3"/>
    <row r="533" s="41" customFormat="1" ht="15.75" customHeight="1" x14ac:dyDescent="0.3"/>
    <row r="534" s="41" customFormat="1" ht="15.75" customHeight="1" x14ac:dyDescent="0.3"/>
    <row r="535" s="41" customFormat="1" ht="15.75" customHeight="1" x14ac:dyDescent="0.3"/>
    <row r="536" s="41" customFormat="1" ht="15.75" customHeight="1" x14ac:dyDescent="0.3"/>
    <row r="537" s="41" customFormat="1" ht="15.75" customHeight="1" x14ac:dyDescent="0.3"/>
    <row r="538" s="41" customFormat="1" ht="15.75" customHeight="1" x14ac:dyDescent="0.3"/>
    <row r="539" s="41" customFormat="1" ht="15.75" customHeight="1" x14ac:dyDescent="0.3"/>
    <row r="540" s="41" customFormat="1" ht="15.75" customHeight="1" x14ac:dyDescent="0.3"/>
    <row r="541" s="41" customFormat="1" ht="15.75" customHeight="1" x14ac:dyDescent="0.3"/>
    <row r="542" s="41" customFormat="1" ht="15.75" customHeight="1" x14ac:dyDescent="0.3"/>
    <row r="543" s="41" customFormat="1" ht="15.75" customHeight="1" x14ac:dyDescent="0.3"/>
    <row r="544" s="41" customFormat="1" ht="15.75" customHeight="1" x14ac:dyDescent="0.3"/>
    <row r="545" s="41" customFormat="1" ht="15.75" customHeight="1" x14ac:dyDescent="0.3"/>
    <row r="546" s="41" customFormat="1" ht="15.75" customHeight="1" x14ac:dyDescent="0.3"/>
    <row r="547" s="41" customFormat="1" ht="15.75" customHeight="1" x14ac:dyDescent="0.3"/>
    <row r="548" s="41" customFormat="1" ht="15.75" customHeight="1" x14ac:dyDescent="0.3"/>
    <row r="549" s="41" customFormat="1" ht="15.75" customHeight="1" x14ac:dyDescent="0.3"/>
    <row r="550" s="41" customFormat="1" ht="15.75" customHeight="1" x14ac:dyDescent="0.3"/>
    <row r="551" s="41" customFormat="1" ht="15.75" customHeight="1" x14ac:dyDescent="0.3"/>
    <row r="552" s="41" customFormat="1" ht="15.75" customHeight="1" x14ac:dyDescent="0.3"/>
    <row r="553" s="41" customFormat="1" ht="15.75" customHeight="1" x14ac:dyDescent="0.3"/>
    <row r="554" s="41" customFormat="1" ht="15.75" customHeight="1" x14ac:dyDescent="0.3"/>
    <row r="555" s="41" customFormat="1" ht="15.75" customHeight="1" x14ac:dyDescent="0.3"/>
    <row r="556" s="41" customFormat="1" ht="15.75" customHeight="1" x14ac:dyDescent="0.3"/>
    <row r="557" s="41" customFormat="1" ht="15.75" customHeight="1" x14ac:dyDescent="0.3"/>
    <row r="558" s="41" customFormat="1" ht="15.75" customHeight="1" x14ac:dyDescent="0.3"/>
    <row r="559" s="41" customFormat="1" ht="15.75" customHeight="1" x14ac:dyDescent="0.3"/>
    <row r="560" s="41" customFormat="1" ht="15.75" customHeight="1" x14ac:dyDescent="0.3"/>
    <row r="561" s="41" customFormat="1" ht="15.75" customHeight="1" x14ac:dyDescent="0.3"/>
    <row r="562" s="41" customFormat="1" ht="15.75" customHeight="1" x14ac:dyDescent="0.3"/>
    <row r="563" s="41" customFormat="1" ht="15.75" customHeight="1" x14ac:dyDescent="0.3"/>
    <row r="564" s="41" customFormat="1" ht="15.75" customHeight="1" x14ac:dyDescent="0.3"/>
    <row r="565" s="41" customFormat="1" ht="15.75" customHeight="1" x14ac:dyDescent="0.3"/>
    <row r="566" s="41" customFormat="1" ht="15.75" customHeight="1" x14ac:dyDescent="0.3"/>
    <row r="567" s="41" customFormat="1" ht="15.75" customHeight="1" x14ac:dyDescent="0.3"/>
    <row r="568" s="41" customFormat="1" ht="15.75" customHeight="1" x14ac:dyDescent="0.3"/>
    <row r="569" s="41" customFormat="1" ht="15.75" customHeight="1" x14ac:dyDescent="0.3"/>
    <row r="570" s="41" customFormat="1" ht="15.75" customHeight="1" x14ac:dyDescent="0.3"/>
    <row r="571" s="41" customFormat="1" ht="15.75" customHeight="1" x14ac:dyDescent="0.3"/>
    <row r="572" s="41" customFormat="1" ht="15.75" customHeight="1" x14ac:dyDescent="0.3"/>
    <row r="573" s="41" customFormat="1" ht="15.75" customHeight="1" x14ac:dyDescent="0.3"/>
    <row r="574" s="41" customFormat="1" ht="15.75" customHeight="1" x14ac:dyDescent="0.3"/>
    <row r="575" s="41" customFormat="1" ht="15.75" customHeight="1" x14ac:dyDescent="0.3"/>
    <row r="576" s="41" customFormat="1" ht="15.75" customHeight="1" x14ac:dyDescent="0.3"/>
    <row r="577" s="41" customFormat="1" ht="15.75" customHeight="1" x14ac:dyDescent="0.3"/>
    <row r="578" s="41" customFormat="1" ht="15.75" customHeight="1" x14ac:dyDescent="0.3"/>
    <row r="579" s="41" customFormat="1" ht="15.75" customHeight="1" x14ac:dyDescent="0.3"/>
    <row r="580" s="41" customFormat="1" ht="15.75" customHeight="1" x14ac:dyDescent="0.3"/>
    <row r="581" s="41" customFormat="1" ht="15.75" customHeight="1" x14ac:dyDescent="0.3"/>
    <row r="582" s="41" customFormat="1" ht="15.75" customHeight="1" x14ac:dyDescent="0.3"/>
    <row r="583" s="41" customFormat="1" ht="15.75" customHeight="1" x14ac:dyDescent="0.3"/>
    <row r="584" s="41" customFormat="1" ht="15.75" customHeight="1" x14ac:dyDescent="0.3"/>
    <row r="585" s="41" customFormat="1" ht="15.75" customHeight="1" x14ac:dyDescent="0.3"/>
    <row r="586" s="41" customFormat="1" ht="15.75" customHeight="1" x14ac:dyDescent="0.3"/>
    <row r="587" s="41" customFormat="1" ht="15.75" customHeight="1" x14ac:dyDescent="0.3"/>
    <row r="588" s="41" customFormat="1" ht="15.75" customHeight="1" x14ac:dyDescent="0.3"/>
    <row r="589" s="41" customFormat="1" ht="15.75" customHeight="1" x14ac:dyDescent="0.3"/>
    <row r="590" s="41" customFormat="1" ht="15.75" customHeight="1" x14ac:dyDescent="0.3"/>
    <row r="591" s="41" customFormat="1" ht="15.75" customHeight="1" x14ac:dyDescent="0.3"/>
    <row r="592" s="41" customFormat="1" ht="15.75" customHeight="1" x14ac:dyDescent="0.3"/>
    <row r="593" s="41" customFormat="1" ht="15.75" customHeight="1" x14ac:dyDescent="0.3"/>
    <row r="594" s="41" customFormat="1" ht="15.75" customHeight="1" x14ac:dyDescent="0.3"/>
    <row r="595" s="41" customFormat="1" ht="15.75" customHeight="1" x14ac:dyDescent="0.3"/>
    <row r="596" s="41" customFormat="1" ht="15.75" customHeight="1" x14ac:dyDescent="0.3"/>
    <row r="597" s="41" customFormat="1" ht="15.75" customHeight="1" x14ac:dyDescent="0.3"/>
    <row r="598" s="41" customFormat="1" ht="15.75" customHeight="1" x14ac:dyDescent="0.3"/>
    <row r="599" s="41" customFormat="1" ht="15.75" customHeight="1" x14ac:dyDescent="0.3"/>
    <row r="600" s="41" customFormat="1" ht="15.75" customHeight="1" x14ac:dyDescent="0.3"/>
    <row r="601" s="41" customFormat="1" ht="15.75" customHeight="1" x14ac:dyDescent="0.3"/>
    <row r="602" s="41" customFormat="1" ht="15.75" customHeight="1" x14ac:dyDescent="0.3"/>
    <row r="603" s="41" customFormat="1" ht="15.75" customHeight="1" x14ac:dyDescent="0.3"/>
    <row r="604" s="41" customFormat="1" ht="15.75" customHeight="1" x14ac:dyDescent="0.3"/>
    <row r="605" s="41" customFormat="1" ht="15.75" customHeight="1" x14ac:dyDescent="0.3"/>
    <row r="606" s="41" customFormat="1" ht="15.75" customHeight="1" x14ac:dyDescent="0.3"/>
    <row r="607" s="41" customFormat="1" ht="15.75" customHeight="1" x14ac:dyDescent="0.3"/>
    <row r="608" s="41" customFormat="1" ht="15.75" customHeight="1" x14ac:dyDescent="0.3"/>
    <row r="609" s="41" customFormat="1" ht="15.75" customHeight="1" x14ac:dyDescent="0.3"/>
    <row r="610" s="41" customFormat="1" ht="15.75" customHeight="1" x14ac:dyDescent="0.3"/>
    <row r="611" s="41" customFormat="1" ht="15.75" customHeight="1" x14ac:dyDescent="0.3"/>
    <row r="612" s="41" customFormat="1" ht="15.75" customHeight="1" x14ac:dyDescent="0.3"/>
    <row r="613" s="41" customFormat="1" ht="15.75" customHeight="1" x14ac:dyDescent="0.3"/>
    <row r="614" s="41" customFormat="1" ht="15.75" customHeight="1" x14ac:dyDescent="0.3"/>
    <row r="615" s="41" customFormat="1" ht="15.75" customHeight="1" x14ac:dyDescent="0.3"/>
    <row r="616" s="41" customFormat="1" ht="15.75" customHeight="1" x14ac:dyDescent="0.3"/>
    <row r="617" s="41" customFormat="1" ht="15.75" customHeight="1" x14ac:dyDescent="0.3"/>
    <row r="618" s="41" customFormat="1" ht="15.75" customHeight="1" x14ac:dyDescent="0.3"/>
    <row r="619" s="41" customFormat="1" ht="15.75" customHeight="1" x14ac:dyDescent="0.3"/>
    <row r="620" s="41" customFormat="1" ht="15.75" customHeight="1" x14ac:dyDescent="0.3"/>
    <row r="621" s="41" customFormat="1" ht="15.75" customHeight="1" x14ac:dyDescent="0.3"/>
    <row r="622" s="41" customFormat="1" ht="15.75" customHeight="1" x14ac:dyDescent="0.3"/>
    <row r="623" s="41" customFormat="1" ht="15.75" customHeight="1" x14ac:dyDescent="0.3"/>
    <row r="624" s="41" customFormat="1" ht="15.75" customHeight="1" x14ac:dyDescent="0.3"/>
    <row r="625" s="41" customFormat="1" ht="15.75" customHeight="1" x14ac:dyDescent="0.3"/>
    <row r="626" s="41" customFormat="1" ht="15.75" customHeight="1" x14ac:dyDescent="0.3"/>
    <row r="627" s="41" customFormat="1" ht="15.75" customHeight="1" x14ac:dyDescent="0.3"/>
    <row r="628" s="41" customFormat="1" ht="15.75" customHeight="1" x14ac:dyDescent="0.3"/>
    <row r="629" s="41" customFormat="1" ht="15.75" customHeight="1" x14ac:dyDescent="0.3"/>
    <row r="630" s="41" customFormat="1" ht="15.75" customHeight="1" x14ac:dyDescent="0.3"/>
    <row r="631" s="41" customFormat="1" ht="15.75" customHeight="1" x14ac:dyDescent="0.3"/>
    <row r="632" s="41" customFormat="1" ht="15.75" customHeight="1" x14ac:dyDescent="0.3"/>
    <row r="633" s="41" customFormat="1" ht="15.75" customHeight="1" x14ac:dyDescent="0.3"/>
    <row r="634" s="41" customFormat="1" ht="15.75" customHeight="1" x14ac:dyDescent="0.3"/>
    <row r="635" s="41" customFormat="1" ht="15.75" customHeight="1" x14ac:dyDescent="0.3"/>
    <row r="636" s="41" customFormat="1" ht="15.75" customHeight="1" x14ac:dyDescent="0.3"/>
    <row r="637" s="41" customFormat="1" ht="15.75" customHeight="1" x14ac:dyDescent="0.3"/>
    <row r="638" s="41" customFormat="1" ht="15.75" customHeight="1" x14ac:dyDescent="0.3"/>
    <row r="639" s="41" customFormat="1" ht="15.75" customHeight="1" x14ac:dyDescent="0.3"/>
    <row r="640" s="41" customFormat="1" ht="15.75" customHeight="1" x14ac:dyDescent="0.3"/>
    <row r="641" s="41" customFormat="1" ht="15.75" customHeight="1" x14ac:dyDescent="0.3"/>
    <row r="642" s="41" customFormat="1" ht="15.75" customHeight="1" x14ac:dyDescent="0.3"/>
    <row r="643" s="41" customFormat="1" ht="15.75" customHeight="1" x14ac:dyDescent="0.3"/>
    <row r="644" s="41" customFormat="1" ht="15.75" customHeight="1" x14ac:dyDescent="0.3"/>
    <row r="645" s="41" customFormat="1" ht="15.75" customHeight="1" x14ac:dyDescent="0.3"/>
    <row r="646" s="41" customFormat="1" ht="15.75" customHeight="1" x14ac:dyDescent="0.3"/>
    <row r="647" s="41" customFormat="1" ht="15.75" customHeight="1" x14ac:dyDescent="0.3"/>
    <row r="648" s="41" customFormat="1" ht="15.75" customHeight="1" x14ac:dyDescent="0.3"/>
    <row r="649" s="41" customFormat="1" ht="15.75" customHeight="1" x14ac:dyDescent="0.3"/>
    <row r="650" s="41" customFormat="1" ht="15.75" customHeight="1" x14ac:dyDescent="0.3"/>
    <row r="651" s="41" customFormat="1" ht="15.75" customHeight="1" x14ac:dyDescent="0.3"/>
    <row r="652" s="41" customFormat="1" ht="15.75" customHeight="1" x14ac:dyDescent="0.3"/>
    <row r="653" s="41" customFormat="1" ht="15.75" customHeight="1" x14ac:dyDescent="0.3"/>
    <row r="654" s="41" customFormat="1" ht="15.75" customHeight="1" x14ac:dyDescent="0.3"/>
    <row r="655" s="41" customFormat="1" ht="15.75" customHeight="1" x14ac:dyDescent="0.3"/>
    <row r="656" s="41" customFormat="1" ht="15.75" customHeight="1" x14ac:dyDescent="0.3"/>
    <row r="657" s="41" customFormat="1" ht="15.75" customHeight="1" x14ac:dyDescent="0.3"/>
    <row r="658" s="41" customFormat="1" ht="15.75" customHeight="1" x14ac:dyDescent="0.3"/>
    <row r="659" s="41" customFormat="1" ht="15.75" customHeight="1" x14ac:dyDescent="0.3"/>
    <row r="660" s="41" customFormat="1" ht="15.75" customHeight="1" x14ac:dyDescent="0.3"/>
    <row r="661" s="41" customFormat="1" ht="15.75" customHeight="1" x14ac:dyDescent="0.3"/>
    <row r="662" s="41" customFormat="1" ht="15.75" customHeight="1" x14ac:dyDescent="0.3"/>
    <row r="663" s="41" customFormat="1" ht="15.75" customHeight="1" x14ac:dyDescent="0.3"/>
    <row r="664" s="41" customFormat="1" ht="15.75" customHeight="1" x14ac:dyDescent="0.3"/>
    <row r="665" s="41" customFormat="1" ht="15.75" customHeight="1" x14ac:dyDescent="0.3"/>
    <row r="666" s="41" customFormat="1" ht="15.75" customHeight="1" x14ac:dyDescent="0.3"/>
    <row r="667" s="41" customFormat="1" ht="15.75" customHeight="1" x14ac:dyDescent="0.3"/>
    <row r="668" s="41" customFormat="1" ht="15.75" customHeight="1" x14ac:dyDescent="0.3"/>
    <row r="669" s="41" customFormat="1" ht="15.75" customHeight="1" x14ac:dyDescent="0.3"/>
    <row r="670" s="41" customFormat="1" ht="15.75" customHeight="1" x14ac:dyDescent="0.3"/>
    <row r="671" s="41" customFormat="1" ht="15.75" customHeight="1" x14ac:dyDescent="0.3"/>
    <row r="672" s="41" customFormat="1" ht="15.75" customHeight="1" x14ac:dyDescent="0.3"/>
    <row r="673" s="41" customFormat="1" ht="15.75" customHeight="1" x14ac:dyDescent="0.3"/>
    <row r="674" s="41" customFormat="1" ht="15.75" customHeight="1" x14ac:dyDescent="0.3"/>
    <row r="675" s="41" customFormat="1" ht="15.75" customHeight="1" x14ac:dyDescent="0.3"/>
    <row r="676" s="41" customFormat="1" ht="15.75" customHeight="1" x14ac:dyDescent="0.3"/>
    <row r="677" s="41" customFormat="1" ht="15.75" customHeight="1" x14ac:dyDescent="0.3"/>
    <row r="678" s="41" customFormat="1" ht="15.75" customHeight="1" x14ac:dyDescent="0.3"/>
    <row r="679" s="41" customFormat="1" ht="15.75" customHeight="1" x14ac:dyDescent="0.3"/>
    <row r="680" s="41" customFormat="1" ht="15.75" customHeight="1" x14ac:dyDescent="0.3"/>
    <row r="681" s="41" customFormat="1" ht="15.75" customHeight="1" x14ac:dyDescent="0.3"/>
    <row r="682" s="41" customFormat="1" ht="15.75" customHeight="1" x14ac:dyDescent="0.3"/>
    <row r="683" s="41" customFormat="1" ht="15.75" customHeight="1" x14ac:dyDescent="0.3"/>
    <row r="684" s="41" customFormat="1" ht="15.75" customHeight="1" x14ac:dyDescent="0.3"/>
    <row r="685" s="41" customFormat="1" ht="15.75" customHeight="1" x14ac:dyDescent="0.3"/>
    <row r="686" s="41" customFormat="1" ht="15.75" customHeight="1" x14ac:dyDescent="0.3"/>
    <row r="687" s="41" customFormat="1" ht="15.75" customHeight="1" x14ac:dyDescent="0.3"/>
    <row r="688" s="41" customFormat="1" ht="15.75" customHeight="1" x14ac:dyDescent="0.3"/>
    <row r="689" s="41" customFormat="1" ht="15.75" customHeight="1" x14ac:dyDescent="0.3"/>
    <row r="690" s="41" customFormat="1" ht="15.75" customHeight="1" x14ac:dyDescent="0.3"/>
    <row r="691" s="41" customFormat="1" ht="15.75" customHeight="1" x14ac:dyDescent="0.3"/>
    <row r="692" s="41" customFormat="1" ht="15.75" customHeight="1" x14ac:dyDescent="0.3"/>
    <row r="693" s="41" customFormat="1" ht="15.75" customHeight="1" x14ac:dyDescent="0.3"/>
    <row r="694" s="41" customFormat="1" ht="15.75" customHeight="1" x14ac:dyDescent="0.3"/>
    <row r="695" s="41" customFormat="1" ht="15.75" customHeight="1" x14ac:dyDescent="0.3"/>
    <row r="696" s="41" customFormat="1" ht="15.75" customHeight="1" x14ac:dyDescent="0.3"/>
    <row r="697" s="41" customFormat="1" ht="15.75" customHeight="1" x14ac:dyDescent="0.3"/>
    <row r="698" s="41" customFormat="1" ht="15.75" customHeight="1" x14ac:dyDescent="0.3"/>
    <row r="699" s="41" customFormat="1" ht="15.75" customHeight="1" x14ac:dyDescent="0.3"/>
    <row r="700" s="41" customFormat="1" ht="15.75" customHeight="1" x14ac:dyDescent="0.3"/>
    <row r="701" s="41" customFormat="1" ht="15.75" customHeight="1" x14ac:dyDescent="0.3"/>
    <row r="702" s="41" customFormat="1" ht="15.75" customHeight="1" x14ac:dyDescent="0.3"/>
    <row r="703" s="41" customFormat="1" ht="15.75" customHeight="1" x14ac:dyDescent="0.3"/>
    <row r="704" s="41" customFormat="1" ht="15.75" customHeight="1" x14ac:dyDescent="0.3"/>
    <row r="705" s="41" customFormat="1" ht="15.75" customHeight="1" x14ac:dyDescent="0.3"/>
    <row r="706" s="41" customFormat="1" ht="15.75" customHeight="1" x14ac:dyDescent="0.3"/>
    <row r="707" s="41" customFormat="1" ht="15.75" customHeight="1" x14ac:dyDescent="0.3"/>
    <row r="708" s="41" customFormat="1" ht="15.75" customHeight="1" x14ac:dyDescent="0.3"/>
    <row r="709" s="41" customFormat="1" ht="15.75" customHeight="1" x14ac:dyDescent="0.3"/>
    <row r="710" s="41" customFormat="1" ht="15.75" customHeight="1" x14ac:dyDescent="0.3"/>
    <row r="711" s="41" customFormat="1" ht="15.75" customHeight="1" x14ac:dyDescent="0.3"/>
    <row r="712" s="41" customFormat="1" ht="15.75" customHeight="1" x14ac:dyDescent="0.3"/>
    <row r="713" s="41" customFormat="1" ht="15.75" customHeight="1" x14ac:dyDescent="0.3"/>
    <row r="714" s="41" customFormat="1" ht="15.75" customHeight="1" x14ac:dyDescent="0.3"/>
    <row r="715" s="41" customFormat="1" ht="15.75" customHeight="1" x14ac:dyDescent="0.3"/>
    <row r="716" s="41" customFormat="1" ht="15.75" customHeight="1" x14ac:dyDescent="0.3"/>
    <row r="717" s="41" customFormat="1" ht="15.75" customHeight="1" x14ac:dyDescent="0.3"/>
    <row r="718" s="41" customFormat="1" ht="15.75" customHeight="1" x14ac:dyDescent="0.3"/>
    <row r="719" s="41" customFormat="1" ht="15.75" customHeight="1" x14ac:dyDescent="0.3"/>
    <row r="720" s="41" customFormat="1" ht="15.75" customHeight="1" x14ac:dyDescent="0.3"/>
    <row r="721" s="41" customFormat="1" ht="15.75" customHeight="1" x14ac:dyDescent="0.3"/>
    <row r="722" s="41" customFormat="1" ht="15.75" customHeight="1" x14ac:dyDescent="0.3"/>
    <row r="723" s="41" customFormat="1" ht="15.75" customHeight="1" x14ac:dyDescent="0.3"/>
    <row r="724" s="41" customFormat="1" ht="15.75" customHeight="1" x14ac:dyDescent="0.3"/>
    <row r="725" s="41" customFormat="1" ht="15.75" customHeight="1" x14ac:dyDescent="0.3"/>
    <row r="726" s="41" customFormat="1" ht="15.75" customHeight="1" x14ac:dyDescent="0.3"/>
    <row r="727" s="41" customFormat="1" ht="15.75" customHeight="1" x14ac:dyDescent="0.3"/>
    <row r="728" s="41" customFormat="1" ht="15.75" customHeight="1" x14ac:dyDescent="0.3"/>
    <row r="729" s="41" customFormat="1" ht="15.75" customHeight="1" x14ac:dyDescent="0.3"/>
    <row r="730" s="41" customFormat="1" ht="15.75" customHeight="1" x14ac:dyDescent="0.3"/>
    <row r="731" s="41" customFormat="1" ht="15.75" customHeight="1" x14ac:dyDescent="0.3"/>
    <row r="732" s="41" customFormat="1" ht="15.75" customHeight="1" x14ac:dyDescent="0.3"/>
    <row r="733" s="41" customFormat="1" ht="15.75" customHeight="1" x14ac:dyDescent="0.3"/>
    <row r="734" s="41" customFormat="1" ht="15.75" customHeight="1" x14ac:dyDescent="0.3"/>
    <row r="735" s="41" customFormat="1" ht="15.75" customHeight="1" x14ac:dyDescent="0.3"/>
    <row r="736" s="41" customFormat="1" ht="15.75" customHeight="1" x14ac:dyDescent="0.3"/>
    <row r="737" s="41" customFormat="1" ht="15.75" customHeight="1" x14ac:dyDescent="0.3"/>
    <row r="738" s="41" customFormat="1" ht="15.75" customHeight="1" x14ac:dyDescent="0.3"/>
    <row r="739" s="41" customFormat="1" ht="15.75" customHeight="1" x14ac:dyDescent="0.3"/>
    <row r="740" s="41" customFormat="1" ht="15.75" customHeight="1" x14ac:dyDescent="0.3"/>
    <row r="741" s="41" customFormat="1" ht="15.75" customHeight="1" x14ac:dyDescent="0.3"/>
    <row r="742" s="41" customFormat="1" ht="15.75" customHeight="1" x14ac:dyDescent="0.3"/>
    <row r="743" s="41" customFormat="1" ht="15.75" customHeight="1" x14ac:dyDescent="0.3"/>
    <row r="744" s="41" customFormat="1" ht="15.75" customHeight="1" x14ac:dyDescent="0.3"/>
    <row r="745" s="41" customFormat="1" ht="15.75" customHeight="1" x14ac:dyDescent="0.3"/>
    <row r="746" s="41" customFormat="1" ht="15.75" customHeight="1" x14ac:dyDescent="0.3"/>
    <row r="747" s="41" customFormat="1" ht="15.75" customHeight="1" x14ac:dyDescent="0.3"/>
    <row r="748" s="41" customFormat="1" ht="15.75" customHeight="1" x14ac:dyDescent="0.3"/>
    <row r="749" s="41" customFormat="1" ht="15.75" customHeight="1" x14ac:dyDescent="0.3"/>
    <row r="750" s="41" customFormat="1" ht="15.75" customHeight="1" x14ac:dyDescent="0.3"/>
    <row r="751" s="41" customFormat="1" ht="15.75" customHeight="1" x14ac:dyDescent="0.3"/>
    <row r="752" s="41" customFormat="1" ht="15.75" customHeight="1" x14ac:dyDescent="0.3"/>
    <row r="753" s="41" customFormat="1" ht="15.75" customHeight="1" x14ac:dyDescent="0.3"/>
    <row r="754" s="41" customFormat="1" ht="15.75" customHeight="1" x14ac:dyDescent="0.3"/>
    <row r="755" s="41" customFormat="1" ht="15.75" customHeight="1" x14ac:dyDescent="0.3"/>
    <row r="756" s="41" customFormat="1" ht="15.75" customHeight="1" x14ac:dyDescent="0.3"/>
    <row r="757" s="41" customFormat="1" ht="15.75" customHeight="1" x14ac:dyDescent="0.3"/>
    <row r="758" s="41" customFormat="1" ht="15.75" customHeight="1" x14ac:dyDescent="0.3"/>
    <row r="759" s="41" customFormat="1" ht="15.75" customHeight="1" x14ac:dyDescent="0.3"/>
    <row r="760" s="41" customFormat="1" ht="15.75" customHeight="1" x14ac:dyDescent="0.3"/>
    <row r="761" s="41" customFormat="1" ht="15.75" customHeight="1" x14ac:dyDescent="0.3"/>
    <row r="762" s="41" customFormat="1" ht="15.75" customHeight="1" x14ac:dyDescent="0.3"/>
    <row r="763" s="41" customFormat="1" ht="15.75" customHeight="1" x14ac:dyDescent="0.3"/>
    <row r="764" s="41" customFormat="1" ht="15.75" customHeight="1" x14ac:dyDescent="0.3"/>
    <row r="765" s="41" customFormat="1" ht="15.75" customHeight="1" x14ac:dyDescent="0.3"/>
    <row r="766" s="41" customFormat="1" ht="15.75" customHeight="1" x14ac:dyDescent="0.3"/>
    <row r="767" s="41" customFormat="1" ht="15.75" customHeight="1" x14ac:dyDescent="0.3"/>
    <row r="768" s="41" customFormat="1" ht="15.75" customHeight="1" x14ac:dyDescent="0.3"/>
    <row r="769" s="41" customFormat="1" ht="15.75" customHeight="1" x14ac:dyDescent="0.3"/>
    <row r="770" s="41" customFormat="1" ht="15.75" customHeight="1" x14ac:dyDescent="0.3"/>
    <row r="771" s="41" customFormat="1" ht="15.75" customHeight="1" x14ac:dyDescent="0.3"/>
    <row r="772" s="41" customFormat="1" ht="15.75" customHeight="1" x14ac:dyDescent="0.3"/>
    <row r="773" s="41" customFormat="1" ht="15.75" customHeight="1" x14ac:dyDescent="0.3"/>
    <row r="774" s="41" customFormat="1" ht="15.75" customHeight="1" x14ac:dyDescent="0.3"/>
    <row r="775" s="41" customFormat="1" ht="15.75" customHeight="1" x14ac:dyDescent="0.3"/>
    <row r="776" s="41" customFormat="1" ht="15.75" customHeight="1" x14ac:dyDescent="0.3"/>
    <row r="777" s="41" customFormat="1" ht="15.75" customHeight="1" x14ac:dyDescent="0.3"/>
    <row r="778" s="41" customFormat="1" ht="15.75" customHeight="1" x14ac:dyDescent="0.3"/>
    <row r="779" s="41" customFormat="1" ht="15.75" customHeight="1" x14ac:dyDescent="0.3"/>
    <row r="780" s="41" customFormat="1" ht="15.75" customHeight="1" x14ac:dyDescent="0.3"/>
    <row r="781" s="41" customFormat="1" ht="15.75" customHeight="1" x14ac:dyDescent="0.3"/>
    <row r="782" s="41" customFormat="1" ht="15.75" customHeight="1" x14ac:dyDescent="0.3"/>
    <row r="783" s="41" customFormat="1" ht="15.75" customHeight="1" x14ac:dyDescent="0.3"/>
    <row r="784" s="41" customFormat="1" ht="15.75" customHeight="1" x14ac:dyDescent="0.3"/>
    <row r="785" s="41" customFormat="1" ht="15.75" customHeight="1" x14ac:dyDescent="0.3"/>
    <row r="786" s="41" customFormat="1" ht="15.75" customHeight="1" x14ac:dyDescent="0.3"/>
    <row r="787" s="41" customFormat="1" ht="15.75" customHeight="1" x14ac:dyDescent="0.3"/>
    <row r="788" s="41" customFormat="1" ht="15.75" customHeight="1" x14ac:dyDescent="0.3"/>
    <row r="789" s="41" customFormat="1" ht="15.75" customHeight="1" x14ac:dyDescent="0.3"/>
    <row r="790" s="41" customFormat="1" ht="15.75" customHeight="1" x14ac:dyDescent="0.3"/>
    <row r="791" s="41" customFormat="1" ht="15.75" customHeight="1" x14ac:dyDescent="0.3"/>
    <row r="792" s="41" customFormat="1" ht="15.75" customHeight="1" x14ac:dyDescent="0.3"/>
    <row r="793" s="41" customFormat="1" ht="15.75" customHeight="1" x14ac:dyDescent="0.3"/>
    <row r="794" s="41" customFormat="1" ht="15.75" customHeight="1" x14ac:dyDescent="0.3"/>
    <row r="795" s="41" customFormat="1" ht="15.75" customHeight="1" x14ac:dyDescent="0.3"/>
    <row r="796" s="41" customFormat="1" ht="15.75" customHeight="1" x14ac:dyDescent="0.3"/>
    <row r="797" s="41" customFormat="1" ht="15.75" customHeight="1" x14ac:dyDescent="0.3"/>
    <row r="798" s="41" customFormat="1" ht="15.75" customHeight="1" x14ac:dyDescent="0.3"/>
    <row r="799" s="41" customFormat="1" ht="15.75" customHeight="1" x14ac:dyDescent="0.3"/>
    <row r="800" s="41" customFormat="1" ht="15.75" customHeight="1" x14ac:dyDescent="0.3"/>
    <row r="801" s="41" customFormat="1" ht="15.75" customHeight="1" x14ac:dyDescent="0.3"/>
    <row r="802" s="41" customFormat="1" ht="15.75" customHeight="1" x14ac:dyDescent="0.3"/>
    <row r="803" s="41" customFormat="1" ht="15.75" customHeight="1" x14ac:dyDescent="0.3"/>
    <row r="804" s="41" customFormat="1" ht="15.75" customHeight="1" x14ac:dyDescent="0.3"/>
    <row r="805" s="41" customFormat="1" ht="15.75" customHeight="1" x14ac:dyDescent="0.3"/>
    <row r="806" s="41" customFormat="1" ht="15.75" customHeight="1" x14ac:dyDescent="0.3"/>
    <row r="807" s="41" customFormat="1" ht="15.75" customHeight="1" x14ac:dyDescent="0.3"/>
    <row r="808" s="41" customFormat="1" ht="15.75" customHeight="1" x14ac:dyDescent="0.3"/>
    <row r="809" s="41" customFormat="1" ht="15.75" customHeight="1" x14ac:dyDescent="0.3"/>
    <row r="810" s="41" customFormat="1" ht="15.75" customHeight="1" x14ac:dyDescent="0.3"/>
    <row r="811" s="41" customFormat="1" ht="15.75" customHeight="1" x14ac:dyDescent="0.3"/>
    <row r="812" s="41" customFormat="1" ht="15.75" customHeight="1" x14ac:dyDescent="0.3"/>
    <row r="813" s="41" customFormat="1" ht="15.75" customHeight="1" x14ac:dyDescent="0.3"/>
    <row r="814" s="41" customFormat="1" ht="15.75" customHeight="1" x14ac:dyDescent="0.3"/>
    <row r="815" s="41" customFormat="1" ht="15.75" customHeight="1" x14ac:dyDescent="0.3"/>
    <row r="816" s="41" customFormat="1" ht="15.75" customHeight="1" x14ac:dyDescent="0.3"/>
    <row r="817" s="41" customFormat="1" ht="15.75" customHeight="1" x14ac:dyDescent="0.3"/>
    <row r="818" s="41" customFormat="1" ht="15.75" customHeight="1" x14ac:dyDescent="0.3"/>
    <row r="819" s="41" customFormat="1" ht="15.75" customHeight="1" x14ac:dyDescent="0.3"/>
    <row r="820" s="41" customFormat="1" ht="15.75" customHeight="1" x14ac:dyDescent="0.3"/>
    <row r="821" s="41" customFormat="1" ht="15.75" customHeight="1" x14ac:dyDescent="0.3"/>
    <row r="822" s="41" customFormat="1" ht="15.75" customHeight="1" x14ac:dyDescent="0.3"/>
    <row r="823" s="41" customFormat="1" ht="15.75" customHeight="1" x14ac:dyDescent="0.3"/>
    <row r="824" s="41" customFormat="1" ht="15.75" customHeight="1" x14ac:dyDescent="0.3"/>
    <row r="825" s="41" customFormat="1" ht="15.75" customHeight="1" x14ac:dyDescent="0.3"/>
    <row r="826" s="41" customFormat="1" ht="15.75" customHeight="1" x14ac:dyDescent="0.3"/>
    <row r="827" s="41" customFormat="1" ht="15.75" customHeight="1" x14ac:dyDescent="0.3"/>
    <row r="828" s="41" customFormat="1" ht="15.75" customHeight="1" x14ac:dyDescent="0.3"/>
    <row r="829" s="41" customFormat="1" ht="15.75" customHeight="1" x14ac:dyDescent="0.3"/>
    <row r="830" s="41" customFormat="1" ht="15.75" customHeight="1" x14ac:dyDescent="0.3"/>
    <row r="831" s="41" customFormat="1" ht="15.75" customHeight="1" x14ac:dyDescent="0.3"/>
    <row r="832" s="41" customFormat="1" ht="15.75" customHeight="1" x14ac:dyDescent="0.3"/>
    <row r="833" s="41" customFormat="1" ht="15.75" customHeight="1" x14ac:dyDescent="0.3"/>
    <row r="834" s="41" customFormat="1" ht="15.75" customHeight="1" x14ac:dyDescent="0.3"/>
    <row r="835" s="41" customFormat="1" ht="15.75" customHeight="1" x14ac:dyDescent="0.3"/>
    <row r="836" s="41" customFormat="1" ht="15.75" customHeight="1" x14ac:dyDescent="0.3"/>
    <row r="837" s="41" customFormat="1" ht="15.75" customHeight="1" x14ac:dyDescent="0.3"/>
    <row r="838" s="41" customFormat="1" ht="15.75" customHeight="1" x14ac:dyDescent="0.3"/>
    <row r="839" s="41" customFormat="1" ht="15.75" customHeight="1" x14ac:dyDescent="0.3"/>
    <row r="840" s="41" customFormat="1" ht="15.75" customHeight="1" x14ac:dyDescent="0.3"/>
    <row r="841" s="41" customFormat="1" ht="15.75" customHeight="1" x14ac:dyDescent="0.3"/>
    <row r="842" s="41" customFormat="1" ht="15.75" customHeight="1" x14ac:dyDescent="0.3"/>
    <row r="843" s="41" customFormat="1" ht="15.75" customHeight="1" x14ac:dyDescent="0.3"/>
    <row r="844" s="41" customFormat="1" ht="15.75" customHeight="1" x14ac:dyDescent="0.3"/>
    <row r="845" s="41" customFormat="1" ht="15.75" customHeight="1" x14ac:dyDescent="0.3"/>
    <row r="846" s="41" customFormat="1" ht="15.75" customHeight="1" x14ac:dyDescent="0.3"/>
    <row r="847" s="41" customFormat="1" ht="15.75" customHeight="1" x14ac:dyDescent="0.3"/>
    <row r="848" s="41" customFormat="1" ht="15.75" customHeight="1" x14ac:dyDescent="0.3"/>
    <row r="849" s="41" customFormat="1" ht="15.75" customHeight="1" x14ac:dyDescent="0.3"/>
    <row r="850" s="41" customFormat="1" ht="15.75" customHeight="1" x14ac:dyDescent="0.3"/>
    <row r="851" s="41" customFormat="1" ht="15.75" customHeight="1" x14ac:dyDescent="0.3"/>
    <row r="852" s="41" customFormat="1" ht="15.75" customHeight="1" x14ac:dyDescent="0.3"/>
    <row r="853" s="41" customFormat="1" ht="15.75" customHeight="1" x14ac:dyDescent="0.3"/>
    <row r="854" s="41" customFormat="1" ht="15.75" customHeight="1" x14ac:dyDescent="0.3"/>
    <row r="855" s="41" customFormat="1" ht="15.75" customHeight="1" x14ac:dyDescent="0.3"/>
    <row r="856" s="41" customFormat="1" ht="15.75" customHeight="1" x14ac:dyDescent="0.3"/>
    <row r="857" s="41" customFormat="1" ht="15.75" customHeight="1" x14ac:dyDescent="0.3"/>
    <row r="858" s="41" customFormat="1" ht="15.75" customHeight="1" x14ac:dyDescent="0.3"/>
    <row r="859" s="41" customFormat="1" ht="15.75" customHeight="1" x14ac:dyDescent="0.3"/>
    <row r="860" s="41" customFormat="1" ht="15.75" customHeight="1" x14ac:dyDescent="0.3"/>
    <row r="861" s="41" customFormat="1" ht="15.75" customHeight="1" x14ac:dyDescent="0.3"/>
    <row r="862" s="41" customFormat="1" ht="15.75" customHeight="1" x14ac:dyDescent="0.3"/>
    <row r="863" s="41" customFormat="1" ht="15.75" customHeight="1" x14ac:dyDescent="0.3"/>
    <row r="864" s="41" customFormat="1" ht="15.75" customHeight="1" x14ac:dyDescent="0.3"/>
    <row r="865" s="41" customFormat="1" ht="15.75" customHeight="1" x14ac:dyDescent="0.3"/>
    <row r="866" s="41" customFormat="1" ht="15.75" customHeight="1" x14ac:dyDescent="0.3"/>
    <row r="867" s="41" customFormat="1" ht="15.75" customHeight="1" x14ac:dyDescent="0.3"/>
    <row r="868" s="41" customFormat="1" ht="15.75" customHeight="1" x14ac:dyDescent="0.3"/>
    <row r="869" s="41" customFormat="1" ht="15.75" customHeight="1" x14ac:dyDescent="0.3"/>
    <row r="870" s="41" customFormat="1" ht="15.75" customHeight="1" x14ac:dyDescent="0.3"/>
    <row r="871" s="41" customFormat="1" ht="15.75" customHeight="1" x14ac:dyDescent="0.3"/>
    <row r="872" s="41" customFormat="1" ht="15.75" customHeight="1" x14ac:dyDescent="0.3"/>
    <row r="873" s="41" customFormat="1" ht="15.75" customHeight="1" x14ac:dyDescent="0.3"/>
    <row r="874" s="41" customFormat="1" ht="15.75" customHeight="1" x14ac:dyDescent="0.3"/>
    <row r="875" s="41" customFormat="1" ht="15.75" customHeight="1" x14ac:dyDescent="0.3"/>
    <row r="876" s="41" customFormat="1" ht="15.75" customHeight="1" x14ac:dyDescent="0.3"/>
    <row r="877" s="41" customFormat="1" ht="15.75" customHeight="1" x14ac:dyDescent="0.3"/>
    <row r="878" s="41" customFormat="1" ht="15.75" customHeight="1" x14ac:dyDescent="0.3"/>
    <row r="879" s="41" customFormat="1" ht="15.75" customHeight="1" x14ac:dyDescent="0.3"/>
    <row r="880" s="41" customFormat="1" ht="15.75" customHeight="1" x14ac:dyDescent="0.3"/>
    <row r="881" s="41" customFormat="1" ht="15.75" customHeight="1" x14ac:dyDescent="0.3"/>
    <row r="882" s="41" customFormat="1" ht="15.75" customHeight="1" x14ac:dyDescent="0.3"/>
    <row r="883" s="41" customFormat="1" ht="15.75" customHeight="1" x14ac:dyDescent="0.3"/>
    <row r="884" s="41" customFormat="1" ht="15.75" customHeight="1" x14ac:dyDescent="0.3"/>
    <row r="885" s="41" customFormat="1" ht="15.75" customHeight="1" x14ac:dyDescent="0.3"/>
    <row r="886" s="41" customFormat="1" ht="15.75" customHeight="1" x14ac:dyDescent="0.3"/>
    <row r="887" s="41" customFormat="1" ht="15.75" customHeight="1" x14ac:dyDescent="0.3"/>
    <row r="888" s="41" customFormat="1" ht="15.75" customHeight="1" x14ac:dyDescent="0.3"/>
    <row r="889" s="41" customFormat="1" ht="15.75" customHeight="1" x14ac:dyDescent="0.3"/>
    <row r="890" s="41" customFormat="1" ht="15.75" customHeight="1" x14ac:dyDescent="0.3"/>
    <row r="891" s="41" customFormat="1" ht="15.75" customHeight="1" x14ac:dyDescent="0.3"/>
    <row r="892" s="41" customFormat="1" ht="15.75" customHeight="1" x14ac:dyDescent="0.3"/>
    <row r="893" s="41" customFormat="1" ht="15.75" customHeight="1" x14ac:dyDescent="0.3"/>
    <row r="894" s="41" customFormat="1" ht="15.75" customHeight="1" x14ac:dyDescent="0.3"/>
    <row r="895" s="41" customFormat="1" ht="15.75" customHeight="1" x14ac:dyDescent="0.3"/>
    <row r="896" s="41" customFormat="1" ht="15.75" customHeight="1" x14ac:dyDescent="0.3"/>
    <row r="897" s="41" customFormat="1" ht="15.75" customHeight="1" x14ac:dyDescent="0.3"/>
    <row r="898" s="41" customFormat="1" ht="15.75" customHeight="1" x14ac:dyDescent="0.3"/>
    <row r="899" s="41" customFormat="1" ht="15.75" customHeight="1" x14ac:dyDescent="0.3"/>
    <row r="900" s="41" customFormat="1" ht="15.75" customHeight="1" x14ac:dyDescent="0.3"/>
    <row r="901" s="41" customFormat="1" ht="15.75" customHeight="1" x14ac:dyDescent="0.3"/>
    <row r="902" s="41" customFormat="1" ht="15.75" customHeight="1" x14ac:dyDescent="0.3"/>
    <row r="903" s="41" customFormat="1" ht="15.75" customHeight="1" x14ac:dyDescent="0.3"/>
    <row r="904" s="41" customFormat="1" ht="15.75" customHeight="1" x14ac:dyDescent="0.3"/>
    <row r="905" s="41" customFormat="1" ht="15.75" customHeight="1" x14ac:dyDescent="0.3"/>
    <row r="906" s="41" customFormat="1" ht="15.75" customHeight="1" x14ac:dyDescent="0.3"/>
    <row r="907" s="41" customFormat="1" ht="15.75" customHeight="1" x14ac:dyDescent="0.3"/>
    <row r="908" s="41" customFormat="1" ht="15.75" customHeight="1" x14ac:dyDescent="0.3"/>
    <row r="909" s="41" customFormat="1" ht="15.75" customHeight="1" x14ac:dyDescent="0.3"/>
    <row r="910" s="41" customFormat="1" ht="15.75" customHeight="1" x14ac:dyDescent="0.3"/>
    <row r="911" s="41" customFormat="1" ht="15.75" customHeight="1" x14ac:dyDescent="0.3"/>
    <row r="912" s="41" customFormat="1" ht="15.75" customHeight="1" x14ac:dyDescent="0.3"/>
    <row r="913" s="41" customFormat="1" ht="15.75" customHeight="1" x14ac:dyDescent="0.3"/>
    <row r="914" s="41" customFormat="1" ht="15.75" customHeight="1" x14ac:dyDescent="0.3"/>
    <row r="915" s="41" customFormat="1" ht="15.75" customHeight="1" x14ac:dyDescent="0.3"/>
    <row r="916" s="41" customFormat="1" ht="15.75" customHeight="1" x14ac:dyDescent="0.3"/>
    <row r="917" s="41" customFormat="1" ht="15.75" customHeight="1" x14ac:dyDescent="0.3"/>
    <row r="918" s="41" customFormat="1" ht="15.75" customHeight="1" x14ac:dyDescent="0.3"/>
    <row r="919" s="41" customFormat="1" ht="15.75" customHeight="1" x14ac:dyDescent="0.3"/>
    <row r="920" s="41" customFormat="1" ht="15.75" customHeight="1" x14ac:dyDescent="0.3"/>
    <row r="921" s="41" customFormat="1" ht="15.75" customHeight="1" x14ac:dyDescent="0.3"/>
    <row r="922" s="41" customFormat="1" ht="15.75" customHeight="1" x14ac:dyDescent="0.3"/>
    <row r="923" s="41" customFormat="1" ht="15.75" customHeight="1" x14ac:dyDescent="0.3"/>
    <row r="924" s="41" customFormat="1" ht="15.75" customHeight="1" x14ac:dyDescent="0.3"/>
    <row r="925" s="41" customFormat="1" ht="15.75" customHeight="1" x14ac:dyDescent="0.3"/>
    <row r="926" s="41" customFormat="1" ht="15.75" customHeight="1" x14ac:dyDescent="0.3"/>
    <row r="927" s="41" customFormat="1" ht="15.75" customHeight="1" x14ac:dyDescent="0.3"/>
    <row r="928" s="41" customFormat="1" ht="15.75" customHeight="1" x14ac:dyDescent="0.3"/>
    <row r="929" s="41" customFormat="1" ht="15.75" customHeight="1" x14ac:dyDescent="0.3"/>
    <row r="930" s="41" customFormat="1" ht="15.75" customHeight="1" x14ac:dyDescent="0.3"/>
    <row r="931" s="41" customFormat="1" ht="15.75" customHeight="1" x14ac:dyDescent="0.3"/>
    <row r="932" s="41" customFormat="1" ht="15.75" customHeight="1" x14ac:dyDescent="0.3"/>
    <row r="933" s="41" customFormat="1" ht="15.75" customHeight="1" x14ac:dyDescent="0.3"/>
    <row r="934" s="41" customFormat="1" ht="15.75" customHeight="1" x14ac:dyDescent="0.3"/>
    <row r="935" s="41" customFormat="1" ht="15.75" customHeight="1" x14ac:dyDescent="0.3"/>
    <row r="936" s="41" customFormat="1" ht="15.75" customHeight="1" x14ac:dyDescent="0.3"/>
    <row r="937" s="41" customFormat="1" ht="15.75" customHeight="1" x14ac:dyDescent="0.3"/>
    <row r="938" s="41" customFormat="1" ht="15.75" customHeight="1" x14ac:dyDescent="0.3"/>
    <row r="939" s="41" customFormat="1" ht="15.75" customHeight="1" x14ac:dyDescent="0.3"/>
    <row r="940" s="41" customFormat="1" ht="15.75" customHeight="1" x14ac:dyDescent="0.3"/>
    <row r="941" s="41" customFormat="1" ht="15.75" customHeight="1" x14ac:dyDescent="0.3"/>
    <row r="942" s="41" customFormat="1" ht="15.75" customHeight="1" x14ac:dyDescent="0.3"/>
    <row r="943" s="41" customFormat="1" ht="15.75" customHeight="1" x14ac:dyDescent="0.3"/>
    <row r="944" s="41" customFormat="1" ht="15.75" customHeight="1" x14ac:dyDescent="0.3"/>
    <row r="945" s="41" customFormat="1" ht="15.75" customHeight="1" x14ac:dyDescent="0.3"/>
    <row r="946" s="41" customFormat="1" ht="15.75" customHeight="1" x14ac:dyDescent="0.3"/>
    <row r="947" s="41" customFormat="1" ht="15.75" customHeight="1" x14ac:dyDescent="0.3"/>
    <row r="948" s="41" customFormat="1" ht="15.75" customHeight="1" x14ac:dyDescent="0.3"/>
    <row r="949" s="41" customFormat="1" ht="15.75" customHeight="1" x14ac:dyDescent="0.3"/>
    <row r="950" s="41" customFormat="1" ht="15.75" customHeight="1" x14ac:dyDescent="0.3"/>
    <row r="951" s="41" customFormat="1" ht="15.75" customHeight="1" x14ac:dyDescent="0.3"/>
    <row r="952" s="41" customFormat="1" ht="15.75" customHeight="1" x14ac:dyDescent="0.3"/>
    <row r="953" s="41" customFormat="1" ht="15.75" customHeight="1" x14ac:dyDescent="0.3"/>
    <row r="954" s="41" customFormat="1" ht="15.75" customHeight="1" x14ac:dyDescent="0.3"/>
    <row r="955" s="41" customFormat="1" ht="15.75" customHeight="1" x14ac:dyDescent="0.3"/>
    <row r="956" s="41" customFormat="1" ht="15.75" customHeight="1" x14ac:dyDescent="0.3"/>
    <row r="957" s="41" customFormat="1" ht="15.75" customHeight="1" x14ac:dyDescent="0.3"/>
    <row r="958" s="41" customFormat="1" ht="15.75" customHeight="1" x14ac:dyDescent="0.3"/>
    <row r="959" s="41" customFormat="1" ht="15.75" customHeight="1" x14ac:dyDescent="0.3"/>
    <row r="960" s="41" customFormat="1" ht="15.75" customHeight="1" x14ac:dyDescent="0.3"/>
    <row r="961" s="41" customFormat="1" ht="15.75" customHeight="1" x14ac:dyDescent="0.3"/>
    <row r="962" s="41" customFormat="1" ht="15.75" customHeight="1" x14ac:dyDescent="0.3"/>
    <row r="963" s="41" customFormat="1" ht="15.75" customHeight="1" x14ac:dyDescent="0.3"/>
    <row r="964" s="41" customFormat="1" ht="15.75" customHeight="1" x14ac:dyDescent="0.3"/>
    <row r="965" s="41" customFormat="1" ht="15.75" customHeight="1" x14ac:dyDescent="0.3"/>
    <row r="966" s="41" customFormat="1" ht="15.75" customHeight="1" x14ac:dyDescent="0.3"/>
    <row r="967" s="41" customFormat="1" ht="15.75" customHeight="1" x14ac:dyDescent="0.3"/>
    <row r="968" s="41" customFormat="1" ht="15.75" customHeight="1" x14ac:dyDescent="0.3"/>
    <row r="969" s="41" customFormat="1" ht="15.75" customHeight="1" x14ac:dyDescent="0.3"/>
    <row r="970" s="41" customFormat="1" ht="15.75" customHeight="1" x14ac:dyDescent="0.3"/>
    <row r="971" s="41" customFormat="1" ht="15.75" customHeight="1" x14ac:dyDescent="0.3"/>
    <row r="972" s="41" customFormat="1" ht="15.75" customHeight="1" x14ac:dyDescent="0.3"/>
    <row r="973" s="41" customFormat="1" ht="15.75" customHeight="1" x14ac:dyDescent="0.3"/>
    <row r="974" s="41" customFormat="1" ht="15.75" customHeight="1" x14ac:dyDescent="0.3"/>
    <row r="975" s="41" customFormat="1" ht="15.75" customHeight="1" x14ac:dyDescent="0.3"/>
    <row r="976" s="41" customFormat="1" ht="15.75" customHeight="1" x14ac:dyDescent="0.3"/>
    <row r="977" s="41" customFormat="1" ht="15.75" customHeight="1" x14ac:dyDescent="0.3"/>
    <row r="978" s="41" customFormat="1" ht="15.75" customHeight="1" x14ac:dyDescent="0.3"/>
    <row r="979" s="41" customFormat="1" ht="15.75" customHeight="1" x14ac:dyDescent="0.3"/>
    <row r="980" s="41" customFormat="1" ht="15.75" customHeight="1" x14ac:dyDescent="0.3"/>
    <row r="981" s="41" customFormat="1" ht="15.75" customHeight="1" x14ac:dyDescent="0.3"/>
    <row r="982" s="41" customFormat="1" ht="15.75" customHeight="1" x14ac:dyDescent="0.3"/>
    <row r="983" s="41" customFormat="1" ht="15.75" customHeight="1" x14ac:dyDescent="0.3"/>
    <row r="984" s="41" customFormat="1" ht="15.75" customHeight="1" x14ac:dyDescent="0.3"/>
    <row r="985" s="41" customFormat="1" ht="15.75" customHeight="1" x14ac:dyDescent="0.3"/>
    <row r="986" s="41" customFormat="1" ht="15.75" customHeight="1" x14ac:dyDescent="0.3"/>
    <row r="987" s="41" customFormat="1" ht="15.75" customHeight="1" x14ac:dyDescent="0.3"/>
    <row r="988" s="41" customFormat="1" ht="15.75" customHeight="1" x14ac:dyDescent="0.3"/>
    <row r="989" s="41" customFormat="1" ht="15.75" customHeight="1" x14ac:dyDescent="0.3"/>
    <row r="990" s="41" customFormat="1" ht="15.75" customHeight="1" x14ac:dyDescent="0.3"/>
    <row r="991" s="41" customFormat="1" ht="15.75" customHeight="1" x14ac:dyDescent="0.3"/>
    <row r="992" s="41" customFormat="1" ht="15.75" customHeight="1" x14ac:dyDescent="0.3"/>
    <row r="993" s="41" customFormat="1" ht="15.75" customHeight="1" x14ac:dyDescent="0.3"/>
  </sheetData>
  <phoneticPr fontId="7" type="noConversion"/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E2E-E10A-4419-BEF6-42D1E7A76D26}">
  <dimension ref="A1:L63"/>
  <sheetViews>
    <sheetView tabSelected="1" zoomScaleNormal="100" workbookViewId="0">
      <selection activeCell="B18" sqref="B18"/>
    </sheetView>
  </sheetViews>
  <sheetFormatPr defaultRowHeight="14" x14ac:dyDescent="0.3"/>
  <cols>
    <col min="1" max="1" width="27.81640625" style="41" bestFit="1" customWidth="1"/>
    <col min="2" max="2" width="23.1796875" style="41" bestFit="1" customWidth="1"/>
    <col min="3" max="3" width="34.54296875" style="41" bestFit="1" customWidth="1"/>
    <col min="4" max="4" width="23.1796875" style="41" bestFit="1" customWidth="1"/>
    <col min="5" max="5" width="20.54296875" style="41" bestFit="1" customWidth="1"/>
    <col min="6" max="6" width="22.6328125" style="41" bestFit="1" customWidth="1"/>
    <col min="7" max="7" width="18.453125" style="41" bestFit="1" customWidth="1"/>
    <col min="8" max="8" width="16.7265625" style="41" bestFit="1" customWidth="1"/>
    <col min="9" max="9" width="19.54296875" style="41" bestFit="1" customWidth="1"/>
    <col min="10" max="10" width="17.81640625" style="41" bestFit="1" customWidth="1"/>
    <col min="11" max="11" width="12.1796875" style="41" bestFit="1" customWidth="1"/>
    <col min="12" max="12" width="67.36328125" style="41" bestFit="1" customWidth="1"/>
    <col min="13" max="16384" width="8.7265625" style="41"/>
  </cols>
  <sheetData>
    <row r="1" spans="1:12" x14ac:dyDescent="0.3">
      <c r="A1" s="41" t="s">
        <v>45</v>
      </c>
      <c r="C1" s="75" t="s">
        <v>59</v>
      </c>
    </row>
    <row r="2" spans="1:12" x14ac:dyDescent="0.3">
      <c r="A2" s="8">
        <v>103.3</v>
      </c>
      <c r="B2" s="8"/>
    </row>
    <row r="3" spans="1:12" x14ac:dyDescent="0.3">
      <c r="B3" s="8"/>
    </row>
    <row r="4" spans="1:12" ht="14.5" x14ac:dyDescent="0.35">
      <c r="A4" s="8"/>
      <c r="B4" s="8"/>
      <c r="C4" s="107" t="s">
        <v>87</v>
      </c>
      <c r="D4" s="8"/>
      <c r="E4" s="8" t="s">
        <v>89</v>
      </c>
      <c r="F4" s="106" t="s">
        <v>88</v>
      </c>
      <c r="G4" s="8"/>
    </row>
    <row r="5" spans="1:12" x14ac:dyDescent="0.3">
      <c r="A5" s="42" t="s">
        <v>5</v>
      </c>
      <c r="B5" s="43" t="s">
        <v>6</v>
      </c>
      <c r="C5" s="43" t="s">
        <v>77</v>
      </c>
      <c r="D5" s="43" t="s">
        <v>78</v>
      </c>
      <c r="E5" s="43" t="s">
        <v>7</v>
      </c>
      <c r="F5" s="43" t="s">
        <v>8</v>
      </c>
      <c r="G5" s="5" t="s">
        <v>51</v>
      </c>
      <c r="H5" s="3" t="s">
        <v>36</v>
      </c>
      <c r="I5" s="5" t="s">
        <v>52</v>
      </c>
      <c r="J5" s="3" t="s">
        <v>66</v>
      </c>
      <c r="K5" s="3" t="s">
        <v>65</v>
      </c>
      <c r="L5" s="3" t="s">
        <v>84</v>
      </c>
    </row>
    <row r="6" spans="1:12" x14ac:dyDescent="0.3">
      <c r="A6" s="10" t="s">
        <v>11</v>
      </c>
      <c r="B6" s="44" t="s">
        <v>12</v>
      </c>
      <c r="C6" s="45" t="s">
        <v>13</v>
      </c>
      <c r="D6" s="45" t="s">
        <v>14</v>
      </c>
      <c r="E6" s="45" t="s">
        <v>15</v>
      </c>
      <c r="F6" s="8">
        <v>0</v>
      </c>
      <c r="G6" s="10">
        <f>2*E14</f>
        <v>8</v>
      </c>
      <c r="H6" s="10">
        <f>D6*B14+C6*C14</f>
        <v>9</v>
      </c>
      <c r="I6" s="10">
        <f>2*G14</f>
        <v>6</v>
      </c>
      <c r="J6" s="10" t="s">
        <v>71</v>
      </c>
      <c r="K6" s="10" t="s">
        <v>63</v>
      </c>
    </row>
    <row r="7" spans="1:12" x14ac:dyDescent="0.3">
      <c r="A7" s="10" t="s">
        <v>16</v>
      </c>
      <c r="B7" s="48">
        <v>6</v>
      </c>
      <c r="C7" s="49">
        <v>3</v>
      </c>
      <c r="D7" s="49">
        <v>1</v>
      </c>
      <c r="E7" s="49">
        <v>1</v>
      </c>
      <c r="F7" s="11">
        <v>1</v>
      </c>
      <c r="G7" s="51">
        <f>5*E14</f>
        <v>20</v>
      </c>
      <c r="H7" s="10">
        <f>D7*B14+C7*C14+3*E7+3*F7</f>
        <v>19</v>
      </c>
      <c r="I7" s="51">
        <f>5*G14</f>
        <v>15</v>
      </c>
      <c r="J7" s="10" t="s">
        <v>57</v>
      </c>
      <c r="K7" s="10" t="s">
        <v>72</v>
      </c>
      <c r="L7" s="41" t="s">
        <v>79</v>
      </c>
    </row>
    <row r="8" spans="1:12" x14ac:dyDescent="0.3">
      <c r="A8" s="10" t="s">
        <v>17</v>
      </c>
      <c r="B8" s="8"/>
      <c r="C8" s="8"/>
      <c r="D8" s="8"/>
      <c r="E8" s="8"/>
      <c r="F8" s="8"/>
      <c r="G8" s="10">
        <f>5*E14</f>
        <v>20</v>
      </c>
      <c r="H8" s="10">
        <f>3*J16+2*J17+1*J18</f>
        <v>14</v>
      </c>
      <c r="I8" s="10">
        <f>5*G14</f>
        <v>15</v>
      </c>
      <c r="J8" s="10" t="s">
        <v>57</v>
      </c>
      <c r="K8" s="10" t="s">
        <v>64</v>
      </c>
      <c r="L8" s="41" t="s">
        <v>85</v>
      </c>
    </row>
    <row r="9" spans="1:12" x14ac:dyDescent="0.3">
      <c r="A9" s="10" t="s">
        <v>18</v>
      </c>
      <c r="B9" s="8"/>
      <c r="C9" s="8"/>
      <c r="D9" s="8"/>
      <c r="E9" s="8"/>
      <c r="F9" s="8"/>
      <c r="G9" s="10">
        <f>9*E14</f>
        <v>36</v>
      </c>
      <c r="H9" s="10">
        <f>4*J16+3*J17+2*J18</f>
        <v>23</v>
      </c>
      <c r="I9" s="10">
        <f>9*G14</f>
        <v>27</v>
      </c>
      <c r="J9" s="10" t="s">
        <v>35</v>
      </c>
      <c r="K9" s="10" t="s">
        <v>76</v>
      </c>
    </row>
    <row r="10" spans="1:12" x14ac:dyDescent="0.3">
      <c r="A10" s="10" t="s">
        <v>19</v>
      </c>
      <c r="B10" s="8"/>
      <c r="C10" s="8"/>
      <c r="D10" s="8"/>
      <c r="E10" s="8"/>
      <c r="F10" s="8"/>
      <c r="G10" s="10">
        <f>23*E14</f>
        <v>92</v>
      </c>
      <c r="H10" s="10">
        <f>5*J16+4*J17+3*J18+2*J19</f>
        <v>46</v>
      </c>
      <c r="I10" s="10">
        <f>23*G14</f>
        <v>69</v>
      </c>
      <c r="J10" s="10" t="s">
        <v>58</v>
      </c>
      <c r="K10" s="10" t="s">
        <v>75</v>
      </c>
      <c r="L10" s="41" t="s">
        <v>86</v>
      </c>
    </row>
    <row r="11" spans="1:12" ht="14.5" thickBot="1" x14ac:dyDescent="0.35">
      <c r="A11" s="8"/>
      <c r="B11" s="8"/>
      <c r="C11" s="8"/>
      <c r="D11" s="8"/>
      <c r="E11" s="8"/>
      <c r="F11" s="8"/>
      <c r="G11" s="8"/>
      <c r="H11" s="8"/>
      <c r="I11" s="8"/>
    </row>
    <row r="12" spans="1:12" ht="14.5" thickBot="1" x14ac:dyDescent="0.35">
      <c r="A12" s="8"/>
      <c r="B12" s="4" t="s">
        <v>41</v>
      </c>
      <c r="C12" s="14" t="s">
        <v>42</v>
      </c>
      <c r="D12" s="4" t="s">
        <v>48</v>
      </c>
      <c r="E12" s="28"/>
      <c r="F12" s="4" t="s">
        <v>53</v>
      </c>
      <c r="G12" s="28"/>
      <c r="H12" s="8"/>
      <c r="I12" s="8"/>
    </row>
    <row r="13" spans="1:12" ht="14.5" thickBot="1" x14ac:dyDescent="0.35">
      <c r="A13" s="8"/>
      <c r="B13" s="52" t="s">
        <v>2</v>
      </c>
      <c r="C13" s="52" t="s">
        <v>3</v>
      </c>
      <c r="D13" s="52" t="s">
        <v>4</v>
      </c>
      <c r="E13" s="52" t="s">
        <v>3</v>
      </c>
      <c r="F13" s="52" t="s">
        <v>4</v>
      </c>
      <c r="G13" s="52" t="s">
        <v>3</v>
      </c>
      <c r="H13" s="8"/>
      <c r="I13" s="8"/>
    </row>
    <row r="14" spans="1:12" ht="14.5" thickBot="1" x14ac:dyDescent="0.35">
      <c r="A14" s="8"/>
      <c r="B14" s="53">
        <f>1</f>
        <v>1</v>
      </c>
      <c r="C14" s="7">
        <v>4</v>
      </c>
      <c r="D14" s="53">
        <v>0</v>
      </c>
      <c r="E14" s="7">
        <v>4</v>
      </c>
      <c r="F14" s="7">
        <v>0</v>
      </c>
      <c r="G14" s="7">
        <v>3</v>
      </c>
      <c r="H14" s="8"/>
      <c r="I14" s="8"/>
    </row>
    <row r="15" spans="1:12" ht="14.5" thickBot="1" x14ac:dyDescent="0.35">
      <c r="A15" s="8"/>
      <c r="B15" s="6" t="s">
        <v>50</v>
      </c>
      <c r="C15" s="8"/>
      <c r="D15" s="6" t="s">
        <v>49</v>
      </c>
      <c r="E15" s="8"/>
      <c r="F15" s="6" t="s">
        <v>54</v>
      </c>
      <c r="G15" s="8"/>
      <c r="H15" s="8"/>
      <c r="I15" s="54" t="s">
        <v>55</v>
      </c>
      <c r="J15" s="54" t="s">
        <v>56</v>
      </c>
    </row>
    <row r="16" spans="1:12" ht="14.5" thickBot="1" x14ac:dyDescent="0.35">
      <c r="A16" s="11" t="s">
        <v>11</v>
      </c>
      <c r="B16" s="47">
        <f>B14*B6+C14*(D6+C6)</f>
        <v>15</v>
      </c>
      <c r="C16" s="8"/>
      <c r="D16" s="10">
        <f>D14*B6+E14*(D6+C6)</f>
        <v>12</v>
      </c>
      <c r="E16" s="8"/>
      <c r="F16" s="10">
        <f>F14*B6+G14*(D6+C6)</f>
        <v>9</v>
      </c>
      <c r="G16" s="8"/>
      <c r="H16" s="8"/>
      <c r="I16" s="57" t="s">
        <v>32</v>
      </c>
      <c r="J16" s="98">
        <v>1</v>
      </c>
    </row>
    <row r="17" spans="1:10" ht="14.5" thickBot="1" x14ac:dyDescent="0.35">
      <c r="A17" s="11" t="s">
        <v>16</v>
      </c>
      <c r="B17" s="10">
        <f>B14*B7+C14*(C7+D7)+6*F7+4*E7</f>
        <v>32</v>
      </c>
      <c r="C17" s="8"/>
      <c r="D17" s="10">
        <f>7*E14</f>
        <v>28</v>
      </c>
      <c r="E17" s="8"/>
      <c r="F17" s="10">
        <f>7*G14</f>
        <v>21</v>
      </c>
      <c r="G17" s="8"/>
      <c r="H17" s="8"/>
      <c r="I17" s="60" t="s">
        <v>33</v>
      </c>
      <c r="J17" s="99">
        <v>3</v>
      </c>
    </row>
    <row r="18" spans="1:10" ht="14.5" thickBot="1" x14ac:dyDescent="0.35">
      <c r="A18" s="11" t="s">
        <v>17</v>
      </c>
      <c r="B18" s="10">
        <v>33</v>
      </c>
      <c r="D18" s="10">
        <f>7*4</f>
        <v>28</v>
      </c>
      <c r="E18" s="8"/>
      <c r="F18" s="10">
        <f>7*3</f>
        <v>21</v>
      </c>
      <c r="G18" s="8"/>
      <c r="H18" s="8"/>
      <c r="I18" s="61" t="s">
        <v>34</v>
      </c>
      <c r="J18" s="99">
        <v>5</v>
      </c>
    </row>
    <row r="19" spans="1:10" ht="14.5" thickBot="1" x14ac:dyDescent="0.35">
      <c r="A19" s="70"/>
      <c r="E19" s="8"/>
      <c r="G19" s="8"/>
      <c r="H19" s="8"/>
      <c r="I19" s="76" t="s">
        <v>73</v>
      </c>
      <c r="J19" s="100">
        <v>7</v>
      </c>
    </row>
    <row r="20" spans="1:10" x14ac:dyDescent="0.3">
      <c r="E20" s="8"/>
      <c r="G20" s="8"/>
      <c r="H20" s="8"/>
      <c r="I20" s="8"/>
    </row>
    <row r="23" spans="1:10" ht="14.5" thickBot="1" x14ac:dyDescent="0.35">
      <c r="A23" s="66" t="s">
        <v>20</v>
      </c>
      <c r="B23" s="42" t="s">
        <v>5</v>
      </c>
      <c r="C23" s="42" t="s">
        <v>37</v>
      </c>
      <c r="D23" s="42" t="s">
        <v>46</v>
      </c>
      <c r="E23" s="43" t="s">
        <v>47</v>
      </c>
      <c r="F23" s="42" t="s">
        <v>23</v>
      </c>
      <c r="G23" s="42" t="s">
        <v>24</v>
      </c>
      <c r="H23" s="42" t="s">
        <v>93</v>
      </c>
    </row>
    <row r="24" spans="1:10" x14ac:dyDescent="0.3">
      <c r="A24" s="77" t="s">
        <v>25</v>
      </c>
      <c r="B24" s="78" t="s">
        <v>11</v>
      </c>
      <c r="C24" s="14">
        <f>0.047993-39.9546183847</f>
        <v>-39.9066253847</v>
      </c>
      <c r="D24" s="14">
        <f>-39.1932487584+0.031026</f>
        <v>-39.162222758400006</v>
      </c>
      <c r="E24" s="14">
        <f>'H2=2H'!D24/2</f>
        <v>-0.496199</v>
      </c>
      <c r="F24" s="14">
        <f>ABS(C24-(D24+E24))</f>
        <v>0.24820362629999693</v>
      </c>
      <c r="G24" s="14">
        <f t="shared" ref="G24:G27" si="0">F24*627.503</f>
        <v>155.74852011412699</v>
      </c>
      <c r="H24" s="28">
        <f t="shared" ref="H24:H27" si="1">ABS(G24-$A$2)</f>
        <v>52.448520114126993</v>
      </c>
    </row>
    <row r="25" spans="1:10" x14ac:dyDescent="0.3">
      <c r="A25" s="79" t="s">
        <v>25</v>
      </c>
      <c r="B25" s="80" t="s">
        <v>26</v>
      </c>
      <c r="C25" s="8">
        <f>-40.1796710348+0.047233</f>
        <v>-40.132438034800003</v>
      </c>
      <c r="D25" s="8">
        <f>0.030992-39.4272972899</f>
        <v>-39.396305289899999</v>
      </c>
      <c r="E25" s="8">
        <f>'H2=2H'!D25/2</f>
        <v>-0.49823299999999998</v>
      </c>
      <c r="F25" s="8">
        <f t="shared" ref="F25:F27" si="2">ABS(C25-(D25+E25))</f>
        <v>0.23789974490000532</v>
      </c>
      <c r="G25" s="8">
        <f t="shared" si="0"/>
        <v>149.28280362398806</v>
      </c>
      <c r="H25" s="33">
        <f t="shared" si="1"/>
        <v>45.982803623988062</v>
      </c>
    </row>
    <row r="26" spans="1:10" x14ac:dyDescent="0.3">
      <c r="A26" s="79" t="s">
        <v>25</v>
      </c>
      <c r="B26" s="80" t="s">
        <v>17</v>
      </c>
      <c r="C26" s="8">
        <f xml:space="preserve"> 0.046961-40.1720831941</f>
        <v>-40.125122194099994</v>
      </c>
      <c r="D26" s="8">
        <f>-39.4213182026+0.03059</f>
        <v>-39.390728202600002</v>
      </c>
      <c r="E26" s="8">
        <f>'H2=2H'!D26/2</f>
        <v>-0.499278</v>
      </c>
      <c r="F26" s="8">
        <f t="shared" si="2"/>
        <v>0.2351159914999954</v>
      </c>
      <c r="G26" s="8">
        <f t="shared" si="0"/>
        <v>147.53599001422162</v>
      </c>
      <c r="H26" s="33">
        <f t="shared" si="1"/>
        <v>44.235990014221628</v>
      </c>
    </row>
    <row r="27" spans="1:10" ht="14.5" thickBot="1" x14ac:dyDescent="0.35">
      <c r="A27" s="59" t="s">
        <v>25</v>
      </c>
      <c r="B27" s="81" t="s">
        <v>18</v>
      </c>
      <c r="C27" s="8">
        <f>-40.1740602196+ 0.046689</f>
        <v>-40.127371219600001</v>
      </c>
      <c r="D27" s="8">
        <f>0.030731-39.4243833839</f>
        <v>-39.393652383899997</v>
      </c>
      <c r="E27" s="8">
        <f>'H2=2H'!D27/2</f>
        <v>-0.499334</v>
      </c>
      <c r="F27" s="8">
        <f t="shared" si="2"/>
        <v>0.23438483570000557</v>
      </c>
      <c r="G27" s="8">
        <f t="shared" si="0"/>
        <v>147.07718755626061</v>
      </c>
      <c r="H27" s="103">
        <f t="shared" si="1"/>
        <v>43.777187556260614</v>
      </c>
    </row>
    <row r="28" spans="1:10" ht="14.5" thickBot="1" x14ac:dyDescent="0.35">
      <c r="A28" s="27" t="s">
        <v>27</v>
      </c>
      <c r="B28" s="56" t="s">
        <v>28</v>
      </c>
      <c r="C28" s="14">
        <v>-40.255999000000003</v>
      </c>
      <c r="D28" s="14">
        <v>-39.592337999999998</v>
      </c>
      <c r="E28" s="14">
        <f>'H2=2H'!D29/2</f>
        <v>-0.497311</v>
      </c>
      <c r="F28" s="14">
        <f t="shared" ref="F28:F35" si="3">ABS(C28-(D28+E28))</f>
        <v>0.16635000000000133</v>
      </c>
      <c r="G28" s="14">
        <f t="shared" ref="G28:G30" si="4">F28*628.5095</f>
        <v>104.55255532500084</v>
      </c>
      <c r="H28" s="28">
        <f t="shared" ref="H28:H35" si="5">ABS(G28-$A$2)</f>
        <v>1.2525553250008414</v>
      </c>
    </row>
    <row r="29" spans="1:10" ht="14.5" thickBot="1" x14ac:dyDescent="0.35">
      <c r="A29" s="82" t="s">
        <v>27</v>
      </c>
      <c r="B29" s="83" t="s">
        <v>26</v>
      </c>
      <c r="C29" s="9">
        <v>-40.481363999999999</v>
      </c>
      <c r="D29" s="9">
        <v>-39.817515</v>
      </c>
      <c r="E29" s="9">
        <f>'H2=2H'!D30/2</f>
        <v>-0.50027299999999997</v>
      </c>
      <c r="F29" s="9">
        <f t="shared" si="3"/>
        <v>0.16357599999999906</v>
      </c>
      <c r="G29" s="83">
        <f t="shared" si="4"/>
        <v>102.80906997199941</v>
      </c>
      <c r="H29" s="83">
        <f t="shared" si="5"/>
        <v>0.49093002800059082</v>
      </c>
    </row>
    <row r="30" spans="1:10" x14ac:dyDescent="0.3">
      <c r="A30" s="32" t="s">
        <v>27</v>
      </c>
      <c r="B30" s="18" t="s">
        <v>17</v>
      </c>
      <c r="C30" s="8">
        <v>-40.472019000000003</v>
      </c>
      <c r="D30" s="8">
        <v>-39.809696000000002</v>
      </c>
      <c r="E30" s="8">
        <f>'H2=2H'!D31/2</f>
        <v>-0.50125799999999998</v>
      </c>
      <c r="F30" s="8">
        <f t="shared" si="3"/>
        <v>0.16106500000000068</v>
      </c>
      <c r="G30" s="8">
        <f t="shared" si="4"/>
        <v>101.23088261750043</v>
      </c>
      <c r="H30" s="33">
        <f t="shared" si="5"/>
        <v>2.0691173824995701</v>
      </c>
    </row>
    <row r="31" spans="1:10" ht="14.5" thickBot="1" x14ac:dyDescent="0.35">
      <c r="A31" s="53" t="s">
        <v>27</v>
      </c>
      <c r="B31" s="24" t="s">
        <v>18</v>
      </c>
      <c r="C31" s="23">
        <v>-40.476407000000002</v>
      </c>
      <c r="D31" s="23">
        <v>-39.814703999999999</v>
      </c>
      <c r="E31" s="23">
        <f>'H2=2H'!D32/2</f>
        <v>-0.50165700000000002</v>
      </c>
      <c r="F31" s="23">
        <f t="shared" si="3"/>
        <v>0.16004600000000124</v>
      </c>
      <c r="G31" s="23">
        <f>F31*627.503</f>
        <v>100.42934513800078</v>
      </c>
      <c r="H31" s="74">
        <f t="shared" si="5"/>
        <v>2.8706548619992134</v>
      </c>
    </row>
    <row r="32" spans="1:10" x14ac:dyDescent="0.3">
      <c r="A32" s="84" t="s">
        <v>29</v>
      </c>
      <c r="B32" s="85" t="s">
        <v>28</v>
      </c>
      <c r="C32" s="8">
        <f>0.04641-40.075513138533</f>
        <v>-40.029103138532996</v>
      </c>
      <c r="D32" s="8">
        <f>0.030387-39.418237764978</f>
        <v>-39.387850764978005</v>
      </c>
      <c r="E32" s="8">
        <f>'H2=2H'!D34/2</f>
        <v>-0.49619863601800002</v>
      </c>
      <c r="F32" s="8">
        <f t="shared" si="3"/>
        <v>0.14505373753699047</v>
      </c>
      <c r="G32" s="8">
        <f>F32*628.5095</f>
        <v>91.167652052505105</v>
      </c>
      <c r="H32" s="33">
        <f t="shared" si="5"/>
        <v>12.132347947494893</v>
      </c>
    </row>
    <row r="33" spans="1:8" x14ac:dyDescent="0.3">
      <c r="A33" s="79" t="s">
        <v>29</v>
      </c>
      <c r="B33" s="80" t="s">
        <v>26</v>
      </c>
      <c r="C33" s="8">
        <f>0.046239-40.365953154884</f>
        <v>-40.319714154883997</v>
      </c>
      <c r="D33" s="8">
        <f>-39.696334920752+0.030785</f>
        <v>-39.665549920751999</v>
      </c>
      <c r="E33" s="8">
        <f>'H2=2H'!D35/2</f>
        <v>-0.49823290920199997</v>
      </c>
      <c r="F33" s="8">
        <f t="shared" si="3"/>
        <v>0.15593132492999473</v>
      </c>
      <c r="G33" s="8">
        <f>F33*628.5095</f>
        <v>98.004319066088527</v>
      </c>
      <c r="H33" s="103">
        <f t="shared" si="5"/>
        <v>5.2956809339114699</v>
      </c>
    </row>
    <row r="34" spans="1:8" x14ac:dyDescent="0.3">
      <c r="A34" s="79" t="s">
        <v>29</v>
      </c>
      <c r="B34" s="80" t="s">
        <v>17</v>
      </c>
      <c r="C34" s="8">
        <f>0.045384-40.360174937417</f>
        <v>-40.314790937417001</v>
      </c>
      <c r="D34" s="8">
        <f>0.030032-39.690639486241</f>
        <v>-39.660607486240998</v>
      </c>
      <c r="E34" s="8">
        <f>'H2=2H'!D36/2</f>
        <v>-0.49927840342000002</v>
      </c>
      <c r="F34" s="8">
        <f t="shared" si="3"/>
        <v>0.154905047756003</v>
      </c>
      <c r="G34" s="8">
        <f>F34*628.5095</f>
        <v>97.359294112601575</v>
      </c>
      <c r="H34" s="33">
        <f t="shared" si="5"/>
        <v>5.9407058873984226</v>
      </c>
    </row>
    <row r="35" spans="1:8" ht="14.5" thickBot="1" x14ac:dyDescent="0.35">
      <c r="A35" s="86" t="s">
        <v>29</v>
      </c>
      <c r="B35" s="87" t="s">
        <v>18</v>
      </c>
      <c r="C35" s="23">
        <f>0.044992-40.3677263387</f>
        <v>-40.322734338700002</v>
      </c>
      <c r="D35" s="23">
        <f>-39.698265572358+0.030157</f>
        <v>-39.668108572357994</v>
      </c>
      <c r="E35" s="23">
        <f>'H2=2H'!D37/2</f>
        <v>-0.49933431544000001</v>
      </c>
      <c r="F35" s="23">
        <f t="shared" si="3"/>
        <v>0.15529145090200558</v>
      </c>
      <c r="G35" s="23">
        <f>F35*627.503</f>
        <v>97.44585131536121</v>
      </c>
      <c r="H35" s="74">
        <f t="shared" si="5"/>
        <v>5.8541486846387869</v>
      </c>
    </row>
    <row r="37" spans="1:8" ht="14.5" thickBot="1" x14ac:dyDescent="0.35"/>
    <row r="38" spans="1:8" x14ac:dyDescent="0.3">
      <c r="A38" s="62" t="s">
        <v>20</v>
      </c>
      <c r="B38" s="63" t="s">
        <v>30</v>
      </c>
    </row>
    <row r="39" spans="1:8" x14ac:dyDescent="0.3">
      <c r="A39" s="16" t="s">
        <v>25</v>
      </c>
      <c r="B39" s="81" t="s">
        <v>18</v>
      </c>
    </row>
    <row r="40" spans="1:8" x14ac:dyDescent="0.3">
      <c r="A40" s="64" t="s">
        <v>27</v>
      </c>
      <c r="B40" s="65" t="s">
        <v>26</v>
      </c>
    </row>
    <row r="41" spans="1:8" ht="14.5" thickBot="1" x14ac:dyDescent="0.35">
      <c r="A41" s="21" t="s">
        <v>29</v>
      </c>
      <c r="B41" s="22" t="s">
        <v>26</v>
      </c>
    </row>
    <row r="42" spans="1:8" ht="14.5" thickBot="1" x14ac:dyDescent="0.35"/>
    <row r="43" spans="1:8" x14ac:dyDescent="0.3">
      <c r="A43" s="120" t="s">
        <v>90</v>
      </c>
    </row>
    <row r="44" spans="1:8" ht="98.5" thickBot="1" x14ac:dyDescent="0.35">
      <c r="A44" s="121" t="s">
        <v>102</v>
      </c>
    </row>
    <row r="49" spans="1:8" x14ac:dyDescent="0.3">
      <c r="A49" s="1" t="s">
        <v>31</v>
      </c>
    </row>
    <row r="51" spans="1:8" ht="14.5" thickBot="1" x14ac:dyDescent="0.35">
      <c r="A51" s="88" t="s">
        <v>20</v>
      </c>
      <c r="B51" s="42" t="s">
        <v>5</v>
      </c>
      <c r="C51" s="43" t="s">
        <v>37</v>
      </c>
      <c r="D51" s="43" t="s">
        <v>38</v>
      </c>
      <c r="E51" s="43" t="s">
        <v>39</v>
      </c>
      <c r="F51" s="42" t="s">
        <v>23</v>
      </c>
      <c r="G51" s="42" t="s">
        <v>24</v>
      </c>
      <c r="H51" s="42" t="s">
        <v>93</v>
      </c>
    </row>
    <row r="52" spans="1:8" x14ac:dyDescent="0.3">
      <c r="A52" s="89" t="s">
        <v>25</v>
      </c>
      <c r="B52" s="29" t="s">
        <v>11</v>
      </c>
      <c r="C52" s="14">
        <f>0.04799105-39.97687756</f>
        <v>-39.928886509999998</v>
      </c>
      <c r="D52" s="14">
        <f>0.03067971-39.33939052</f>
        <v>-39.308710810000001</v>
      </c>
      <c r="E52" s="14">
        <f>'H2=2H'!D57/2</f>
        <v>-0.49619864000000002</v>
      </c>
      <c r="F52" s="14">
        <f t="shared" ref="F52:F55" si="6">ABS(C52-(E52+D52))</f>
        <v>0.12397705999999431</v>
      </c>
      <c r="G52" s="14">
        <f t="shared" ref="G52:G55" si="7">F52*627.503</f>
        <v>77.795977081176432</v>
      </c>
      <c r="H52" s="28">
        <f>ABS(G52-$A$2)</f>
        <v>25.504022918823566</v>
      </c>
    </row>
    <row r="53" spans="1:8" x14ac:dyDescent="0.3">
      <c r="A53" s="90" t="s">
        <v>25</v>
      </c>
      <c r="B53" s="34" t="s">
        <v>26</v>
      </c>
      <c r="C53" s="8">
        <f>0.04723855-40.20210442</f>
        <v>-40.154865869999995</v>
      </c>
      <c r="D53" s="8">
        <f>0.03072263-39.56272436</f>
        <v>-39.532001729999998</v>
      </c>
      <c r="E53" s="8">
        <f>'H2=2H'!D62/2</f>
        <v>-0.49686205</v>
      </c>
      <c r="F53" s="8">
        <f t="shared" si="6"/>
        <v>0.12600209000000007</v>
      </c>
      <c r="G53" s="8">
        <f t="shared" si="7"/>
        <v>79.066689481270046</v>
      </c>
      <c r="H53" s="33">
        <f t="shared" ref="H53:H55" si="8">ABS(G53-$A$2)</f>
        <v>24.233310518729951</v>
      </c>
    </row>
    <row r="54" spans="1:8" x14ac:dyDescent="0.3">
      <c r="A54" s="90" t="s">
        <v>25</v>
      </c>
      <c r="B54" s="34" t="s">
        <v>17</v>
      </c>
      <c r="C54" s="8">
        <f>0.04696499-40.19871198</f>
        <v>-40.151746989999999</v>
      </c>
      <c r="D54" s="8">
        <f>0.03050811-39.559645</f>
        <v>-39.529136890000004</v>
      </c>
      <c r="E54" s="8">
        <f>'H2=2H'!D63/2</f>
        <v>-0.49785866000000001</v>
      </c>
      <c r="F54" s="8">
        <f t="shared" si="6"/>
        <v>0.12475143999999716</v>
      </c>
      <c r="G54" s="8">
        <f t="shared" si="7"/>
        <v>78.281902854318218</v>
      </c>
      <c r="H54" s="103">
        <f t="shared" si="8"/>
        <v>25.018097145681779</v>
      </c>
    </row>
    <row r="55" spans="1:8" ht="14.5" thickBot="1" x14ac:dyDescent="0.35">
      <c r="A55" s="90" t="s">
        <v>25</v>
      </c>
      <c r="B55" s="34" t="s">
        <v>18</v>
      </c>
      <c r="C55" s="8">
        <f>0.04669113-40.19963317</f>
        <v>-40.152942039999999</v>
      </c>
      <c r="D55" s="8">
        <f>0.0304622-39.56166455</f>
        <v>-39.531202350000001</v>
      </c>
      <c r="E55" s="8">
        <f>'H2=2H'!D64/2</f>
        <v>-0.49826981999999997</v>
      </c>
      <c r="F55" s="8">
        <f t="shared" si="6"/>
        <v>0.12346987000000098</v>
      </c>
      <c r="G55" s="8">
        <f t="shared" si="7"/>
        <v>77.477713834610626</v>
      </c>
      <c r="H55" s="33">
        <f t="shared" si="8"/>
        <v>25.822286165389372</v>
      </c>
    </row>
    <row r="56" spans="1:8" ht="14.5" thickBot="1" x14ac:dyDescent="0.35">
      <c r="A56" s="89" t="s">
        <v>27</v>
      </c>
      <c r="B56" s="91" t="s">
        <v>28</v>
      </c>
      <c r="C56" s="14">
        <f>0.04556746-40.26560309</f>
        <v>-40.220035629999998</v>
      </c>
      <c r="D56" s="14">
        <f>0.02982904-39.58894174</f>
        <v>-39.5591127</v>
      </c>
      <c r="E56" s="14">
        <f>'H2=2H'!D61/2</f>
        <v>-0.49388664999999998</v>
      </c>
      <c r="F56" s="14">
        <f t="shared" ref="F56:F63" si="9">ABS(C56-(E56+D56))</f>
        <v>0.16703627999999782</v>
      </c>
      <c r="G56" s="14">
        <f t="shared" ref="G56:G58" si="10">F56*628.5095</f>
        <v>104.98388882465864</v>
      </c>
      <c r="H56" s="28">
        <f t="shared" ref="H56:H63" si="11">ABS(G56-$A$2)</f>
        <v>1.6838888246586379</v>
      </c>
    </row>
    <row r="57" spans="1:8" ht="14.5" thickBot="1" x14ac:dyDescent="0.35">
      <c r="A57" s="83" t="s">
        <v>27</v>
      </c>
      <c r="B57" s="92" t="s">
        <v>26</v>
      </c>
      <c r="C57" s="9">
        <f>0.0447281-40.48935929</f>
        <v>-40.444631190000003</v>
      </c>
      <c r="D57" s="9">
        <f>0.02975103-39.81284253</f>
        <v>-39.783091499999998</v>
      </c>
      <c r="E57" s="9">
        <f>'H2=2H'!D62/2</f>
        <v>-0.49686205</v>
      </c>
      <c r="F57" s="9">
        <f t="shared" si="9"/>
        <v>0.16467764000000784</v>
      </c>
      <c r="G57" s="93">
        <f t="shared" si="10"/>
        <v>103.50146117758493</v>
      </c>
      <c r="H57" s="83">
        <f t="shared" si="11"/>
        <v>0.20146117758493176</v>
      </c>
    </row>
    <row r="58" spans="1:8" x14ac:dyDescent="0.3">
      <c r="A58" s="90" t="s">
        <v>27</v>
      </c>
      <c r="B58" s="33" t="s">
        <v>17</v>
      </c>
      <c r="C58" s="8">
        <f>0.04430613-40.48037915</f>
        <v>-40.436073019999995</v>
      </c>
      <c r="D58" s="8">
        <f>0.02930089-39.80535126</f>
        <v>-39.77605037</v>
      </c>
      <c r="E58" s="8">
        <f>'H2=2H'!D63/2</f>
        <v>-0.49785866000000001</v>
      </c>
      <c r="F58" s="8">
        <f t="shared" si="9"/>
        <v>0.16216398999999626</v>
      </c>
      <c r="G58" s="8">
        <f t="shared" si="10"/>
        <v>101.92160827290265</v>
      </c>
      <c r="H58" s="33">
        <f t="shared" si="11"/>
        <v>1.3783917270973518</v>
      </c>
    </row>
    <row r="59" spans="1:8" ht="14.5" thickBot="1" x14ac:dyDescent="0.35">
      <c r="A59" s="94" t="s">
        <v>27</v>
      </c>
      <c r="B59" s="74" t="s">
        <v>18</v>
      </c>
      <c r="C59" s="23">
        <f>0.04418519-40.4846623</f>
        <v>-40.440477109999996</v>
      </c>
      <c r="D59" s="23">
        <f>0.0295803-39.81070267</f>
        <v>-39.781122369999999</v>
      </c>
      <c r="E59" s="23">
        <f>'H2=2H'!D64/2</f>
        <v>-0.49826981999999997</v>
      </c>
      <c r="F59" s="23">
        <f t="shared" si="9"/>
        <v>0.16108492000000041</v>
      </c>
      <c r="G59" s="23">
        <f>F59*627.503</f>
        <v>101.08127055476027</v>
      </c>
      <c r="H59" s="74">
        <f t="shared" si="11"/>
        <v>2.218729445239731</v>
      </c>
    </row>
    <row r="60" spans="1:8" x14ac:dyDescent="0.3">
      <c r="A60" s="37" t="s">
        <v>60</v>
      </c>
      <c r="B60" s="95" t="s">
        <v>28</v>
      </c>
      <c r="C60" s="8">
        <f>0.04641571-40.075513138533</f>
        <v>-40.029097428532999</v>
      </c>
      <c r="D60" s="8">
        <f>-39.41962345+0.03102493</f>
        <v>-39.388598520000002</v>
      </c>
      <c r="E60" s="8">
        <f xml:space="preserve"> -0.49619864</f>
        <v>-0.49619864000000002</v>
      </c>
      <c r="F60" s="8">
        <f t="shared" si="9"/>
        <v>0.14430026853299438</v>
      </c>
      <c r="G60" s="8">
        <f>F60*628.5095</f>
        <v>90.694089625538027</v>
      </c>
      <c r="H60" s="33">
        <f t="shared" si="11"/>
        <v>12.60591037446197</v>
      </c>
    </row>
    <row r="61" spans="1:8" x14ac:dyDescent="0.3">
      <c r="A61" s="37" t="s">
        <v>60</v>
      </c>
      <c r="B61" s="33" t="s">
        <v>26</v>
      </c>
      <c r="C61" s="8">
        <f>0.04623424-40.36465269</f>
        <v>-40.318418450000003</v>
      </c>
      <c r="D61" s="8">
        <f>0.03085394-39.69405727</f>
        <v>-39.663203330000002</v>
      </c>
      <c r="E61" s="8">
        <f>'H2=2H'!D66/2</f>
        <v>-0.49823290999999997</v>
      </c>
      <c r="F61" s="8">
        <f t="shared" si="9"/>
        <v>0.15698221000000245</v>
      </c>
      <c r="G61" s="8">
        <f>F61*628.5095</f>
        <v>98.664810315996547</v>
      </c>
      <c r="H61" s="103">
        <f t="shared" si="11"/>
        <v>4.6351896840034499</v>
      </c>
    </row>
    <row r="62" spans="1:8" x14ac:dyDescent="0.3">
      <c r="A62" s="37" t="s">
        <v>60</v>
      </c>
      <c r="B62" s="33" t="s">
        <v>17</v>
      </c>
      <c r="C62" s="8">
        <f>0.04539751-40.36017514</f>
        <v>-40.314777630000002</v>
      </c>
      <c r="D62" s="96">
        <f>0.0305872-39.69297239</f>
        <v>-39.662385190000002</v>
      </c>
      <c r="E62" s="8">
        <f>'H2=2H'!D67/2</f>
        <v>-0.49933432</v>
      </c>
      <c r="F62" s="8">
        <f t="shared" si="9"/>
        <v>0.15305811999999719</v>
      </c>
      <c r="G62" s="8">
        <f>F62*628.5095</f>
        <v>96.198482472138238</v>
      </c>
      <c r="H62" s="33">
        <f t="shared" si="11"/>
        <v>7.101517527861759</v>
      </c>
    </row>
    <row r="63" spans="1:8" ht="14.5" thickBot="1" x14ac:dyDescent="0.35">
      <c r="A63" s="38" t="s">
        <v>60</v>
      </c>
      <c r="B63" s="74" t="s">
        <v>18</v>
      </c>
      <c r="C63" s="23">
        <f>0.04500432-40.36772651</f>
        <v>-40.32272219</v>
      </c>
      <c r="D63" s="23">
        <f>0.03072783-39.70082578</f>
        <v>-39.670097950000006</v>
      </c>
      <c r="E63" s="23">
        <f>'H2=2H'!D68/2</f>
        <v>-0.49933432</v>
      </c>
      <c r="F63" s="23">
        <f t="shared" si="9"/>
        <v>0.15328991999999175</v>
      </c>
      <c r="G63" s="23">
        <f>F63*627.503</f>
        <v>96.189884669754832</v>
      </c>
      <c r="H63" s="74">
        <f t="shared" si="11"/>
        <v>7.110115330245165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H2=2H</vt:lpstr>
      <vt:lpstr>CH4=CH3+H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2024-05-03T13:59:54Z</dcterms:created>
  <dcterms:modified xsi:type="dcterms:W3CDTF">2024-06-29T15:31:28Z</dcterms:modified>
</cp:coreProperties>
</file>