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9\"/>
    </mc:Choice>
  </mc:AlternateContent>
  <xr:revisionPtr revIDLastSave="0" documentId="13_ncr:1_{D375AD71-3B7F-462E-B46C-E6356D7B6BAA}" xr6:coauthVersionLast="47" xr6:coauthVersionMax="47" xr10:uidLastSave="{00000000-0000-0000-0000-000000000000}"/>
  <bookViews>
    <workbookView xWindow="-110" yWindow="-110" windowWidth="25820" windowHeight="16220" activeTab="5" xr2:uid="{95A3C49D-62D7-4399-8090-8506A2A22D63}"/>
  </bookViews>
  <sheets>
    <sheet name="Q TST1 " sheetId="2" r:id="rId1"/>
    <sheet name="Q H" sheetId="3" r:id="rId2"/>
    <sheet name="CH4+H=CH3+H2" sheetId="1" r:id="rId3"/>
    <sheet name="Q TST2" sheetId="4" r:id="rId4"/>
    <sheet name="Q NH3" sheetId="5" r:id="rId5"/>
    <sheet name="NH3+H=NH2+H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6" l="1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12" i="6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12" i="1"/>
  <c r="E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2" i="1"/>
  <c r="E78" i="6"/>
  <c r="F78" i="6" s="1"/>
  <c r="E79" i="6"/>
  <c r="F79" i="6" s="1"/>
  <c r="E80" i="6"/>
  <c r="F80" i="6" s="1"/>
  <c r="E81" i="6"/>
  <c r="F81" i="6" s="1"/>
  <c r="E82" i="6"/>
  <c r="F82" i="6" s="1"/>
  <c r="E83" i="6"/>
  <c r="F83" i="6" s="1"/>
  <c r="E84" i="6"/>
  <c r="F84" i="6" s="1"/>
  <c r="D78" i="6"/>
  <c r="D79" i="6"/>
  <c r="D80" i="6"/>
  <c r="D81" i="6"/>
  <c r="D82" i="6"/>
  <c r="D83" i="6"/>
  <c r="D84" i="6"/>
  <c r="D85" i="6"/>
  <c r="E85" i="6" s="1"/>
  <c r="F85" i="6" s="1"/>
  <c r="D86" i="6"/>
  <c r="E86" i="6" s="1"/>
  <c r="F86" i="6" s="1"/>
  <c r="D87" i="6"/>
  <c r="E87" i="6" s="1"/>
  <c r="F87" i="6" s="1"/>
  <c r="D88" i="6"/>
  <c r="E88" i="6" s="1"/>
  <c r="F88" i="6" s="1"/>
  <c r="D89" i="6"/>
  <c r="E89" i="6" s="1"/>
  <c r="F89" i="6" s="1"/>
  <c r="D90" i="6"/>
  <c r="E90" i="6" s="1"/>
  <c r="F90" i="6" s="1"/>
  <c r="D91" i="6"/>
  <c r="E91" i="6" s="1"/>
  <c r="F91" i="6" s="1"/>
  <c r="D92" i="6"/>
  <c r="E92" i="6" s="1"/>
  <c r="F92" i="6" s="1"/>
  <c r="D93" i="6"/>
  <c r="E93" i="6" s="1"/>
  <c r="F93" i="6" s="1"/>
  <c r="D94" i="6"/>
  <c r="E94" i="6" s="1"/>
  <c r="F94" i="6" s="1"/>
  <c r="D77" i="6"/>
  <c r="E77" i="6" s="1"/>
  <c r="F77" i="6" s="1"/>
  <c r="D82" i="1"/>
  <c r="E82" i="1" s="1"/>
  <c r="F82" i="1" s="1"/>
  <c r="D83" i="1"/>
  <c r="E83" i="1" s="1"/>
  <c r="F83" i="1" s="1"/>
  <c r="D84" i="1"/>
  <c r="E84" i="1" s="1"/>
  <c r="F84" i="1" s="1"/>
  <c r="D85" i="1"/>
  <c r="E85" i="1" s="1"/>
  <c r="F85" i="1" s="1"/>
  <c r="D86" i="1"/>
  <c r="E86" i="1" s="1"/>
  <c r="F86" i="1" s="1"/>
  <c r="D87" i="1"/>
  <c r="E87" i="1" s="1"/>
  <c r="F87" i="1" s="1"/>
  <c r="D88" i="1"/>
  <c r="E88" i="1" s="1"/>
  <c r="F88" i="1" s="1"/>
  <c r="D89" i="1"/>
  <c r="E89" i="1" s="1"/>
  <c r="F89" i="1" s="1"/>
  <c r="D90" i="1"/>
  <c r="E90" i="1" s="1"/>
  <c r="F90" i="1" s="1"/>
  <c r="D91" i="1"/>
  <c r="E91" i="1" s="1"/>
  <c r="F91" i="1" s="1"/>
  <c r="D92" i="1"/>
  <c r="E92" i="1" s="1"/>
  <c r="F92" i="1" s="1"/>
  <c r="D93" i="1"/>
  <c r="E93" i="1" s="1"/>
  <c r="F93" i="1" s="1"/>
  <c r="D94" i="1"/>
  <c r="E94" i="1" s="1"/>
  <c r="F94" i="1" s="1"/>
  <c r="D95" i="1"/>
  <c r="E95" i="1" s="1"/>
  <c r="F95" i="1" s="1"/>
  <c r="D96" i="1"/>
  <c r="E96" i="1" s="1"/>
  <c r="F96" i="1" s="1"/>
  <c r="D97" i="1"/>
  <c r="E97" i="1" s="1"/>
  <c r="F97" i="1" s="1"/>
  <c r="D98" i="1"/>
  <c r="E98" i="1" s="1"/>
  <c r="F98" i="1" s="1"/>
  <c r="D81" i="1"/>
  <c r="E81" i="1" s="1"/>
  <c r="F81" i="1" s="1"/>
  <c r="B36" i="3" l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35" i="3"/>
  <c r="C35" i="3" s="1"/>
  <c r="B2" i="3"/>
  <c r="C36" i="3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12" i="6"/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K5" i="6" l="1"/>
  <c r="L5" i="6" s="1"/>
  <c r="L7" i="6" s="1"/>
  <c r="H5" i="6"/>
  <c r="I5" i="6" s="1"/>
  <c r="I7" i="6" s="1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36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15" i="4"/>
  <c r="E53" i="4" a="1"/>
  <c r="E53" i="4" s="1"/>
  <c r="B53" i="4" a="1"/>
  <c r="B53" i="4" s="1"/>
  <c r="E52" i="4" a="1"/>
  <c r="E52" i="4" s="1"/>
  <c r="B52" i="4" a="1"/>
  <c r="B52" i="4" s="1"/>
  <c r="E51" i="4" a="1"/>
  <c r="E51" i="4" s="1"/>
  <c r="B51" i="4" a="1"/>
  <c r="B51" i="4" s="1"/>
  <c r="E50" i="4" a="1"/>
  <c r="E50" i="4" s="1"/>
  <c r="B50" i="4" a="1"/>
  <c r="B50" i="4" s="1"/>
  <c r="E49" i="4" a="1"/>
  <c r="E49" i="4" s="1"/>
  <c r="B49" i="4" a="1"/>
  <c r="B49" i="4" s="1"/>
  <c r="E48" i="4" a="1"/>
  <c r="E48" i="4" s="1"/>
  <c r="B48" i="4" a="1"/>
  <c r="B48" i="4" s="1"/>
  <c r="E47" i="4" a="1"/>
  <c r="E47" i="4" s="1"/>
  <c r="B47" i="4" a="1"/>
  <c r="B47" i="4" s="1"/>
  <c r="E46" i="4" a="1"/>
  <c r="E46" i="4" s="1"/>
  <c r="B46" i="4" a="1"/>
  <c r="B46" i="4" s="1"/>
  <c r="C46" i="4" s="1" a="1"/>
  <c r="C46" i="4" s="1"/>
  <c r="E45" i="4" a="1"/>
  <c r="E45" i="4" s="1"/>
  <c r="B45" i="4" a="1"/>
  <c r="B45" i="4" s="1"/>
  <c r="E44" i="4" a="1"/>
  <c r="E44" i="4" s="1"/>
  <c r="B44" i="4" a="1"/>
  <c r="B44" i="4" s="1"/>
  <c r="E43" i="4" a="1"/>
  <c r="E43" i="4" s="1"/>
  <c r="B43" i="4" a="1"/>
  <c r="B43" i="4" s="1"/>
  <c r="E42" i="4" a="1"/>
  <c r="E42" i="4" s="1"/>
  <c r="B42" i="4" a="1"/>
  <c r="B42" i="4" s="1"/>
  <c r="E41" i="4" a="1"/>
  <c r="E41" i="4" s="1"/>
  <c r="B41" i="4" a="1"/>
  <c r="B41" i="4" s="1"/>
  <c r="E40" i="4" a="1"/>
  <c r="E40" i="4" s="1"/>
  <c r="B40" i="4" a="1"/>
  <c r="B40" i="4" s="1"/>
  <c r="E39" i="4" a="1"/>
  <c r="E39" i="4" s="1"/>
  <c r="B39" i="4" a="1"/>
  <c r="B39" i="4" s="1"/>
  <c r="C39" i="4" s="1" a="1"/>
  <c r="C39" i="4" s="1"/>
  <c r="E38" i="4" a="1"/>
  <c r="E38" i="4" s="1"/>
  <c r="B38" i="4" a="1"/>
  <c r="B38" i="4" s="1"/>
  <c r="E37" i="4" a="1"/>
  <c r="E37" i="4" s="1"/>
  <c r="B37" i="4" a="1"/>
  <c r="B37" i="4" s="1"/>
  <c r="E36" i="4" a="1"/>
  <c r="E36" i="4" s="1"/>
  <c r="B36" i="4" a="1"/>
  <c r="B36" i="4" s="1"/>
  <c r="E29" i="4" a="1"/>
  <c r="E29" i="4" s="1"/>
  <c r="D29" i="4" a="1"/>
  <c r="D29" i="4" s="1"/>
  <c r="C29" i="4" a="1"/>
  <c r="C29" i="4" s="1"/>
  <c r="I27" i="4" a="1"/>
  <c r="I27" i="4" s="1"/>
  <c r="I25" i="4" a="1"/>
  <c r="I25" i="4" s="1"/>
  <c r="H25" i="4" a="1"/>
  <c r="H25" i="4" s="1"/>
  <c r="G25" i="4" a="1"/>
  <c r="G25" i="4" s="1"/>
  <c r="I22" i="4" a="1"/>
  <c r="I22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F20" i="4" a="1"/>
  <c r="F20" i="4" s="1"/>
  <c r="D20" i="4" a="1"/>
  <c r="D20" i="4" s="1"/>
  <c r="D19" i="4" a="1"/>
  <c r="D19" i="4" s="1"/>
  <c r="C19" i="4" a="1"/>
  <c r="C19" i="4" s="1"/>
  <c r="J13" i="4" a="1"/>
  <c r="J13" i="4" s="1"/>
  <c r="J18" i="4" s="1" a="1"/>
  <c r="J18" i="4" s="1"/>
  <c r="I13" i="4" a="1"/>
  <c r="I13" i="4" s="1"/>
  <c r="I32" i="4" s="1" a="1"/>
  <c r="I32" i="4" s="1"/>
  <c r="H13" i="4" a="1"/>
  <c r="H13" i="4" s="1"/>
  <c r="H30" i="4" s="1" a="1"/>
  <c r="H30" i="4" s="1"/>
  <c r="G13" i="4" a="1"/>
  <c r="G13" i="4" s="1"/>
  <c r="G27" i="4" s="1" a="1"/>
  <c r="G27" i="4" s="1"/>
  <c r="F13" i="4" a="1"/>
  <c r="F13" i="4" s="1"/>
  <c r="F25" i="4" s="1" a="1"/>
  <c r="F25" i="4" s="1"/>
  <c r="E13" i="4" a="1"/>
  <c r="E13" i="4" s="1"/>
  <c r="E25" i="4" s="1" a="1"/>
  <c r="E25" i="4" s="1"/>
  <c r="D13" i="4" a="1"/>
  <c r="D13" i="4" s="1"/>
  <c r="D24" i="4" s="1" a="1"/>
  <c r="D24" i="4" s="1"/>
  <c r="C13" i="4" a="1"/>
  <c r="C13" i="4" s="1"/>
  <c r="C15" i="4" s="1" a="1"/>
  <c r="C15" i="4" s="1"/>
  <c r="B13" i="4" a="1"/>
  <c r="B13" i="4" s="1"/>
  <c r="B2" i="4"/>
  <c r="A2" i="4"/>
  <c r="E38" i="5" a="1"/>
  <c r="E38" i="5"/>
  <c r="E39" i="5" a="1"/>
  <c r="E39" i="5"/>
  <c r="E40" i="5" a="1"/>
  <c r="E40" i="5" s="1"/>
  <c r="E41" i="5" a="1"/>
  <c r="E41" i="5" s="1"/>
  <c r="E42" i="5" a="1"/>
  <c r="E42" i="5" s="1"/>
  <c r="E43" i="5" a="1"/>
  <c r="E43" i="5" s="1"/>
  <c r="E44" i="5" a="1"/>
  <c r="E44" i="5"/>
  <c r="E45" i="5" a="1"/>
  <c r="E45" i="5" s="1"/>
  <c r="E46" i="5" a="1"/>
  <c r="E46" i="5" s="1"/>
  <c r="E47" i="5" a="1"/>
  <c r="E47" i="5"/>
  <c r="E48" i="5" a="1"/>
  <c r="E48" i="5" s="1"/>
  <c r="E49" i="5" a="1"/>
  <c r="E49" i="5"/>
  <c r="E50" i="5" a="1"/>
  <c r="E50" i="5" s="1"/>
  <c r="E51" i="5" a="1"/>
  <c r="E51" i="5"/>
  <c r="E52" i="5" a="1"/>
  <c r="E52" i="5"/>
  <c r="E53" i="5" a="1"/>
  <c r="E53" i="5"/>
  <c r="E54" i="5" a="1"/>
  <c r="E54" i="5" s="1"/>
  <c r="E37" i="5" a="1"/>
  <c r="E37" i="5" s="1"/>
  <c r="B38" i="5" a="1"/>
  <c r="B38" i="5"/>
  <c r="B39" i="5" a="1"/>
  <c r="B39" i="5" s="1"/>
  <c r="B40" i="5" a="1"/>
  <c r="B40" i="5"/>
  <c r="B41" i="5" a="1"/>
  <c r="B41" i="5"/>
  <c r="B42" i="5" a="1"/>
  <c r="B42" i="5"/>
  <c r="C42" i="5" s="1" a="1"/>
  <c r="C42" i="5" s="1"/>
  <c r="B43" i="5" a="1"/>
  <c r="B43" i="5" s="1"/>
  <c r="C43" i="5" s="1" a="1"/>
  <c r="C43" i="5" s="1"/>
  <c r="B44" i="5" a="1"/>
  <c r="B44" i="5" s="1"/>
  <c r="C44" i="5" s="1" a="1"/>
  <c r="C44" i="5" s="1"/>
  <c r="B45" i="5" a="1"/>
  <c r="B45" i="5"/>
  <c r="B46" i="5" a="1"/>
  <c r="B46" i="5"/>
  <c r="B47" i="5" a="1"/>
  <c r="B47" i="5"/>
  <c r="C47" i="5" s="1" a="1"/>
  <c r="C47" i="5" s="1"/>
  <c r="B48" i="5" a="1"/>
  <c r="B48" i="5" s="1"/>
  <c r="C48" i="5" s="1" a="1"/>
  <c r="C48" i="5" s="1"/>
  <c r="B49" i="5" a="1"/>
  <c r="B49" i="5"/>
  <c r="B50" i="5" a="1"/>
  <c r="B50" i="5"/>
  <c r="B51" i="5" a="1"/>
  <c r="B51" i="5"/>
  <c r="B52" i="5" a="1"/>
  <c r="B52" i="5"/>
  <c r="B53" i="5" a="1"/>
  <c r="B53" i="5"/>
  <c r="B54" i="5" a="1"/>
  <c r="B54" i="5"/>
  <c r="B37" i="5" a="1"/>
  <c r="B37" i="5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C29" i="5" s="1" a="1"/>
  <c r="C29" i="5" s="1"/>
  <c r="B13" i="5" a="1"/>
  <c r="B13" i="5" s="1"/>
  <c r="B2" i="5"/>
  <c r="A2" i="5"/>
  <c r="C46" i="5" s="1" a="1"/>
  <c r="C46" i="5" s="1"/>
  <c r="D52" i="3"/>
  <c r="D51" i="3"/>
  <c r="G51" i="3"/>
  <c r="D50" i="3"/>
  <c r="G50" i="3"/>
  <c r="D49" i="3"/>
  <c r="G49" i="3"/>
  <c r="D48" i="3"/>
  <c r="G48" i="3"/>
  <c r="D47" i="3"/>
  <c r="G47" i="3"/>
  <c r="D46" i="3"/>
  <c r="G46" i="3"/>
  <c r="D45" i="3"/>
  <c r="G45" i="3"/>
  <c r="D44" i="3"/>
  <c r="G44" i="3"/>
  <c r="D43" i="3"/>
  <c r="D42" i="3"/>
  <c r="G42" i="3"/>
  <c r="D41" i="3"/>
  <c r="G41" i="3"/>
  <c r="D40" i="3"/>
  <c r="G40" i="3"/>
  <c r="D39" i="3"/>
  <c r="G39" i="3"/>
  <c r="D38" i="3"/>
  <c r="G38" i="3"/>
  <c r="D37" i="3"/>
  <c r="G37" i="3"/>
  <c r="D36" i="3"/>
  <c r="G36" i="3"/>
  <c r="D35" i="3"/>
  <c r="G35" i="3"/>
  <c r="B12" i="3" a="1"/>
  <c r="B12" i="3" s="1"/>
  <c r="A2" i="3"/>
  <c r="E24" i="6" l="1"/>
  <c r="E13" i="6"/>
  <c r="E14" i="6"/>
  <c r="E15" i="6"/>
  <c r="E17" i="6"/>
  <c r="E18" i="6"/>
  <c r="E19" i="6"/>
  <c r="E20" i="6"/>
  <c r="E21" i="6"/>
  <c r="E22" i="6"/>
  <c r="E23" i="6"/>
  <c r="E25" i="6"/>
  <c r="E26" i="6"/>
  <c r="E12" i="6"/>
  <c r="E29" i="6"/>
  <c r="E28" i="6"/>
  <c r="E16" i="6"/>
  <c r="E27" i="6"/>
  <c r="G43" i="3"/>
  <c r="G52" i="3"/>
  <c r="F17" i="4" a="1"/>
  <c r="F17" i="4" s="1"/>
  <c r="I17" i="4" a="1"/>
  <c r="I17" i="4" s="1"/>
  <c r="I18" i="4" a="1"/>
  <c r="I18" i="4" s="1"/>
  <c r="E20" i="4" a="1"/>
  <c r="E20" i="4" s="1"/>
  <c r="F29" i="4" a="1"/>
  <c r="F29" i="4" s="1"/>
  <c r="G29" i="4" a="1"/>
  <c r="G29" i="4" s="1"/>
  <c r="E31" i="4" a="1"/>
  <c r="E31" i="4" s="1"/>
  <c r="F31" i="4" a="1"/>
  <c r="F31" i="4" s="1"/>
  <c r="G32" i="4" a="1"/>
  <c r="G32" i="4" s="1"/>
  <c r="H32" i="4" a="1"/>
  <c r="H32" i="4" s="1"/>
  <c r="F15" i="4" a="1"/>
  <c r="F15" i="4" s="1"/>
  <c r="J32" i="4" a="1"/>
  <c r="J32" i="4" s="1"/>
  <c r="J22" i="4" a="1"/>
  <c r="J22" i="4" s="1"/>
  <c r="C40" i="4" a="1"/>
  <c r="C40" i="4" s="1"/>
  <c r="J23" i="4" a="1"/>
  <c r="J23" i="4" s="1"/>
  <c r="C26" i="4" a="1"/>
  <c r="C26" i="4" s="1"/>
  <c r="D26" i="4" a="1"/>
  <c r="D26" i="4" s="1"/>
  <c r="F27" i="4" a="1"/>
  <c r="F27" i="4" s="1"/>
  <c r="J27" i="4" a="1"/>
  <c r="J27" i="4" s="1"/>
  <c r="J16" i="4" a="1"/>
  <c r="J16" i="4" s="1"/>
  <c r="E24" i="4" a="1"/>
  <c r="E24" i="4" s="1"/>
  <c r="E15" i="4" a="1"/>
  <c r="E15" i="4" s="1"/>
  <c r="D31" i="4" a="1"/>
  <c r="D31" i="4" s="1"/>
  <c r="D15" i="4" a="1"/>
  <c r="D15" i="4" s="1"/>
  <c r="C21" i="4" a="1"/>
  <c r="C21" i="4" s="1"/>
  <c r="C31" i="4" a="1"/>
  <c r="C31" i="4" s="1"/>
  <c r="B27" i="4" a="1"/>
  <c r="B27" i="4" s="1"/>
  <c r="B18" i="4" a="1"/>
  <c r="B18" i="4" s="1"/>
  <c r="B31" i="4" a="1"/>
  <c r="B31" i="4" s="1"/>
  <c r="B22" i="4" a="1"/>
  <c r="B22" i="4" s="1"/>
  <c r="B20" i="4" a="1"/>
  <c r="B20" i="4" s="1"/>
  <c r="B23" i="4" a="1"/>
  <c r="B23" i="4" s="1"/>
  <c r="B25" i="4" a="1"/>
  <c r="B25" i="4" s="1"/>
  <c r="B30" i="4" a="1"/>
  <c r="B30" i="4" s="1"/>
  <c r="B28" i="4" a="1"/>
  <c r="B28" i="4" s="1"/>
  <c r="B16" i="4" a="1"/>
  <c r="B16" i="4" s="1"/>
  <c r="B15" i="4" a="1"/>
  <c r="B15" i="4" s="1"/>
  <c r="B24" i="4" a="1"/>
  <c r="B24" i="4" s="1"/>
  <c r="B26" i="4" a="1"/>
  <c r="B26" i="4" s="1"/>
  <c r="B29" i="4" a="1"/>
  <c r="B29" i="4" s="1"/>
  <c r="B17" i="4" a="1"/>
  <c r="B17" i="4" s="1"/>
  <c r="B19" i="4" a="1"/>
  <c r="B19" i="4" s="1"/>
  <c r="B32" i="4" a="1"/>
  <c r="B32" i="4" s="1"/>
  <c r="B21" i="4" a="1"/>
  <c r="B21" i="4" s="1"/>
  <c r="C53" i="4" a="1"/>
  <c r="C53" i="4" s="1"/>
  <c r="C45" i="4" a="1"/>
  <c r="C45" i="4" s="1"/>
  <c r="C41" i="4" a="1"/>
  <c r="C41" i="4" s="1"/>
  <c r="C37" i="4" a="1"/>
  <c r="C37" i="4" s="1"/>
  <c r="C49" i="4" a="1"/>
  <c r="C49" i="4" s="1"/>
  <c r="C48" i="4" a="1"/>
  <c r="C48" i="4" s="1"/>
  <c r="C38" i="4" a="1"/>
  <c r="C38" i="4" s="1"/>
  <c r="C42" i="4" a="1"/>
  <c r="C42" i="4" s="1"/>
  <c r="C36" i="4" a="1"/>
  <c r="C36" i="4" s="1"/>
  <c r="C43" i="4" a="1"/>
  <c r="C43" i="4" s="1"/>
  <c r="C52" i="4" a="1"/>
  <c r="C52" i="4" s="1"/>
  <c r="C47" i="4" a="1"/>
  <c r="C47" i="4" s="1"/>
  <c r="D23" i="4" a="1"/>
  <c r="D23" i="4" s="1"/>
  <c r="D27" i="4" a="1"/>
  <c r="D27" i="4" s="1"/>
  <c r="D18" i="4" a="1"/>
  <c r="D18" i="4" s="1"/>
  <c r="D32" i="4" a="1"/>
  <c r="D32" i="4" s="1"/>
  <c r="D25" i="4" a="1"/>
  <c r="D25" i="4" s="1"/>
  <c r="D30" i="4" a="1"/>
  <c r="D30" i="4" s="1"/>
  <c r="D28" i="4" a="1"/>
  <c r="D28" i="4" s="1"/>
  <c r="D16" i="4" a="1"/>
  <c r="D16" i="4" s="1"/>
  <c r="D21" i="4" a="1"/>
  <c r="D21" i="4" s="1"/>
  <c r="E18" i="4" a="1"/>
  <c r="E18" i="4" s="1"/>
  <c r="E32" i="4" a="1"/>
  <c r="E32" i="4" s="1"/>
  <c r="E19" i="4" a="1"/>
  <c r="E19" i="4" s="1"/>
  <c r="E23" i="4" a="1"/>
  <c r="E23" i="4" s="1"/>
  <c r="E28" i="4" a="1"/>
  <c r="E28" i="4" s="1"/>
  <c r="E30" i="4" a="1"/>
  <c r="E30" i="4" s="1"/>
  <c r="E21" i="4" a="1"/>
  <c r="E21" i="4" s="1"/>
  <c r="E16" i="4" a="1"/>
  <c r="E16" i="4" s="1"/>
  <c r="E26" i="4" a="1"/>
  <c r="E26" i="4" s="1"/>
  <c r="E17" i="4" a="1"/>
  <c r="E17" i="4" s="1"/>
  <c r="G30" i="4" a="1"/>
  <c r="G30" i="4" s="1"/>
  <c r="I29" i="4" a="1"/>
  <c r="I29" i="4" s="1"/>
  <c r="I20" i="4" a="1"/>
  <c r="I20" i="4" s="1"/>
  <c r="I24" i="4" a="1"/>
  <c r="I24" i="4" s="1"/>
  <c r="I15" i="4" a="1"/>
  <c r="I15" i="4" s="1"/>
  <c r="I16" i="4" a="1"/>
  <c r="I16" i="4" s="1"/>
  <c r="I31" i="4" a="1"/>
  <c r="I31" i="4" s="1"/>
  <c r="I19" i="4" a="1"/>
  <c r="I19" i="4" s="1"/>
  <c r="I23" i="4" a="1"/>
  <c r="I23" i="4" s="1"/>
  <c r="I21" i="4" a="1"/>
  <c r="I21" i="4" s="1"/>
  <c r="I28" i="4" a="1"/>
  <c r="I28" i="4" s="1"/>
  <c r="I26" i="4" a="1"/>
  <c r="I26" i="4" s="1"/>
  <c r="C51" i="4" a="1"/>
  <c r="C51" i="4" s="1"/>
  <c r="J24" i="4" a="1"/>
  <c r="J24" i="4" s="1"/>
  <c r="J25" i="4" a="1"/>
  <c r="J25" i="4" s="1"/>
  <c r="J15" i="4" a="1"/>
  <c r="J15" i="4" s="1"/>
  <c r="J29" i="4" a="1"/>
  <c r="J29" i="4" s="1"/>
  <c r="J20" i="4" a="1"/>
  <c r="J20" i="4" s="1"/>
  <c r="J21" i="4" a="1"/>
  <c r="J21" i="4" s="1"/>
  <c r="J28" i="4" a="1"/>
  <c r="J28" i="4" s="1"/>
  <c r="J31" i="4" a="1"/>
  <c r="J31" i="4" s="1"/>
  <c r="J17" i="4" a="1"/>
  <c r="J17" i="4" s="1"/>
  <c r="J26" i="4" a="1"/>
  <c r="J26" i="4" s="1"/>
  <c r="J19" i="4" a="1"/>
  <c r="J19" i="4" s="1"/>
  <c r="C44" i="4" a="1"/>
  <c r="C44" i="4" s="1"/>
  <c r="C50" i="4" a="1"/>
  <c r="C50" i="4" s="1"/>
  <c r="C22" i="4" a="1"/>
  <c r="C22" i="4" s="1"/>
  <c r="C32" i="4" a="1"/>
  <c r="C32" i="4" s="1"/>
  <c r="C27" i="4" a="1"/>
  <c r="C27" i="4" s="1"/>
  <c r="C18" i="4" a="1"/>
  <c r="C18" i="4" s="1"/>
  <c r="C23" i="4" a="1"/>
  <c r="C23" i="4" s="1"/>
  <c r="C20" i="4" a="1"/>
  <c r="C20" i="4" s="1"/>
  <c r="C25" i="4" a="1"/>
  <c r="C25" i="4" s="1"/>
  <c r="C30" i="4" a="1"/>
  <c r="C30" i="4" s="1"/>
  <c r="C28" i="4" a="1"/>
  <c r="C28" i="4" s="1"/>
  <c r="C16" i="4" a="1"/>
  <c r="C16" i="4" s="1"/>
  <c r="C17" i="4" a="1"/>
  <c r="C17" i="4" s="1"/>
  <c r="D17" i="4" a="1"/>
  <c r="D17" i="4" s="1"/>
  <c r="G28" i="4" a="1"/>
  <c r="G28" i="4" s="1"/>
  <c r="G15" i="4" a="1"/>
  <c r="G15" i="4" s="1"/>
  <c r="G19" i="4" a="1"/>
  <c r="G19" i="4" s="1"/>
  <c r="G24" i="4" a="1"/>
  <c r="G24" i="4" s="1"/>
  <c r="G18" i="4" a="1"/>
  <c r="G18" i="4" s="1"/>
  <c r="G31" i="4" a="1"/>
  <c r="G31" i="4" s="1"/>
  <c r="G16" i="4" a="1"/>
  <c r="G16" i="4" s="1"/>
  <c r="G23" i="4" a="1"/>
  <c r="G23" i="4" s="1"/>
  <c r="G21" i="4" a="1"/>
  <c r="G21" i="4" s="1"/>
  <c r="G26" i="4" a="1"/>
  <c r="G26" i="4" s="1"/>
  <c r="E27" i="4" a="1"/>
  <c r="E27" i="4" s="1"/>
  <c r="H28" i="4" a="1"/>
  <c r="H28" i="4" s="1"/>
  <c r="H15" i="4" a="1"/>
  <c r="H15" i="4" s="1"/>
  <c r="H29" i="4" a="1"/>
  <c r="H29" i="4" s="1"/>
  <c r="H19" i="4" a="1"/>
  <c r="H19" i="4" s="1"/>
  <c r="H24" i="4" a="1"/>
  <c r="H24" i="4" s="1"/>
  <c r="H18" i="4" a="1"/>
  <c r="H18" i="4" s="1"/>
  <c r="H26" i="4" a="1"/>
  <c r="H26" i="4" s="1"/>
  <c r="H31" i="4" a="1"/>
  <c r="H31" i="4" s="1"/>
  <c r="H16" i="4" a="1"/>
  <c r="H16" i="4" s="1"/>
  <c r="H23" i="4" a="1"/>
  <c r="H23" i="4" s="1"/>
  <c r="H21" i="4" a="1"/>
  <c r="H21" i="4" s="1"/>
  <c r="G20" i="4" a="1"/>
  <c r="G20" i="4" s="1"/>
  <c r="H20" i="4" a="1"/>
  <c r="H20" i="4" s="1"/>
  <c r="G17" i="4" a="1"/>
  <c r="G17" i="4" s="1"/>
  <c r="I30" i="4" a="1"/>
  <c r="I30" i="4" s="1"/>
  <c r="H17" i="4" a="1"/>
  <c r="H17" i="4" s="1"/>
  <c r="H27" i="4" a="1"/>
  <c r="H27" i="4" s="1"/>
  <c r="C24" i="4" a="1"/>
  <c r="C24" i="4" s="1"/>
  <c r="J30" i="4" a="1"/>
  <c r="J30" i="4" s="1"/>
  <c r="F32" i="4" a="1"/>
  <c r="F32" i="4" s="1"/>
  <c r="F23" i="4" a="1"/>
  <c r="F23" i="4" s="1"/>
  <c r="F28" i="4" a="1"/>
  <c r="F28" i="4" s="1"/>
  <c r="F19" i="4" a="1"/>
  <c r="F19" i="4" s="1"/>
  <c r="F24" i="4" a="1"/>
  <c r="F24" i="4" s="1"/>
  <c r="F21" i="4" a="1"/>
  <c r="F21" i="4" s="1"/>
  <c r="F16" i="4" a="1"/>
  <c r="F16" i="4" s="1"/>
  <c r="F18" i="4" a="1"/>
  <c r="F18" i="4" s="1"/>
  <c r="F26" i="4" a="1"/>
  <c r="F26" i="4" s="1"/>
  <c r="F30" i="4" a="1"/>
  <c r="F30" i="4" s="1"/>
  <c r="C41" i="5" a="1"/>
  <c r="C41" i="5" s="1"/>
  <c r="C40" i="5" a="1"/>
  <c r="C40" i="5" s="1"/>
  <c r="C37" i="5" a="1"/>
  <c r="C37" i="5" s="1"/>
  <c r="C39" i="5" a="1"/>
  <c r="C39" i="5" s="1"/>
  <c r="C38" i="5" a="1"/>
  <c r="C38" i="5" s="1"/>
  <c r="G38" i="5" s="1"/>
  <c r="C54" i="5" a="1"/>
  <c r="C54" i="5" s="1"/>
  <c r="C53" i="5" a="1"/>
  <c r="C53" i="5" s="1"/>
  <c r="C52" i="5" a="1"/>
  <c r="C52" i="5" s="1"/>
  <c r="G52" i="5" s="1"/>
  <c r="C51" i="5" a="1"/>
  <c r="C51" i="5" s="1"/>
  <c r="G51" i="5" s="1"/>
  <c r="C50" i="5" a="1"/>
  <c r="C50" i="5" s="1"/>
  <c r="C49" i="5" a="1"/>
  <c r="C49" i="5" s="1"/>
  <c r="G49" i="5" s="1"/>
  <c r="C45" i="5" a="1"/>
  <c r="C45" i="5" s="1"/>
  <c r="G45" i="5" s="1"/>
  <c r="G39" i="5"/>
  <c r="G37" i="5"/>
  <c r="G54" i="5"/>
  <c r="G53" i="5"/>
  <c r="G50" i="5"/>
  <c r="G46" i="5"/>
  <c r="G44" i="5"/>
  <c r="G47" i="5"/>
  <c r="G43" i="5"/>
  <c r="G48" i="5"/>
  <c r="G42" i="5"/>
  <c r="G41" i="5"/>
  <c r="G40" i="5"/>
  <c r="E30" i="5" a="1"/>
  <c r="E30" i="5" s="1"/>
  <c r="E25" i="5" a="1"/>
  <c r="E25" i="5" s="1"/>
  <c r="E20" i="5" a="1"/>
  <c r="E20" i="5" s="1"/>
  <c r="E15" i="5" a="1"/>
  <c r="E15" i="5" s="1"/>
  <c r="E22" i="5" a="1"/>
  <c r="E22" i="5" s="1"/>
  <c r="E26" i="5" a="1"/>
  <c r="E26" i="5" s="1"/>
  <c r="E28" i="5" a="1"/>
  <c r="E28" i="5" s="1"/>
  <c r="E23" i="5" a="1"/>
  <c r="E23" i="5" s="1"/>
  <c r="E18" i="5" a="1"/>
  <c r="E18" i="5" s="1"/>
  <c r="E27" i="5" a="1"/>
  <c r="E27" i="5" s="1"/>
  <c r="E31" i="5" a="1"/>
  <c r="E31" i="5" s="1"/>
  <c r="E21" i="5" a="1"/>
  <c r="E21" i="5" s="1"/>
  <c r="E16" i="5" a="1"/>
  <c r="E16" i="5" s="1"/>
  <c r="E32" i="5" a="1"/>
  <c r="E32" i="5" s="1"/>
  <c r="E24" i="5" a="1"/>
  <c r="E24" i="5" s="1"/>
  <c r="E29" i="5" a="1"/>
  <c r="E29" i="5" s="1"/>
  <c r="E19" i="5" a="1"/>
  <c r="E19" i="5" s="1"/>
  <c r="E17" i="5" a="1"/>
  <c r="E17" i="5" s="1"/>
  <c r="D18" i="5" a="1"/>
  <c r="D18" i="5" s="1"/>
  <c r="D30" i="5" a="1"/>
  <c r="D30" i="5" s="1"/>
  <c r="D25" i="5" a="1"/>
  <c r="D25" i="5" s="1"/>
  <c r="D20" i="5" a="1"/>
  <c r="D20" i="5" s="1"/>
  <c r="D28" i="5" a="1"/>
  <c r="D28" i="5" s="1"/>
  <c r="D23" i="5" a="1"/>
  <c r="D23" i="5" s="1"/>
  <c r="D15" i="5" a="1"/>
  <c r="D15" i="5" s="1"/>
  <c r="D32" i="5" a="1"/>
  <c r="D32" i="5" s="1"/>
  <c r="D31" i="5" a="1"/>
  <c r="D31" i="5" s="1"/>
  <c r="D26" i="5" a="1"/>
  <c r="D26" i="5" s="1"/>
  <c r="D21" i="5" a="1"/>
  <c r="D21" i="5" s="1"/>
  <c r="D16" i="5" a="1"/>
  <c r="D16" i="5" s="1"/>
  <c r="D17" i="5" a="1"/>
  <c r="D17" i="5" s="1"/>
  <c r="D22" i="5" a="1"/>
  <c r="D22" i="5" s="1"/>
  <c r="D29" i="5" a="1"/>
  <c r="D29" i="5" s="1"/>
  <c r="D27" i="5" a="1"/>
  <c r="D27" i="5" s="1"/>
  <c r="D19" i="5" a="1"/>
  <c r="D19" i="5" s="1"/>
  <c r="D24" i="5" a="1"/>
  <c r="D24" i="5" s="1"/>
  <c r="F30" i="5" a="1"/>
  <c r="F30" i="5" s="1"/>
  <c r="F25" i="5" a="1"/>
  <c r="F25" i="5" s="1"/>
  <c r="F20" i="5" a="1"/>
  <c r="F20" i="5" s="1"/>
  <c r="F15" i="5" a="1"/>
  <c r="F15" i="5" s="1"/>
  <c r="F32" i="5" a="1"/>
  <c r="F32" i="5" s="1"/>
  <c r="F27" i="5" a="1"/>
  <c r="F27" i="5" s="1"/>
  <c r="F26" i="5" a="1"/>
  <c r="F26" i="5" s="1"/>
  <c r="F28" i="5" a="1"/>
  <c r="F28" i="5" s="1"/>
  <c r="F23" i="5" a="1"/>
  <c r="F23" i="5" s="1"/>
  <c r="F22" i="5" a="1"/>
  <c r="F22" i="5" s="1"/>
  <c r="F17" i="5" a="1"/>
  <c r="F17" i="5" s="1"/>
  <c r="F21" i="5" a="1"/>
  <c r="F21" i="5" s="1"/>
  <c r="F16" i="5" a="1"/>
  <c r="F16" i="5" s="1"/>
  <c r="F18" i="5" a="1"/>
  <c r="F18" i="5" s="1"/>
  <c r="F24" i="5" a="1"/>
  <c r="F24" i="5" s="1"/>
  <c r="F31" i="5" a="1"/>
  <c r="F31" i="5" s="1"/>
  <c r="F29" i="5" a="1"/>
  <c r="F29" i="5" s="1"/>
  <c r="F19" i="5" a="1"/>
  <c r="F19" i="5" s="1"/>
  <c r="G20" i="5" a="1"/>
  <c r="G20" i="5" s="1"/>
  <c r="G15" i="5" a="1"/>
  <c r="G15" i="5" s="1"/>
  <c r="G32" i="5" a="1"/>
  <c r="G32" i="5" s="1"/>
  <c r="G27" i="5" a="1"/>
  <c r="G27" i="5" s="1"/>
  <c r="G22" i="5" a="1"/>
  <c r="G22" i="5" s="1"/>
  <c r="G16" i="5" a="1"/>
  <c r="G16" i="5" s="1"/>
  <c r="G28" i="5" a="1"/>
  <c r="G28" i="5" s="1"/>
  <c r="G23" i="5" a="1"/>
  <c r="G23" i="5" s="1"/>
  <c r="G18" i="5" a="1"/>
  <c r="G18" i="5" s="1"/>
  <c r="G30" i="5" a="1"/>
  <c r="G30" i="5" s="1"/>
  <c r="G25" i="5" a="1"/>
  <c r="G25" i="5" s="1"/>
  <c r="G17" i="5" a="1"/>
  <c r="G17" i="5" s="1"/>
  <c r="G26" i="5" a="1"/>
  <c r="G26" i="5" s="1"/>
  <c r="G24" i="5" a="1"/>
  <c r="G24" i="5" s="1"/>
  <c r="G31" i="5" a="1"/>
  <c r="G31" i="5" s="1"/>
  <c r="G21" i="5" a="1"/>
  <c r="G21" i="5" s="1"/>
  <c r="G19" i="5" a="1"/>
  <c r="G19" i="5" s="1"/>
  <c r="G29" i="5" a="1"/>
  <c r="G29" i="5" s="1"/>
  <c r="B28" i="5" a="1"/>
  <c r="B28" i="5" s="1"/>
  <c r="B23" i="5" a="1"/>
  <c r="B23" i="5" s="1"/>
  <c r="B18" i="5" a="1"/>
  <c r="B18" i="5" s="1"/>
  <c r="B25" i="5" a="1"/>
  <c r="B25" i="5" s="1"/>
  <c r="B30" i="5" a="1"/>
  <c r="B30" i="5" s="1"/>
  <c r="B19" i="5" a="1"/>
  <c r="B19" i="5" s="1"/>
  <c r="B21" i="5" a="1"/>
  <c r="B21" i="5" s="1"/>
  <c r="B20" i="5" a="1"/>
  <c r="B20" i="5" s="1"/>
  <c r="B29" i="5" a="1"/>
  <c r="B29" i="5" s="1"/>
  <c r="B24" i="5" a="1"/>
  <c r="B24" i="5" s="1"/>
  <c r="B31" i="5" a="1"/>
  <c r="B31" i="5" s="1"/>
  <c r="B26" i="5" a="1"/>
  <c r="B26" i="5" s="1"/>
  <c r="B16" i="5" a="1"/>
  <c r="B16" i="5" s="1"/>
  <c r="B22" i="5" a="1"/>
  <c r="B22" i="5" s="1"/>
  <c r="C22" i="5" a="1"/>
  <c r="C22" i="5" s="1"/>
  <c r="B32" i="5" a="1"/>
  <c r="B32" i="5" s="1"/>
  <c r="B27" i="5" a="1"/>
  <c r="B27" i="5" s="1"/>
  <c r="C27" i="5" a="1"/>
  <c r="C27" i="5" s="1"/>
  <c r="C28" i="5" a="1"/>
  <c r="C28" i="5" s="1"/>
  <c r="C23" i="5" a="1"/>
  <c r="C23" i="5" s="1"/>
  <c r="C18" i="5" a="1"/>
  <c r="C18" i="5" s="1"/>
  <c r="C30" i="5" a="1"/>
  <c r="C30" i="5" s="1"/>
  <c r="C25" i="5" a="1"/>
  <c r="C25" i="5" s="1"/>
  <c r="C24" i="5" a="1"/>
  <c r="C24" i="5" s="1"/>
  <c r="C31" i="5" a="1"/>
  <c r="C31" i="5" s="1"/>
  <c r="C16" i="5" a="1"/>
  <c r="C16" i="5" s="1"/>
  <c r="C15" i="5" a="1"/>
  <c r="C15" i="5" s="1"/>
  <c r="C19" i="5" a="1"/>
  <c r="C19" i="5" s="1"/>
  <c r="C26" i="5" a="1"/>
  <c r="C26" i="5" s="1"/>
  <c r="C21" i="5" a="1"/>
  <c r="C21" i="5" s="1"/>
  <c r="C20" i="5" a="1"/>
  <c r="C20" i="5" s="1"/>
  <c r="C32" i="5" a="1"/>
  <c r="C32" i="5" s="1"/>
  <c r="B15" i="5" a="1"/>
  <c r="B15" i="5" s="1"/>
  <c r="B17" i="5" a="1"/>
  <c r="B17" i="5" s="1"/>
  <c r="C17" i="5" a="1"/>
  <c r="C17" i="5" s="1"/>
  <c r="D42" i="4" l="1"/>
  <c r="I42" i="4" s="1"/>
  <c r="D40" i="4"/>
  <c r="I40" i="4" s="1"/>
  <c r="D38" i="4"/>
  <c r="I38" i="4" s="1"/>
  <c r="D45" i="4"/>
  <c r="I45" i="4" s="1"/>
  <c r="D36" i="4"/>
  <c r="I36" i="4" s="1"/>
  <c r="D37" i="4"/>
  <c r="I37" i="4" s="1"/>
  <c r="D51" i="4"/>
  <c r="I51" i="4" s="1"/>
  <c r="D46" i="4"/>
  <c r="I46" i="4" s="1"/>
  <c r="D44" i="4"/>
  <c r="I44" i="4" s="1"/>
  <c r="D41" i="4"/>
  <c r="I41" i="4" s="1"/>
  <c r="D52" i="4"/>
  <c r="I52" i="4" s="1"/>
  <c r="D39" i="4"/>
  <c r="I39" i="4" s="1"/>
  <c r="D48" i="4"/>
  <c r="I48" i="4" s="1"/>
  <c r="D53" i="4"/>
  <c r="I53" i="4" s="1"/>
  <c r="D50" i="4"/>
  <c r="I50" i="4" s="1"/>
  <c r="D47" i="4"/>
  <c r="I47" i="4" s="1"/>
  <c r="D49" i="4"/>
  <c r="I49" i="4" s="1"/>
  <c r="D43" i="4"/>
  <c r="I43" i="4" s="1"/>
  <c r="H26" i="5"/>
  <c r="H29" i="5"/>
  <c r="H20" i="5"/>
  <c r="H15" i="5"/>
  <c r="H25" i="5"/>
  <c r="H30" i="5"/>
  <c r="H27" i="5"/>
  <c r="H32" i="5"/>
  <c r="H22" i="5"/>
  <c r="H16" i="5"/>
  <c r="H31" i="5"/>
  <c r="H24" i="5"/>
  <c r="H21" i="5"/>
  <c r="H19" i="5"/>
  <c r="H18" i="5"/>
  <c r="H17" i="5"/>
  <c r="H23" i="5"/>
  <c r="H28" i="5"/>
  <c r="I37" i="2" l="1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36" i="2"/>
  <c r="E37" i="2" a="1"/>
  <c r="E37" i="2" s="1"/>
  <c r="E38" i="2" a="1"/>
  <c r="E38" i="2" s="1"/>
  <c r="E39" i="2" a="1"/>
  <c r="E39" i="2" s="1"/>
  <c r="E40" i="2" a="1"/>
  <c r="E40" i="2"/>
  <c r="E41" i="2" a="1"/>
  <c r="E41" i="2"/>
  <c r="E42" i="2" a="1"/>
  <c r="E42" i="2"/>
  <c r="E43" i="2" a="1"/>
  <c r="E43" i="2"/>
  <c r="E44" i="2" a="1"/>
  <c r="E44" i="2"/>
  <c r="E45" i="2" a="1"/>
  <c r="E45" i="2"/>
  <c r="E46" i="2" a="1"/>
  <c r="E46" i="2"/>
  <c r="E47" i="2" a="1"/>
  <c r="E47" i="2" s="1"/>
  <c r="E48" i="2" a="1"/>
  <c r="E48" i="2" s="1"/>
  <c r="E49" i="2" a="1"/>
  <c r="E49" i="2" s="1"/>
  <c r="E50" i="2" a="1"/>
  <c r="E50" i="2"/>
  <c r="E51" i="2" a="1"/>
  <c r="E51" i="2"/>
  <c r="E52" i="2" a="1"/>
  <c r="E52" i="2"/>
  <c r="E53" i="2" a="1"/>
  <c r="E53" i="2" s="1"/>
  <c r="E36" i="2" a="1"/>
  <c r="E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36" i="2"/>
  <c r="C37" i="2" a="1"/>
  <c r="C37" i="2" s="1"/>
  <c r="C38" i="2" a="1"/>
  <c r="C38" i="2"/>
  <c r="C39" i="2" a="1"/>
  <c r="C39" i="2"/>
  <c r="C40" i="2" a="1"/>
  <c r="C40" i="2"/>
  <c r="C41" i="2" a="1"/>
  <c r="C41" i="2" s="1"/>
  <c r="C42" i="2" a="1"/>
  <c r="C42" i="2"/>
  <c r="C43" i="2" a="1"/>
  <c r="C43" i="2" s="1"/>
  <c r="C44" i="2" a="1"/>
  <c r="C44" i="2"/>
  <c r="C45" i="2" a="1"/>
  <c r="C45" i="2"/>
  <c r="C46" i="2" a="1"/>
  <c r="C46" i="2"/>
  <c r="C47" i="2" a="1"/>
  <c r="C47" i="2" s="1"/>
  <c r="C48" i="2" a="1"/>
  <c r="C48" i="2" s="1"/>
  <c r="C49" i="2" a="1"/>
  <c r="C49" i="2"/>
  <c r="C50" i="2" a="1"/>
  <c r="C50" i="2"/>
  <c r="C51" i="2" a="1"/>
  <c r="C51" i="2"/>
  <c r="C52" i="2" a="1"/>
  <c r="C52" i="2"/>
  <c r="C53" i="2" a="1"/>
  <c r="C53" i="2" s="1"/>
  <c r="C36" i="2" a="1"/>
  <c r="C36" i="2" s="1"/>
  <c r="B37" i="2" a="1"/>
  <c r="B37" i="2" s="1"/>
  <c r="B38" i="2" a="1"/>
  <c r="B38" i="2"/>
  <c r="B39" i="2" a="1"/>
  <c r="B39" i="2"/>
  <c r="B40" i="2" a="1"/>
  <c r="B40" i="2"/>
  <c r="B41" i="2" a="1"/>
  <c r="B41" i="2"/>
  <c r="B42" i="2" a="1"/>
  <c r="B42" i="2"/>
  <c r="B43" i="2" a="1"/>
  <c r="B43" i="2"/>
  <c r="B44" i="2" a="1"/>
  <c r="B44" i="2"/>
  <c r="B45" i="2" a="1"/>
  <c r="B45" i="2"/>
  <c r="B46" i="2" a="1"/>
  <c r="B46" i="2"/>
  <c r="B47" i="2" a="1"/>
  <c r="B47" i="2"/>
  <c r="B48" i="2" a="1"/>
  <c r="B48" i="2"/>
  <c r="B49" i="2" a="1"/>
  <c r="B49" i="2"/>
  <c r="B50" i="2" a="1"/>
  <c r="B50" i="2"/>
  <c r="B51" i="2" a="1"/>
  <c r="B51" i="2"/>
  <c r="B52" i="2" a="1"/>
  <c r="B52" i="2"/>
  <c r="B53" i="2" a="1"/>
  <c r="B53" i="2" s="1"/>
  <c r="B36" i="2" a="1"/>
  <c r="B36" i="2" s="1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15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 s="1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L15" i="2" a="1"/>
  <c r="L15" i="2"/>
  <c r="L16" i="2" a="1"/>
  <c r="L16" i="2"/>
  <c r="L17" i="2" a="1"/>
  <c r="L17" i="2"/>
  <c r="L18" i="2" a="1"/>
  <c r="L18" i="2"/>
  <c r="L19" i="2" a="1"/>
  <c r="L19" i="2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 s="1"/>
  <c r="L26" i="2" a="1"/>
  <c r="L26" i="2"/>
  <c r="L27" i="2" a="1"/>
  <c r="L27" i="2"/>
  <c r="L28" i="2" a="1"/>
  <c r="L28" i="2"/>
  <c r="L29" i="2" a="1"/>
  <c r="L29" i="2"/>
  <c r="L30" i="2" a="1"/>
  <c r="L30" i="2"/>
  <c r="L31" i="2" a="1"/>
  <c r="L31" i="2"/>
  <c r="L32" i="2" a="1"/>
  <c r="L32" i="2"/>
  <c r="K15" i="2" a="1"/>
  <c r="K15" i="2"/>
  <c r="K16" i="2" a="1"/>
  <c r="K16" i="2"/>
  <c r="K17" i="2" a="1"/>
  <c r="K17" i="2"/>
  <c r="K18" i="2" a="1"/>
  <c r="K18" i="2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K27" i="2" a="1"/>
  <c r="K27" i="2"/>
  <c r="K28" i="2" a="1"/>
  <c r="K28" i="2"/>
  <c r="K29" i="2" a="1"/>
  <c r="K29" i="2"/>
  <c r="K30" i="2" a="1"/>
  <c r="K30" i="2"/>
  <c r="K31" i="2" a="1"/>
  <c r="K31" i="2"/>
  <c r="K32" i="2" a="1"/>
  <c r="K32" i="2"/>
  <c r="K13" i="2" a="1"/>
  <c r="K13" i="2" s="1"/>
  <c r="L13" i="2" a="1"/>
  <c r="L13" i="2"/>
  <c r="M13" i="2" a="1"/>
  <c r="M13" i="2"/>
  <c r="J13" i="2" a="1"/>
  <c r="J13" i="2" s="1"/>
  <c r="J28" i="2" s="1" a="1"/>
  <c r="J28" i="2" s="1"/>
  <c r="I13" i="2" a="1"/>
  <c r="I13" i="2" s="1"/>
  <c r="I26" i="2" s="1" a="1"/>
  <c r="I26" i="2" s="1"/>
  <c r="H13" i="2" a="1"/>
  <c r="H13" i="2" s="1"/>
  <c r="H30" i="2" s="1" a="1"/>
  <c r="H30" i="2" s="1"/>
  <c r="G13" i="2" a="1"/>
  <c r="G13" i="2" s="1"/>
  <c r="G20" i="2" s="1" a="1"/>
  <c r="G20" i="2" s="1"/>
  <c r="F13" i="2" a="1"/>
  <c r="F13" i="2" s="1"/>
  <c r="F17" i="2" s="1" a="1"/>
  <c r="F17" i="2" s="1"/>
  <c r="E13" i="2" a="1"/>
  <c r="E13" i="2" s="1"/>
  <c r="E30" i="2" s="1" a="1"/>
  <c r="E30" i="2" s="1"/>
  <c r="D13" i="2" a="1"/>
  <c r="D13" i="2" s="1"/>
  <c r="D22" i="2" s="1" a="1"/>
  <c r="D22" i="2" s="1"/>
  <c r="C13" i="2" a="1"/>
  <c r="C13" i="2" s="1"/>
  <c r="C29" i="2" s="1" a="1"/>
  <c r="C29" i="2" s="1"/>
  <c r="B13" i="2" a="1"/>
  <c r="B13" i="2" s="1"/>
  <c r="B20" i="2" s="1" a="1"/>
  <c r="B20" i="2" s="1"/>
  <c r="B2" i="2"/>
  <c r="A2" i="2"/>
  <c r="C20" i="2" l="1" a="1"/>
  <c r="C20" i="2" s="1"/>
  <c r="E15" i="2" a="1"/>
  <c r="E15" i="2" s="1"/>
  <c r="H15" i="2" a="1"/>
  <c r="H15" i="2" s="1"/>
  <c r="I15" i="2" a="1"/>
  <c r="I15" i="2" s="1"/>
  <c r="E16" i="2" a="1"/>
  <c r="E16" i="2" s="1"/>
  <c r="E17" i="2" a="1"/>
  <c r="E17" i="2" s="1"/>
  <c r="E18" i="2" a="1"/>
  <c r="E18" i="2" s="1"/>
  <c r="I19" i="2" a="1"/>
  <c r="I19" i="2" s="1"/>
  <c r="D20" i="2" a="1"/>
  <c r="D20" i="2" s="1"/>
  <c r="E20" i="2" a="1"/>
  <c r="E20" i="2" s="1"/>
  <c r="F20" i="2" a="1"/>
  <c r="F20" i="2" s="1"/>
  <c r="I21" i="2" a="1"/>
  <c r="I21" i="2" s="1"/>
  <c r="J21" i="2" a="1"/>
  <c r="J21" i="2" s="1"/>
  <c r="E22" i="2" a="1"/>
  <c r="E22" i="2" s="1"/>
  <c r="J23" i="2" a="1"/>
  <c r="J23" i="2" s="1"/>
  <c r="H24" i="2" a="1"/>
  <c r="H24" i="2" s="1"/>
  <c r="I24" i="2" a="1"/>
  <c r="I24" i="2" s="1"/>
  <c r="E26" i="2" a="1"/>
  <c r="E26" i="2" s="1"/>
  <c r="G26" i="2" a="1"/>
  <c r="G26" i="2" s="1"/>
  <c r="H26" i="2" a="1"/>
  <c r="H26" i="2" s="1"/>
  <c r="E28" i="2" a="1"/>
  <c r="E28" i="2" s="1"/>
  <c r="H28" i="2" a="1"/>
  <c r="H28" i="2" s="1"/>
  <c r="I28" i="2" a="1"/>
  <c r="I28" i="2" s="1"/>
  <c r="J30" i="2" a="1"/>
  <c r="J30" i="2" s="1"/>
  <c r="E31" i="2" a="1"/>
  <c r="E31" i="2" s="1"/>
  <c r="J19" i="2" a="1"/>
  <c r="J19" i="2" s="1"/>
  <c r="J17" i="2" a="1"/>
  <c r="J17" i="2" s="1"/>
  <c r="J24" i="2" a="1"/>
  <c r="J24" i="2" s="1"/>
  <c r="J25" i="2" a="1"/>
  <c r="J25" i="2" s="1"/>
  <c r="I30" i="2" a="1"/>
  <c r="I30" i="2" s="1"/>
  <c r="G28" i="2" a="1"/>
  <c r="G28" i="2" s="1"/>
  <c r="G30" i="2" a="1"/>
  <c r="G30" i="2" s="1"/>
  <c r="G15" i="2" a="1"/>
  <c r="G15" i="2" s="1"/>
  <c r="F26" i="2" a="1"/>
  <c r="F26" i="2" s="1"/>
  <c r="F28" i="2" a="1"/>
  <c r="F28" i="2" s="1"/>
  <c r="F15" i="2" a="1"/>
  <c r="F15" i="2" s="1"/>
  <c r="F30" i="2" a="1"/>
  <c r="F30" i="2" s="1"/>
  <c r="F16" i="2" a="1"/>
  <c r="F16" i="2" s="1"/>
  <c r="D16" i="2" a="1"/>
  <c r="D16" i="2" s="1"/>
  <c r="C24" i="2" a="1"/>
  <c r="C24" i="2" s="1"/>
  <c r="B24" i="2" a="1"/>
  <c r="B24" i="2" s="1"/>
  <c r="B29" i="2" a="1"/>
  <c r="B29" i="2" s="1"/>
  <c r="C16" i="2" a="1"/>
  <c r="C16" i="2" s="1"/>
  <c r="C21" i="2" a="1"/>
  <c r="C21" i="2" s="1"/>
  <c r="C26" i="2" a="1"/>
  <c r="C26" i="2" s="1"/>
  <c r="C31" i="2" a="1"/>
  <c r="C31" i="2" s="1"/>
  <c r="C23" i="2" a="1"/>
  <c r="C23" i="2" s="1"/>
  <c r="C25" i="2" a="1"/>
  <c r="C25" i="2" s="1"/>
  <c r="C27" i="2" a="1"/>
  <c r="C27" i="2" s="1"/>
  <c r="C15" i="2" a="1"/>
  <c r="C15" i="2" s="1"/>
  <c r="C17" i="2" a="1"/>
  <c r="C17" i="2" s="1"/>
  <c r="C28" i="2" a="1"/>
  <c r="C28" i="2" s="1"/>
  <c r="C19" i="2" a="1"/>
  <c r="C19" i="2" s="1"/>
  <c r="C30" i="2" a="1"/>
  <c r="C30" i="2" s="1"/>
  <c r="C32" i="2" a="1"/>
  <c r="C32" i="2" s="1"/>
  <c r="C18" i="2" a="1"/>
  <c r="C18" i="2" s="1"/>
  <c r="B16" i="2" a="1"/>
  <c r="B16" i="2" s="1"/>
  <c r="B21" i="2" a="1"/>
  <c r="B21" i="2" s="1"/>
  <c r="B26" i="2" a="1"/>
  <c r="B26" i="2" s="1"/>
  <c r="B31" i="2" a="1"/>
  <c r="B31" i="2" s="1"/>
  <c r="B32" i="2" a="1"/>
  <c r="B32" i="2" s="1"/>
  <c r="B23" i="2" a="1"/>
  <c r="B23" i="2" s="1"/>
  <c r="B25" i="2" a="1"/>
  <c r="B25" i="2" s="1"/>
  <c r="B15" i="2" a="1"/>
  <c r="B15" i="2" s="1"/>
  <c r="B17" i="2" a="1"/>
  <c r="B17" i="2" s="1"/>
  <c r="B28" i="2" a="1"/>
  <c r="B28" i="2" s="1"/>
  <c r="B19" i="2" a="1"/>
  <c r="B19" i="2" s="1"/>
  <c r="B30" i="2" a="1"/>
  <c r="B30" i="2" s="1"/>
  <c r="B18" i="2" a="1"/>
  <c r="B18" i="2" s="1"/>
  <c r="B22" i="2" a="1"/>
  <c r="B22" i="2" s="1"/>
  <c r="D26" i="2" a="1"/>
  <c r="D26" i="2" s="1"/>
  <c r="D31" i="2" a="1"/>
  <c r="D31" i="2" s="1"/>
  <c r="D19" i="2" a="1"/>
  <c r="D19" i="2" s="1"/>
  <c r="D24" i="2" a="1"/>
  <c r="D24" i="2" s="1"/>
  <c r="D29" i="2" a="1"/>
  <c r="D29" i="2" s="1"/>
  <c r="D17" i="2" a="1"/>
  <c r="D17" i="2" s="1"/>
  <c r="D32" i="2" a="1"/>
  <c r="D32" i="2" s="1"/>
  <c r="D21" i="2" a="1"/>
  <c r="D21" i="2" s="1"/>
  <c r="D23" i="2" a="1"/>
  <c r="D23" i="2" s="1"/>
  <c r="D25" i="2" a="1"/>
  <c r="D25" i="2" s="1"/>
  <c r="D28" i="2" a="1"/>
  <c r="D28" i="2" s="1"/>
  <c r="D30" i="2" a="1"/>
  <c r="D30" i="2" s="1"/>
  <c r="D27" i="2" a="1"/>
  <c r="D27" i="2" s="1"/>
  <c r="C22" i="2" a="1"/>
  <c r="C22" i="2" s="1"/>
  <c r="F19" i="2" a="1"/>
  <c r="F19" i="2" s="1"/>
  <c r="F24" i="2" a="1"/>
  <c r="F24" i="2" s="1"/>
  <c r="F29" i="2" a="1"/>
  <c r="F29" i="2" s="1"/>
  <c r="F32" i="2" a="1"/>
  <c r="F32" i="2" s="1"/>
  <c r="F21" i="2" a="1"/>
  <c r="F21" i="2" s="1"/>
  <c r="F23" i="2" a="1"/>
  <c r="F23" i="2" s="1"/>
  <c r="F25" i="2" a="1"/>
  <c r="F25" i="2" s="1"/>
  <c r="F27" i="2" a="1"/>
  <c r="F27" i="2" s="1"/>
  <c r="G24" i="2" a="1"/>
  <c r="G24" i="2" s="1"/>
  <c r="G29" i="2" a="1"/>
  <c r="G29" i="2" s="1"/>
  <c r="G17" i="2" a="1"/>
  <c r="G17" i="2" s="1"/>
  <c r="G22" i="2" a="1"/>
  <c r="G22" i="2" s="1"/>
  <c r="G27" i="2" a="1"/>
  <c r="G27" i="2" s="1"/>
  <c r="G32" i="2" a="1"/>
  <c r="G32" i="2" s="1"/>
  <c r="G16" i="2" a="1"/>
  <c r="G16" i="2" s="1"/>
  <c r="G19" i="2" a="1"/>
  <c r="G19" i="2" s="1"/>
  <c r="G21" i="2" a="1"/>
  <c r="G21" i="2" s="1"/>
  <c r="G23" i="2" a="1"/>
  <c r="G23" i="2" s="1"/>
  <c r="G25" i="2" a="1"/>
  <c r="G25" i="2" s="1"/>
  <c r="G18" i="2" a="1"/>
  <c r="G18" i="2" s="1"/>
  <c r="D18" i="2" a="1"/>
  <c r="D18" i="2" s="1"/>
  <c r="H17" i="2" a="1"/>
  <c r="H17" i="2" s="1"/>
  <c r="H22" i="2" a="1"/>
  <c r="H22" i="2" s="1"/>
  <c r="H27" i="2" a="1"/>
  <c r="H27" i="2" s="1"/>
  <c r="H32" i="2" a="1"/>
  <c r="H32" i="2" s="1"/>
  <c r="H19" i="2" a="1"/>
  <c r="H19" i="2" s="1"/>
  <c r="H16" i="2" a="1"/>
  <c r="H16" i="2" s="1"/>
  <c r="H20" i="2" a="1"/>
  <c r="H20" i="2" s="1"/>
  <c r="H29" i="2" a="1"/>
  <c r="H29" i="2" s="1"/>
  <c r="H21" i="2" a="1"/>
  <c r="H21" i="2" s="1"/>
  <c r="H23" i="2" a="1"/>
  <c r="H23" i="2" s="1"/>
  <c r="H25" i="2" a="1"/>
  <c r="H25" i="2" s="1"/>
  <c r="H18" i="2" a="1"/>
  <c r="H18" i="2" s="1"/>
  <c r="I17" i="2" a="1"/>
  <c r="I17" i="2" s="1"/>
  <c r="I22" i="2" a="1"/>
  <c r="I22" i="2" s="1"/>
  <c r="I27" i="2" a="1"/>
  <c r="I27" i="2" s="1"/>
  <c r="I32" i="2" a="1"/>
  <c r="I32" i="2" s="1"/>
  <c r="I23" i="2" a="1"/>
  <c r="I23" i="2" s="1"/>
  <c r="I16" i="2" a="1"/>
  <c r="I16" i="2" s="1"/>
  <c r="I18" i="2" a="1"/>
  <c r="I18" i="2" s="1"/>
  <c r="I25" i="2" a="1"/>
  <c r="I25" i="2" s="1"/>
  <c r="I20" i="2" a="1"/>
  <c r="I20" i="2" s="1"/>
  <c r="I29" i="2" a="1"/>
  <c r="I29" i="2" s="1"/>
  <c r="I31" i="2" a="1"/>
  <c r="I31" i="2" s="1"/>
  <c r="F31" i="2" a="1"/>
  <c r="F31" i="2" s="1"/>
  <c r="J22" i="2" a="1"/>
  <c r="J22" i="2" s="1"/>
  <c r="J27" i="2" a="1"/>
  <c r="J27" i="2" s="1"/>
  <c r="J32" i="2" a="1"/>
  <c r="J32" i="2" s="1"/>
  <c r="J15" i="2" a="1"/>
  <c r="J15" i="2" s="1"/>
  <c r="J20" i="2" a="1"/>
  <c r="J20" i="2" s="1"/>
  <c r="J18" i="2" a="1"/>
  <c r="J18" i="2" s="1"/>
  <c r="J31" i="2" a="1"/>
  <c r="J31" i="2" s="1"/>
  <c r="J16" i="2" a="1"/>
  <c r="J16" i="2" s="1"/>
  <c r="J29" i="2" a="1"/>
  <c r="J29" i="2" s="1"/>
  <c r="J26" i="2" a="1"/>
  <c r="J26" i="2" s="1"/>
  <c r="D15" i="2" a="1"/>
  <c r="D15" i="2" s="1"/>
  <c r="F18" i="2" a="1"/>
  <c r="F18" i="2" s="1"/>
  <c r="F22" i="2" a="1"/>
  <c r="F22" i="2" s="1"/>
  <c r="G31" i="2" a="1"/>
  <c r="G31" i="2" s="1"/>
  <c r="B27" i="2" a="1"/>
  <c r="B27" i="2" s="1"/>
  <c r="H31" i="2" a="1"/>
  <c r="H31" i="2" s="1"/>
  <c r="E23" i="2" a="1"/>
  <c r="E23" i="2" s="1"/>
  <c r="E21" i="2" a="1"/>
  <c r="E21" i="2" s="1"/>
  <c r="E32" i="2" a="1"/>
  <c r="E32" i="2" s="1"/>
  <c r="E19" i="2" a="1"/>
  <c r="E19" i="2" s="1"/>
  <c r="E24" i="2" a="1"/>
  <c r="E24" i="2" s="1"/>
  <c r="E29" i="2" a="1"/>
  <c r="E29" i="2" s="1"/>
  <c r="E27" i="2" a="1"/>
  <c r="E27" i="2" s="1"/>
  <c r="E25" i="2" a="1"/>
  <c r="E25" i="2" s="1"/>
  <c r="K5" i="1" l="1"/>
  <c r="L5" i="1" s="1"/>
  <c r="L7" i="1" s="1"/>
  <c r="H5" i="1"/>
  <c r="I5" i="1" s="1"/>
  <c r="I7" i="1" s="1"/>
  <c r="E13" i="1" l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<sst xmlns="http://schemas.openxmlformats.org/spreadsheetml/2006/main" count="268" uniqueCount="97">
  <si>
    <t>Q CH4</t>
  </si>
  <si>
    <t>Q H</t>
  </si>
  <si>
    <t>Temperature</t>
  </si>
  <si>
    <t>SCF Energies [Hartree]</t>
  </si>
  <si>
    <t>CH4</t>
  </si>
  <si>
    <t>H</t>
  </si>
  <si>
    <t>CH3</t>
  </si>
  <si>
    <t>H2</t>
  </si>
  <si>
    <t>TST</t>
  </si>
  <si>
    <t>ZPE [Hartree]</t>
  </si>
  <si>
    <t>E forward [Hartree]</t>
  </si>
  <si>
    <t>E backward [Hartree]</t>
  </si>
  <si>
    <t>E forward [kJ/mol]</t>
  </si>
  <si>
    <t>E backward [kJ/mol]</t>
  </si>
  <si>
    <t>R</t>
  </si>
  <si>
    <t>Pi Greco</t>
  </si>
  <si>
    <t>Massa [kg]</t>
  </si>
  <si>
    <t>Boltzmann k</t>
  </si>
  <si>
    <t>Planck h</t>
  </si>
  <si>
    <t>Rydberg R</t>
  </si>
  <si>
    <t>Avogadro N</t>
  </si>
  <si>
    <t>Massa [g/mol]</t>
  </si>
  <si>
    <t>N</t>
  </si>
  <si>
    <t>Simmetria</t>
  </si>
  <si>
    <t>Rotational temperatures x</t>
  </si>
  <si>
    <t>Rotational temperatures y</t>
  </si>
  <si>
    <t>Rotational temperatures z</t>
  </si>
  <si>
    <t>Gel</t>
  </si>
  <si>
    <t>Eel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</si>
  <si>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</si>
  <si>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</si>
  <si>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</si>
  <si>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</si>
  <si>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</si>
  <si>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</si>
  <si>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</si>
  <si>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</si>
  <si>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</si>
  <si>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Temperatura</t>
  </si>
  <si>
    <t>Qvib1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</si>
  <si>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</si>
  <si>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</si>
  <si>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</si>
  <si>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</si>
  <si>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</si>
  <si>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</si>
  <si>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</si>
  <si>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</si>
  <si>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Qtot</t>
  </si>
  <si>
    <t>Frequenza10</t>
  </si>
  <si>
    <t>Frequenza11</t>
  </si>
  <si>
    <t>Frequenza12</t>
  </si>
  <si>
    <t>Qvib10</t>
  </si>
  <si>
    <t>Qvib11</t>
  </si>
  <si>
    <t>Qvib12</t>
  </si>
  <si>
    <t>Volume</t>
  </si>
  <si>
    <t>Qtrasl</t>
  </si>
  <si>
    <t>Qvib</t>
  </si>
  <si>
    <t>Qrot</t>
  </si>
  <si>
    <t>Qel</t>
  </si>
  <si>
    <t xml:space="preserve">Q ≠ </t>
  </si>
  <si>
    <t>E forward [kcal/mol]</t>
  </si>
  <si>
    <t>Transition state</t>
  </si>
  <si>
    <t>Normal modes</t>
  </si>
  <si>
    <t>Distance C-H</t>
  </si>
  <si>
    <t>SCF</t>
  </si>
  <si>
    <t>NH3</t>
  </si>
  <si>
    <t>NH2</t>
  </si>
  <si>
    <t>Q NH3</t>
  </si>
  <si>
    <t>Distance N-H</t>
  </si>
  <si>
    <t>https://kinetics.nist.gov/kinetics/Detail?id=1997COR/ESP4013-4021:3</t>
  </si>
  <si>
    <r>
      <t>6.54x10</t>
    </r>
    <r>
      <rPr>
        <vertAlign val="superscript"/>
        <sz val="18"/>
        <color theme="1"/>
        <rFont val="Aptos Narrow"/>
        <family val="2"/>
        <scheme val="minor"/>
      </rPr>
      <t>-13</t>
    </r>
    <r>
      <rPr>
        <sz val="18"/>
        <color theme="1"/>
        <rFont val="Aptos Narrow"/>
        <family val="2"/>
        <scheme val="minor"/>
      </rPr>
      <t xml:space="preserve"> [cm</t>
    </r>
    <r>
      <rPr>
        <vertAlign val="superscript"/>
        <sz val="18"/>
        <color theme="1"/>
        <rFont val="Aptos Narrow"/>
        <family val="2"/>
        <scheme val="minor"/>
      </rPr>
      <t>3</t>
    </r>
    <r>
      <rPr>
        <sz val="18"/>
        <color theme="1"/>
        <rFont val="Aptos Narrow"/>
        <family val="2"/>
        <scheme val="minor"/>
      </rPr>
      <t>/molecule s] (T/298 K)</t>
    </r>
    <r>
      <rPr>
        <vertAlign val="superscript"/>
        <sz val="18"/>
        <color theme="1"/>
        <rFont val="Aptos Narrow"/>
        <family val="2"/>
        <scheme val="minor"/>
      </rPr>
      <t>2.76</t>
    </r>
    <r>
      <rPr>
        <sz val="18"/>
        <color theme="1"/>
        <rFont val="Aptos Narrow"/>
        <family val="2"/>
        <scheme val="minor"/>
      </rPr>
      <t xml:space="preserve"> e</t>
    </r>
    <r>
      <rPr>
        <vertAlign val="superscript"/>
        <sz val="18"/>
        <color theme="1"/>
        <rFont val="Aptos Narrow"/>
        <family val="2"/>
        <scheme val="minor"/>
      </rPr>
      <t>-42.99 [kJ/mole]/RT</t>
    </r>
  </si>
  <si>
    <t>Q tunnel</t>
  </si>
  <si>
    <t>Il sistema continua a vibrare lungo la direzione dello scostamento, senza trasmettere il moto ad altre direzioni</t>
  </si>
  <si>
    <t>Hessiana (con coordinate lungo i modi normali) diagonale</t>
  </si>
  <si>
    <t>rate constant</t>
  </si>
  <si>
    <t>Q CH_4</t>
  </si>
  <si>
    <t>Dal lab3</t>
  </si>
  <si>
    <t>Q_R</t>
  </si>
  <si>
    <t>Kinetic constant</t>
  </si>
  <si>
    <t>Freq attraveramento (Q ≠ /Q_R)</t>
  </si>
  <si>
    <t>k = (1000*m)^2</t>
  </si>
  <si>
    <t>QNH3</t>
  </si>
  <si>
    <t>Derivata seconda lungo coordinata di reazione &lt;&lt;0: barriera stretta</t>
  </si>
  <si>
    <t>k forward</t>
  </si>
  <si>
    <r>
      <t>9.66x10</t>
    </r>
    <r>
      <rPr>
        <vertAlign val="superscript"/>
        <sz val="14"/>
        <color theme="1"/>
        <rFont val="Aptos Narrow"/>
        <family val="2"/>
        <scheme val="minor"/>
      </rPr>
      <t>-13</t>
    </r>
    <r>
      <rPr>
        <sz val="14"/>
        <color theme="1"/>
        <rFont val="Aptos Narrow"/>
        <family val="2"/>
        <scheme val="minor"/>
      </rPr>
      <t xml:space="preserve"> [cm</t>
    </r>
    <r>
      <rPr>
        <vertAlign val="superscript"/>
        <sz val="14"/>
        <color theme="1"/>
        <rFont val="Aptos Narrow"/>
        <family val="2"/>
        <scheme val="minor"/>
      </rPr>
      <t>3</t>
    </r>
    <r>
      <rPr>
        <sz val="14"/>
        <color theme="1"/>
        <rFont val="Aptos Narrow"/>
        <family val="2"/>
        <scheme val="minor"/>
      </rPr>
      <t>/molecule s] (T/298 K)</t>
    </r>
    <r>
      <rPr>
        <vertAlign val="superscript"/>
        <sz val="14"/>
        <color theme="1"/>
        <rFont val="Aptos Narrow"/>
        <family val="2"/>
        <scheme val="minor"/>
      </rPr>
      <t>3.00</t>
    </r>
    <r>
      <rPr>
        <sz val="14"/>
        <color theme="1"/>
        <rFont val="Aptos Narrow"/>
        <family val="2"/>
        <scheme val="minor"/>
      </rPr>
      <t xml:space="preserve"> e</t>
    </r>
    <r>
      <rPr>
        <vertAlign val="superscript"/>
        <sz val="14"/>
        <color theme="1"/>
        <rFont val="Aptos Narrow"/>
        <family val="2"/>
        <scheme val="minor"/>
      </rPr>
      <t>-36.58 [kJ/mole]/RT</t>
    </r>
  </si>
  <si>
    <t>https://kinetics.nist.gov/kinetics/Detail?id=1984WAR197C:14   https://kinetics.nist.gov/kinetics/Detail?id=1992BAU/COB411-429:109</t>
  </si>
  <si>
    <r>
      <t>6.86x10</t>
    </r>
    <r>
      <rPr>
        <vertAlign val="superscript"/>
        <sz val="11"/>
        <color theme="1"/>
        <rFont val="Aptos Narrow"/>
        <family val="2"/>
        <scheme val="minor"/>
      </rPr>
      <t>-14</t>
    </r>
    <r>
      <rPr>
        <sz val="11"/>
        <color theme="1"/>
        <rFont val="Aptos Narrow"/>
        <family val="2"/>
        <scheme val="minor"/>
      </rPr>
      <t xml:space="preserve"> [cm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/molecule s] (T/298 K)</t>
    </r>
    <r>
      <rPr>
        <vertAlign val="superscript"/>
        <sz val="11"/>
        <color theme="1"/>
        <rFont val="Aptos Narrow"/>
        <family val="2"/>
        <scheme val="minor"/>
      </rPr>
      <t>2.74</t>
    </r>
    <r>
      <rPr>
        <sz val="11"/>
        <color theme="1"/>
        <rFont val="Aptos Narrow"/>
        <family val="2"/>
        <scheme val="minor"/>
      </rPr>
      <t xml:space="preserve"> e</t>
    </r>
    <r>
      <rPr>
        <vertAlign val="superscript"/>
        <sz val="11"/>
        <color theme="1"/>
        <rFont val="Aptos Narrow"/>
        <family val="2"/>
        <scheme val="minor"/>
      </rPr>
      <t>-39.41 [kJ/mole]/RT</t>
    </r>
  </si>
  <si>
    <t>k backward</t>
  </si>
  <si>
    <t>pre-exp forward</t>
  </si>
  <si>
    <t>pre-exp backward</t>
  </si>
  <si>
    <t>E backward [kcal/mol]</t>
  </si>
  <si>
    <t>https://kinetics.nist.gov/kinetics/Detail?id=2019THA/STA321-328:1</t>
  </si>
  <si>
    <t>backward</t>
  </si>
  <si>
    <r>
      <t>1.58x10</t>
    </r>
    <r>
      <rPr>
        <vertAlign val="superscript"/>
        <sz val="16"/>
        <color theme="1"/>
        <rFont val="Aptos Narrow"/>
        <family val="2"/>
        <scheme val="minor"/>
      </rPr>
      <t>-12</t>
    </r>
    <r>
      <rPr>
        <sz val="16"/>
        <color theme="1"/>
        <rFont val="Aptos Narrow"/>
        <family val="2"/>
        <scheme val="minor"/>
      </rPr>
      <t xml:space="preserve"> [cm</t>
    </r>
    <r>
      <rPr>
        <vertAlign val="superscript"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>/molecule s] (T/298 K)</t>
    </r>
    <r>
      <rPr>
        <vertAlign val="superscript"/>
        <sz val="16"/>
        <color theme="1"/>
        <rFont val="Aptos Narrow"/>
        <family val="2"/>
        <scheme val="minor"/>
      </rPr>
      <t>2.23</t>
    </r>
    <r>
      <rPr>
        <sz val="16"/>
        <color theme="1"/>
        <rFont val="Aptos Narrow"/>
        <family val="2"/>
        <scheme val="minor"/>
      </rPr>
      <t xml:space="preserve"> e</t>
    </r>
    <r>
      <rPr>
        <vertAlign val="superscript"/>
        <sz val="16"/>
        <color theme="1"/>
        <rFont val="Aptos Narrow"/>
        <family val="2"/>
        <scheme val="minor"/>
      </rPr>
      <t>-43.54 [kJ/mole]/RT</t>
    </r>
  </si>
  <si>
    <t>La velocita di decomposizione del metano in gruppo metile avviene più velocemente anche a temperature alte</t>
  </si>
  <si>
    <t>Effetto tunnel perché l'H ha massa molto bassa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</si>
</sst>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E+00"/>
    <numFmt numFmtId="165" formatCode="0.00000"/>
    <numFmt numFmtId="166" formatCode="0.000000"/>
    <numFmt numFmtId="167" formatCode="0.0000E+00"/>
  </numFmts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vertAlign val="superscript"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vertAlign val="superscript"/>
      <sz val="18"/>
      <color theme="1"/>
      <name val="Aptos Narrow"/>
      <family val="2"/>
      <scheme val="minor"/>
    </font>
    <font>
      <sz val="11"/>
      <color theme="1"/>
      <name val="Aptos"/>
      <family val="2"/>
    </font>
    <font>
      <vertAlign val="superscript"/>
      <sz val="14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8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thin">
        <color theme="8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0" xfId="0" applyNumberFormat="1"/>
    <xf numFmtId="0" fontId="1" fillId="6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7" borderId="29" xfId="0" applyFont="1" applyFill="1" applyBorder="1"/>
    <xf numFmtId="0" fontId="1" fillId="6" borderId="30" xfId="0" applyFont="1" applyFill="1" applyBorder="1"/>
    <xf numFmtId="0" fontId="1" fillId="6" borderId="31" xfId="0" applyFont="1" applyFill="1" applyBorder="1"/>
    <xf numFmtId="0" fontId="0" fillId="0" borderId="33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34" xfId="0" applyNumberFormat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11" fontId="0" fillId="0" borderId="32" xfId="0" applyNumberFormat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3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37" xfId="0" applyNumberFormat="1" applyBorder="1" applyAlignment="1">
      <alignment horizontal="center"/>
    </xf>
    <xf numFmtId="11" fontId="0" fillId="0" borderId="38" xfId="0" applyNumberFormat="1" applyBorder="1" applyAlignment="1">
      <alignment horizontal="center"/>
    </xf>
    <xf numFmtId="11" fontId="0" fillId="0" borderId="21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1" fontId="2" fillId="0" borderId="0" xfId="0" applyNumberFormat="1" applyFont="1"/>
    <xf numFmtId="0" fontId="0" fillId="0" borderId="0" xfId="0" applyAlignment="1">
      <alignment horizontal="center" vertical="center" wrapText="1"/>
    </xf>
    <xf numFmtId="11" fontId="0" fillId="0" borderId="5" xfId="0" applyNumberFormat="1" applyBorder="1"/>
    <xf numFmtId="11" fontId="0" fillId="0" borderId="8" xfId="0" applyNumberFormat="1" applyBorder="1"/>
    <xf numFmtId="0" fontId="0" fillId="0" borderId="39" xfId="0" applyBorder="1"/>
    <xf numFmtId="11" fontId="0" fillId="0" borderId="40" xfId="0" applyNumberFormat="1" applyBorder="1"/>
    <xf numFmtId="0" fontId="2" fillId="9" borderId="10" xfId="0" applyFont="1" applyFill="1" applyBorder="1"/>
    <xf numFmtId="11" fontId="0" fillId="0" borderId="41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11" fontId="0" fillId="0" borderId="5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1" fontId="0" fillId="0" borderId="40" xfId="0" applyNumberFormat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0" xfId="0" applyFont="1"/>
    <xf numFmtId="0" fontId="6" fillId="0" borderId="0" xfId="1" applyAlignment="1">
      <alignment horizont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7" fillId="0" borderId="0" xfId="0" applyFont="1"/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9" fillId="4" borderId="42" xfId="0" applyFont="1" applyFill="1" applyBorder="1" applyAlignment="1">
      <alignment horizontal="center"/>
    </xf>
    <xf numFmtId="0" fontId="9" fillId="4" borderId="44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11" fontId="0" fillId="0" borderId="29" xfId="0" applyNumberFormat="1" applyBorder="1" applyAlignment="1">
      <alignment horizontal="center"/>
    </xf>
    <xf numFmtId="0" fontId="2" fillId="9" borderId="42" xfId="0" applyFont="1" applyFill="1" applyBorder="1" applyAlignment="1">
      <alignment horizontal="center"/>
    </xf>
    <xf numFmtId="0" fontId="2" fillId="9" borderId="43" xfId="0" applyFont="1" applyFill="1" applyBorder="1" applyAlignment="1">
      <alignment horizontal="center"/>
    </xf>
    <xf numFmtId="0" fontId="2" fillId="9" borderId="44" xfId="0" applyFont="1" applyFill="1" applyBorder="1" applyAlignment="1">
      <alignment horizontal="center"/>
    </xf>
    <xf numFmtId="11" fontId="0" fillId="0" borderId="41" xfId="0" applyNumberFormat="1" applyBorder="1" applyAlignment="1">
      <alignment horizontal="center"/>
    </xf>
    <xf numFmtId="11" fontId="0" fillId="0" borderId="47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11" fontId="0" fillId="0" borderId="46" xfId="0" applyNumberFormat="1" applyBorder="1" applyAlignment="1">
      <alignment horizontal="center"/>
    </xf>
    <xf numFmtId="0" fontId="2" fillId="10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11" fontId="2" fillId="0" borderId="22" xfId="0" applyNumberFormat="1" applyFont="1" applyBorder="1" applyAlignment="1">
      <alignment horizontal="center"/>
    </xf>
    <xf numFmtId="11" fontId="2" fillId="0" borderId="26" xfId="0" applyNumberFormat="1" applyFont="1" applyBorder="1" applyAlignment="1">
      <alignment horizontal="center"/>
    </xf>
    <xf numFmtId="11" fontId="2" fillId="0" borderId="24" xfId="0" applyNumberFormat="1" applyFont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0" xfId="0" applyFont="1"/>
    <xf numFmtId="0" fontId="2" fillId="2" borderId="50" xfId="0" applyFont="1" applyFill="1" applyBorder="1" applyAlignment="1">
      <alignment horizontal="center"/>
    </xf>
    <xf numFmtId="11" fontId="0" fillId="0" borderId="51" xfId="0" applyNumberFormat="1" applyBorder="1" applyAlignment="1">
      <alignment horizontal="center"/>
    </xf>
    <xf numFmtId="11" fontId="0" fillId="0" borderId="45" xfId="0" applyNumberFormat="1" applyBorder="1" applyAlignment="1">
      <alignment horizontal="center"/>
    </xf>
    <xf numFmtId="11" fontId="0" fillId="0" borderId="49" xfId="0" applyNumberFormat="1" applyBorder="1" applyAlignment="1">
      <alignment horizontal="center"/>
    </xf>
    <xf numFmtId="167" fontId="2" fillId="0" borderId="25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2" fillId="0" borderId="0" xfId="0" applyFont="1" applyAlignment="1">
      <alignment vertical="center" wrapText="1"/>
    </xf>
    <xf numFmtId="165" fontId="8" fillId="0" borderId="6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2" fillId="9" borderId="10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8" fillId="0" borderId="0" xfId="0" applyFont="1"/>
    <xf numFmtId="167" fontId="2" fillId="0" borderId="53" xfId="0" applyNumberFormat="1" applyFon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 wrapText="1"/>
    </xf>
    <xf numFmtId="11" fontId="2" fillId="0" borderId="41" xfId="0" applyNumberFormat="1" applyFont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2" fillId="0" borderId="40" xfId="0" applyNumberFormat="1" applyFont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8" xfId="0" applyFont="1" applyBorder="1" applyAlignment="1">
      <alignment horizontal="center"/>
    </xf>
    <xf numFmtId="11" fontId="2" fillId="0" borderId="25" xfId="0" applyNumberFormat="1" applyFont="1" applyBorder="1" applyAlignment="1">
      <alignment horizontal="center"/>
    </xf>
    <xf numFmtId="11" fontId="2" fillId="0" borderId="20" xfId="0" applyNumberFormat="1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152"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/>
              <a:t>Coordinata di reazione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'CH4+H=CH3+H2'!$A$33:$A$37</c:f>
              <c:numCache>
                <c:formatCode>General</c:formatCode>
                <c:ptCount val="5"/>
                <c:pt idx="0">
                  <c:v>1.1299999999999999</c:v>
                </c:pt>
                <c:pt idx="1">
                  <c:v>1.2</c:v>
                </c:pt>
                <c:pt idx="2">
                  <c:v>1.3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'CH4+H=CH3+H2'!$B$33:$B$37</c:f>
              <c:numCache>
                <c:formatCode>General</c:formatCode>
                <c:ptCount val="5"/>
                <c:pt idx="0">
                  <c:v>-41.026856899800002</c:v>
                </c:pt>
                <c:pt idx="1">
                  <c:v>-41.021173940600001</c:v>
                </c:pt>
                <c:pt idx="2" formatCode="0.00000">
                  <c:v>-41.013199601799997</c:v>
                </c:pt>
                <c:pt idx="3">
                  <c:v>-41.012461177600002</c:v>
                </c:pt>
                <c:pt idx="4">
                  <c:v>-41.021546732600001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6-4E85-BDC4-8B9D1A18D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853920"/>
        <c:axId val="675845280"/>
      </c:lineChart>
      <c:catAx>
        <c:axId val="6758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45280"/>
        <c:crosses val="autoZero"/>
        <c:auto val="1"/>
        <c:lblAlgn val="ctr"/>
        <c:lblOffset val="100"/>
        <c:noMultiLvlLbl val="0"/>
      </c:catAx>
      <c:valAx>
        <c:axId val="6758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 forward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'CH4+H=CH3+H2'!$E$12:$E$29</c:f>
              <c:numCache>
                <c:formatCode>0.0000E+00</c:formatCode>
                <c:ptCount val="18"/>
                <c:pt idx="0">
                  <c:v>1.4307321353614842E-18</c:v>
                </c:pt>
                <c:pt idx="1">
                  <c:v>1.0541843630475941E-16</c:v>
                </c:pt>
                <c:pt idx="2">
                  <c:v>1.5232281483209366E-15</c:v>
                </c:pt>
                <c:pt idx="3">
                  <c:v>9.9935761597508952E-15</c:v>
                </c:pt>
                <c:pt idx="4">
                  <c:v>4.1155432994371389E-14</c:v>
                </c:pt>
                <c:pt idx="5">
                  <c:v>1.2554586868853935E-13</c:v>
                </c:pt>
                <c:pt idx="6">
                  <c:v>3.1166049537046307E-13</c:v>
                </c:pt>
                <c:pt idx="7">
                  <c:v>6.6694748452284042E-13</c:v>
                </c:pt>
                <c:pt idx="8">
                  <c:v>1.2772949999981241E-12</c:v>
                </c:pt>
                <c:pt idx="9">
                  <c:v>2.2456470190460195E-12</c:v>
                </c:pt>
                <c:pt idx="10">
                  <c:v>3.6902283491990832E-12</c:v>
                </c:pt>
                <c:pt idx="11">
                  <c:v>5.7426824464086089E-12</c:v>
                </c:pt>
                <c:pt idx="12">
                  <c:v>8.5462904377214907E-12</c:v>
                </c:pt>
                <c:pt idx="13">
                  <c:v>1.2254351902215989E-11</c:v>
                </c:pt>
                <c:pt idx="14">
                  <c:v>1.7028756077237881E-11</c:v>
                </c:pt>
                <c:pt idx="15">
                  <c:v>2.3038743869059914E-11</c:v>
                </c:pt>
                <c:pt idx="16">
                  <c:v>3.0459847065130081E-11</c:v>
                </c:pt>
                <c:pt idx="17">
                  <c:v>3.9472985360345949E-11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1B-4AC0-A60B-9E38593DF394}"/>
            </c:ext>
          </c:extLst>
        </c:ser>
        <c:ser>
          <c:idx val="1"/>
          <c:order val="1"/>
          <c:tx>
            <c:v>k backward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'CH4+H=CH3+H2'!$F$12:$F$29</c:f>
              <c:numCache>
                <c:formatCode>0.0000E+00</c:formatCode>
                <c:ptCount val="18"/>
                <c:pt idx="0">
                  <c:v>1.1344424995692049E-21</c:v>
                </c:pt>
                <c:pt idx="1">
                  <c:v>2.4322207420376702E-19</c:v>
                </c:pt>
                <c:pt idx="2">
                  <c:v>6.4812535495441941E-18</c:v>
                </c:pt>
                <c:pt idx="3">
                  <c:v>6.3391449804805506E-17</c:v>
                </c:pt>
                <c:pt idx="4">
                  <c:v>3.4506762579916184E-16</c:v>
                </c:pt>
                <c:pt idx="5">
                  <c:v>1.2916107358862753E-15</c:v>
                </c:pt>
                <c:pt idx="6">
                  <c:v>3.7458107544501907E-15</c:v>
                </c:pt>
                <c:pt idx="7">
                  <c:v>9.0516213038634746E-15</c:v>
                </c:pt>
                <c:pt idx="8">
                  <c:v>1.9101774459378868E-14</c:v>
                </c:pt>
                <c:pt idx="9">
                  <c:v>3.6340468294343527E-14</c:v>
                </c:pt>
                <c:pt idx="10">
                  <c:v>6.3734173128453247E-14</c:v>
                </c:pt>
                <c:pt idx="11">
                  <c:v>1.04723557484736E-13</c:v>
                </c:pt>
                <c:pt idx="12">
                  <c:v>1.6316668284133043E-13</c:v>
                </c:pt>
                <c:pt idx="13">
                  <c:v>2.4328037102634012E-13</c:v>
                </c:pt>
                <c:pt idx="14">
                  <c:v>3.4958395631241838E-13</c:v>
                </c:pt>
                <c:pt idx="15">
                  <c:v>4.8684769506600222E-13</c:v>
                </c:pt>
                <c:pt idx="16">
                  <c:v>6.600468261063277E-13</c:v>
                </c:pt>
                <c:pt idx="17">
                  <c:v>8.7432148814391195E-13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48-40DB-8684-BD3577269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94912"/>
        <c:axId val="850395392"/>
      </c:scatterChart>
      <c:valAx>
        <c:axId val="850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5392"/>
        <c:crosses val="autoZero"/>
        <c:crossBetween val="midCat"/>
      </c:valAx>
      <c:valAx>
        <c:axId val="850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 forward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'NH3+H=NH2+H2'!$E$12:$E$29</c:f>
              <c:numCache>
                <c:formatCode>0.0000E+00</c:formatCode>
                <c:ptCount val="18"/>
                <c:pt idx="0">
                  <c:v>1.4257089380414971E-21</c:v>
                </c:pt>
                <c:pt idx="1">
                  <c:v>5.1508194256957061E-19</c:v>
                </c:pt>
                <c:pt idx="2">
                  <c:v>1.8649104517990277E-17</c:v>
                </c:pt>
                <c:pt idx="3">
                  <c:v>2.2390901018928284E-16</c:v>
                </c:pt>
                <c:pt idx="4">
                  <c:v>1.411738451809217E-15</c:v>
                </c:pt>
                <c:pt idx="5">
                  <c:v>5.9019315495846889E-15</c:v>
                </c:pt>
                <c:pt idx="6">
                  <c:v>1.8658312326916938E-14</c:v>
                </c:pt>
                <c:pt idx="7">
                  <c:v>4.8319320157339335E-14</c:v>
                </c:pt>
                <c:pt idx="8">
                  <c:v>1.0793151338253666E-13</c:v>
                </c:pt>
                <c:pt idx="9">
                  <c:v>2.1532662250977178E-13</c:v>
                </c:pt>
                <c:pt idx="10">
                  <c:v>3.9318207342206497E-13</c:v>
                </c:pt>
                <c:pt idx="11">
                  <c:v>6.6884523115444438E-13</c:v>
                </c:pt>
                <c:pt idx="12">
                  <c:v>1.0740043448737622E-12</c:v>
                </c:pt>
                <c:pt idx="13">
                  <c:v>1.6442751144773092E-12</c:v>
                </c:pt>
                <c:pt idx="14">
                  <c:v>2.4187535576738806E-12</c:v>
                </c:pt>
                <c:pt idx="15">
                  <c:v>3.4395692691420483E-12</c:v>
                </c:pt>
                <c:pt idx="16">
                  <c:v>4.7514601431102343E-12</c:v>
                </c:pt>
                <c:pt idx="17">
                  <c:v>6.4013802468113065E-12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A1-4EFC-AFE1-525CC2BBE899}"/>
            </c:ext>
          </c:extLst>
        </c:ser>
        <c:ser>
          <c:idx val="1"/>
          <c:order val="1"/>
          <c:tx>
            <c:v>k backward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'NH3+H=NH2+H2'!$A$12:$A$29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'NH3+H=NH2+H2'!$F$12:$F$29</c:f>
              <c:numCache>
                <c:formatCode>0.00E+00</c:formatCode>
                <c:ptCount val="18"/>
                <c:pt idx="0">
                  <c:v>4.3071140933437215E-22</c:v>
                </c:pt>
                <c:pt idx="1">
                  <c:v>2.2608303390155019E-19</c:v>
                </c:pt>
                <c:pt idx="2">
                  <c:v>9.9145595761006505E-18</c:v>
                </c:pt>
                <c:pt idx="3">
                  <c:v>1.3287553381832148E-16</c:v>
                </c:pt>
                <c:pt idx="4">
                  <c:v>8.9481760096942688E-16</c:v>
                </c:pt>
                <c:pt idx="5">
                  <c:v>3.8931862060206246E-15</c:v>
                </c:pt>
                <c:pt idx="6">
                  <c:v>1.2602524721105986E-14</c:v>
                </c:pt>
                <c:pt idx="7">
                  <c:v>3.3064546279942024E-14</c:v>
                </c:pt>
                <c:pt idx="8">
                  <c:v>7.4288586738883506E-14</c:v>
                </c:pt>
                <c:pt idx="9">
                  <c:v>1.4833220568287421E-13</c:v>
                </c:pt>
                <c:pt idx="10">
                  <c:v>2.7012336249837178E-13</c:v>
                </c:pt>
                <c:pt idx="11">
                  <c:v>4.5711542135285512E-13</c:v>
                </c:pt>
                <c:pt idx="12">
                  <c:v>7.2885895175761167E-13</c:v>
                </c:pt>
                <c:pt idx="13">
                  <c:v>1.1065530073759298E-12</c:v>
                </c:pt>
                <c:pt idx="14">
                  <c:v>1.6126163529749086E-12</c:v>
                </c:pt>
                <c:pt idx="15">
                  <c:v>2.2703011879727305E-12</c:v>
                </c:pt>
                <c:pt idx="16">
                  <c:v>3.1033592880143244E-12</c:v>
                </c:pt>
                <c:pt idx="17">
                  <c:v>4.1357624249187016E-12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32-43EA-991B-6954240FA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94912"/>
        <c:axId val="850395392"/>
      </c:scatterChart>
      <c:valAx>
        <c:axId val="850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5392"/>
        <c:crosses val="autoZero"/>
        <c:crossBetween val="midCat"/>
      </c:valAx>
      <c:valAx>
        <c:axId val="850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Coordinata di reazione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'NH3+H=NH2+H2'!$A$33:$A$36</c:f>
              <c:numCache>
                <c:formatCode>General</c:formatCode>
                <c:ptCount val="4"/>
                <c:pt idx="0">
                  <c:v>1.1499999999999999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</c:numCache>
            </c:numRef>
          </c:cat>
          <c:val>
            <c:numRef>
              <c:f>'NH3+H=NH2+H2'!$B$33:$B$36</c:f>
              <c:numCache>
                <c:formatCode>General</c:formatCode>
                <c:ptCount val="4"/>
                <c:pt idx="0">
                  <c:v>-57.058603976599997</c:v>
                </c:pt>
                <c:pt idx="1">
                  <c:v>-57.048816772000002</c:v>
                </c:pt>
                <c:pt idx="2">
                  <c:v>-57.046689035599996</c:v>
                </c:pt>
                <c:pt idx="3">
                  <c:v>-57.046790841000004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A-485B-9D66-3CF85A482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95424"/>
        <c:axId val="911682464"/>
      </c:lineChart>
      <c:catAx>
        <c:axId val="9116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682464"/>
        <c:crosses val="autoZero"/>
        <c:auto val="1"/>
        <c:lblAlgn val="ctr"/>
        <c:lblOffset val="100"/>
        <c:noMultiLvlLbl val="0"/>
      </c:catAx>
      <c:valAx>
        <c:axId val="9116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69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5.gif"/><Relationship Id="rId5" Type="http://schemas.openxmlformats.org/officeDocument/2006/relationships/image" Target="../media/image4.gif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gi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323850</xdr:rowOff>
    </xdr:from>
    <xdr:to>
      <xdr:col>4</xdr:col>
      <xdr:colOff>107950</xdr:colOff>
      <xdr:row>76</xdr:row>
      <xdr:rowOff>184150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B5099EA-6471-47AA-B88A-2BF3EEA6A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00" t="8750" r="15833" b="23333"/>
        <a:stretch/>
      </xdr:blipFill>
      <xdr:spPr>
        <a:xfrm>
          <a:off x="0" y="10315575"/>
          <a:ext cx="4489450" cy="5356225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54</xdr:row>
      <xdr:rowOff>304800</xdr:rowOff>
    </xdr:from>
    <xdr:to>
      <xdr:col>5</xdr:col>
      <xdr:colOff>1208432</xdr:colOff>
      <xdr:row>65</xdr:row>
      <xdr:rowOff>98424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C9C3875-55B7-413B-BD82-ADF4105F1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61" t="10786" r="34787" b="20903"/>
        <a:stretch/>
      </xdr:blipFill>
      <xdr:spPr>
        <a:xfrm>
          <a:off x="5200650" y="11201400"/>
          <a:ext cx="2154582" cy="2003424"/>
        </a:xfrm>
        <a:prstGeom prst="rect">
          <a:avLst/>
        </a:prstGeom>
      </xdr:spPr>
    </xdr:pic>
    <xdr:clientData/>
  </xdr:twoCellAnchor>
  <xdr:twoCellAnchor editAs="oneCell">
    <xdr:from>
      <xdr:col>7</xdr:col>
      <xdr:colOff>1543050</xdr:colOff>
      <xdr:row>51</xdr:row>
      <xdr:rowOff>28575</xdr:rowOff>
    </xdr:from>
    <xdr:to>
      <xdr:col>11</xdr:col>
      <xdr:colOff>1069385</xdr:colOff>
      <xdr:row>72</xdr:row>
      <xdr:rowOff>9525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79C4C93-FA3C-445E-A879-8AD28FC21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4" t="23916" r="5334" b="20667"/>
        <a:stretch/>
      </xdr:blipFill>
      <xdr:spPr>
        <a:xfrm>
          <a:off x="8915400" y="10353675"/>
          <a:ext cx="5269910" cy="4375150"/>
        </a:xfrm>
        <a:prstGeom prst="rect">
          <a:avLst/>
        </a:prstGeom>
      </xdr:spPr>
    </xdr:pic>
    <xdr:clientData/>
  </xdr:twoCellAnchor>
  <xdr:twoCellAnchor>
    <xdr:from>
      <xdr:col>2</xdr:col>
      <xdr:colOff>790575</xdr:colOff>
      <xdr:row>30</xdr:row>
      <xdr:rowOff>180975</xdr:rowOff>
    </xdr:from>
    <xdr:to>
      <xdr:col>10</xdr:col>
      <xdr:colOff>949325</xdr:colOff>
      <xdr:row>48</xdr:row>
      <xdr:rowOff>44450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97C4259-E121-422A-8701-4B4EF4723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1276350</xdr:colOff>
      <xdr:row>38</xdr:row>
      <xdr:rowOff>12701</xdr:rowOff>
    </xdr:from>
    <xdr:to>
      <xdr:col>7</xdr:col>
      <xdr:colOff>1256472</xdr:colOff>
      <xdr:row>43</xdr:row>
      <xdr:rowOff>24286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CED32050-AEC9-4B5B-BE23-0C1A4539EB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26" t="23488" r="40600" b="19724"/>
        <a:stretch/>
      </xdr:blipFill>
      <xdr:spPr>
        <a:xfrm>
          <a:off x="9080500" y="7493001"/>
          <a:ext cx="1453322" cy="932335"/>
        </a:xfrm>
        <a:prstGeom prst="rect">
          <a:avLst/>
        </a:prstGeom>
      </xdr:spPr>
    </xdr:pic>
    <xdr:clientData/>
  </xdr:twoCellAnchor>
  <xdr:twoCellAnchor editAs="oneCell">
    <xdr:from>
      <xdr:col>8</xdr:col>
      <xdr:colOff>175310</xdr:colOff>
      <xdr:row>37</xdr:row>
      <xdr:rowOff>82551</xdr:rowOff>
    </xdr:from>
    <xdr:to>
      <xdr:col>8</xdr:col>
      <xdr:colOff>1244601</xdr:colOff>
      <xdr:row>43</xdr:row>
      <xdr:rowOff>100965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EC6CF83B-0335-4077-A497-580A433B2F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0" t="15917" r="23167" b="25000"/>
        <a:stretch/>
      </xdr:blipFill>
      <xdr:spPr>
        <a:xfrm>
          <a:off x="11097310" y="7378701"/>
          <a:ext cx="1069291" cy="1123314"/>
        </a:xfrm>
        <a:prstGeom prst="rect">
          <a:avLst/>
        </a:prstGeom>
      </xdr:spPr>
    </xdr:pic>
    <xdr:clientData/>
  </xdr:twoCellAnchor>
  <xdr:twoCellAnchor>
    <xdr:from>
      <xdr:col>9</xdr:col>
      <xdr:colOff>154454</xdr:colOff>
      <xdr:row>9</xdr:row>
      <xdr:rowOff>156883</xdr:rowOff>
    </xdr:from>
    <xdr:to>
      <xdr:col>16</xdr:col>
      <xdr:colOff>560294</xdr:colOff>
      <xdr:row>28</xdr:row>
      <xdr:rowOff>169395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CB11CE7-E0A1-31DF-51A6-D2EE52164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2</xdr:col>
      <xdr:colOff>223558</xdr:colOff>
      <xdr:row>7</xdr:row>
      <xdr:rowOff>48745</xdr:rowOff>
    </xdr:from>
    <xdr:ext cx="892552" cy="327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7CFE5C23-E008-0644-4E00-2BBA2D8EB4BB}"/>
                </a:ext>
              </a:extLst>
            </xdr:cNvPr>
            <xdr:cNvSpPr txBox="1"/>
          </xdr:nvSpPr>
          <xdr:spPr>
            <a:xfrm>
              <a:off x="2718734" y="1385980"/>
              <a:ext cx="892552" cy="327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𝑅𝑇</m:t>
                        </m:r>
                      </m:sup>
                    </m:sSup>
                  </m:oMath>
                </m:oMathPara>
              </a14:m>
              <a:endParaRPr lang="it-IT" sz="2000" b="0"/>
            </a:p>
            <a:p>
              <a:endParaRPr lang="it-IT" sz="2000"/>
            </a:p>
          </xdr:txBody>
        </xdr:sp>
      </mc:Choice>
      <mc:Fallback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7CFE5C23-E008-0644-4E00-2BBA2D8EB4BB}"/>
                </a:ext>
              </a:extLst>
            </xdr:cNvPr>
            <xdr:cNvSpPr txBox="1"/>
          </xdr:nvSpPr>
          <xdr:spPr>
            <a:xfrm>
              <a:off x="2718734" y="1385980"/>
              <a:ext cx="892552" cy="327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2000" b="0" i="0">
                  <a:latin typeface="Cambria Math" panose="02040503050406030204" pitchFamily="18" charset="0"/>
                </a:rPr>
                <a:t>𝑒^(−𝐸_𝑎/𝑅𝑇)</a:t>
              </a:r>
              <a:endParaRPr lang="it-IT" sz="2000" b="0"/>
            </a:p>
            <a:p>
              <a:endParaRPr lang="it-IT" sz="2000"/>
            </a:p>
          </xdr:txBody>
        </xdr:sp>
      </mc:Fallback>
    </mc:AlternateContent>
    <xdr:clientData/>
  </xdr:oneCellAnchor>
  <xdr:oneCellAnchor>
    <xdr:from>
      <xdr:col>6</xdr:col>
      <xdr:colOff>0</xdr:colOff>
      <xdr:row>8</xdr:row>
      <xdr:rowOff>0</xdr:rowOff>
    </xdr:from>
    <xdr:ext cx="892552" cy="327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D9659F0D-1199-40D0-93B2-3828A8DE1AAD}"/>
                </a:ext>
              </a:extLst>
            </xdr:cNvPr>
            <xdr:cNvSpPr txBox="1"/>
          </xdr:nvSpPr>
          <xdr:spPr>
            <a:xfrm>
              <a:off x="7799294" y="1524000"/>
              <a:ext cx="892552" cy="327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𝑅𝑇</m:t>
                        </m:r>
                      </m:sup>
                    </m:sSup>
                  </m:oMath>
                </m:oMathPara>
              </a14:m>
              <a:endParaRPr lang="it-IT" sz="2000" b="0"/>
            </a:p>
            <a:p>
              <a:endParaRPr lang="it-IT" sz="2000"/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D9659F0D-1199-40D0-93B2-3828A8DE1AAD}"/>
                </a:ext>
              </a:extLst>
            </xdr:cNvPr>
            <xdr:cNvSpPr txBox="1"/>
          </xdr:nvSpPr>
          <xdr:spPr>
            <a:xfrm>
              <a:off x="7799294" y="1524000"/>
              <a:ext cx="892552" cy="327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2000" b="0" i="0">
                  <a:latin typeface="Cambria Math" panose="02040503050406030204" pitchFamily="18" charset="0"/>
                </a:rPr>
                <a:t>𝑒^(−𝐸_𝑏/𝑅𝑇)</a:t>
              </a:r>
              <a:endParaRPr lang="it-IT" sz="2000" b="0"/>
            </a:p>
            <a:p>
              <a:endParaRPr lang="it-IT" sz="2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22225</xdr:colOff>
      <xdr:row>9</xdr:row>
      <xdr:rowOff>190499</xdr:rowOff>
    </xdr:from>
    <xdr:to>
      <xdr:col>17</xdr:col>
      <xdr:colOff>384175</xdr:colOff>
      <xdr:row>30</xdr:row>
      <xdr:rowOff>38100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1E4DB40-C4D2-448E-87CA-85CD590D5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1152526</xdr:colOff>
      <xdr:row>31</xdr:row>
      <xdr:rowOff>9525</xdr:rowOff>
    </xdr:from>
    <xdr:to>
      <xdr:col>8</xdr:col>
      <xdr:colOff>1600201</xdr:colOff>
      <xdr:row>45</xdr:row>
      <xdr:rowOff>123825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74B16D97-2911-4A74-A811-58E7AFE01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51</xdr:row>
      <xdr:rowOff>66675</xdr:rowOff>
    </xdr:from>
    <xdr:to>
      <xdr:col>4</xdr:col>
      <xdr:colOff>867360</xdr:colOff>
      <xdr:row>71</xdr:row>
      <xdr:rowOff>46027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859CC2D4-D1F0-4CB4-B352-31B1613B86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19" t="29114" r="1477" b="23207"/>
        <a:stretch/>
      </xdr:blipFill>
      <xdr:spPr>
        <a:xfrm>
          <a:off x="0" y="10687050"/>
          <a:ext cx="5671135" cy="3789352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52</xdr:row>
      <xdr:rowOff>114300</xdr:rowOff>
    </xdr:from>
    <xdr:to>
      <xdr:col>8</xdr:col>
      <xdr:colOff>234674</xdr:colOff>
      <xdr:row>65</xdr:row>
      <xdr:rowOff>158888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289C75FB-7BE4-42EC-AB36-312A905210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038" r="19039" b="16355"/>
        <a:stretch/>
      </xdr:blipFill>
      <xdr:spPr>
        <a:xfrm>
          <a:off x="5924550" y="10925175"/>
          <a:ext cx="2711174" cy="25210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5317-B7FE-4111-AF70-1B976D5D3B81}" name="Tabella333" displayName="Tabella333" ref="A1:H2" totalsRowShown="0" headerRowDxfId="151" dataDxfId="150">
  <autoFilter ref="A1:H2" xr:uid="{5B835317-B7FE-4111-AF70-1B976D5D3B81}"/>
  <tableColumns count="8">
    <tableColumn id="1" xr3:uid="{9D3EFA42-923B-4099-8E2E-E043D160A4F0}" name="Pi Greco" dataDxfId="149">
      <calculatedColumnFormula>PI()</calculatedColumnFormula>
    </tableColumn>
    <tableColumn id="2" xr3:uid="{3B268FCF-593B-4109-8A4F-148DD87104B1}" name="Massa [kg]" dataDxfId="148">
      <calculatedColumnFormula>1.66E-27*Tabella333[[#This Row],[Massa '[g/mol']]]</calculatedColumnFormula>
    </tableColumn>
    <tableColumn id="3" xr3:uid="{00278E26-7BD1-4CBE-BFC1-29F08CD6C29C}" name="Boltzmann k" dataDxfId="147"/>
    <tableColumn id="4" xr3:uid="{70A5D2B0-23C4-4D96-B5B6-21A8A042BDBA}" name="Planck h" dataDxfId="146"/>
    <tableColumn id="5" xr3:uid="{A7EF0354-D303-429C-8F6C-387BC7128B29}" name="Rydberg R" dataDxfId="145"/>
    <tableColumn id="6" xr3:uid="{668E7075-4CF4-442F-A9AA-83837FC698B2}" name="Avogadro N" dataDxfId="144"/>
    <tableColumn id="7" xr3:uid="{4E2AAF27-D306-40C1-A414-0D540359E171}" name="Massa [g/mol]" dataDxfId="143"/>
    <tableColumn id="8" xr3:uid="{5E4785F3-ABED-493C-918E-7C6606C6B1A6}" name="N" dataDxfId="1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361FC-EC50-4345-9EB6-067EC30B7090}" name="Tabella636" displayName="Tabella636" ref="A8:C9" totalsRowShown="0" headerRowDxfId="141" dataDxfId="140">
  <autoFilter ref="A8:C9" xr:uid="{7B7361FC-EC50-4345-9EB6-067EC30B7090}"/>
  <tableColumns count="3">
    <tableColumn id="1" xr3:uid="{5F1012F0-F23A-48AD-B6D1-6EA2190062C2}" name="Simmetria" dataDxfId="139"/>
    <tableColumn id="2" xr3:uid="{99EF0824-7AB2-4AC3-B573-DA366215047D}" name="Gel" dataDxfId="138"/>
    <tableColumn id="3" xr3:uid="{47EFD5F5-F2F0-4C85-8794-FD851D80F518}" name="Eel" dataDxfId="13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4B8CAA-758C-4FE3-8947-68AFFBD82C96}" name="Tabella837" displayName="Tabella837" ref="A14:M32" totalsRowShown="0" headerRowDxfId="136" dataDxfId="135">
  <autoFilter ref="A14:M32" xr:uid="{7B4B8CAA-758C-4FE3-8947-68AFFBD82C96}"/>
  <tableColumns count="13">
    <tableColumn id="1" xr3:uid="{91A1941E-AF83-4EF5-9654-0E2712C1E8C1}" name="Temperatura" dataDxfId="134"/>
    <tableColumn id="2" xr3:uid="{CFE3D237-D0CB-4DFB-A3D6-FC20B1038663}" name="Qvib1" dataDxfId="133">
      <calculatedColumnFormula array="1">EXP(-(Tabella333[Planck h]*Tabella938[Frequenza1])/(Tabella333[Boltzmann k]*2*Tabella837[[#This Row],[Temperatura]]))/(1-EXP(-(Tabella333[Planck h]*Tabella938[Frequenza1])/(Tabella333[Boltzmann k]*Tabella837[[#This Row],[Temperatura]])))</calculatedColumnFormula>
    </tableColumn>
    <tableColumn id="3" xr3:uid="{D371F295-D8B4-4404-AD0E-69B2CE4760E1}" name="Qvib2" dataDxfId="132">
      <calculatedColumnFormula array="1">EXP(-(Tabella333[Planck h]*Tabella938[Frequenza2])/(Tabella333[Boltzmann k]*2*Tabella837[[#This Row],[Temperatura]]))/(1-EXP(-(Tabella333[Planck h]*Tabella938[Frequenza2])/(Tabella333[Boltzmann k]*Tabella837[[#This Row],[Temperatura]])))</calculatedColumnFormula>
    </tableColumn>
    <tableColumn id="4" xr3:uid="{F07E1069-BAA4-455D-9532-5B5257676C52}" name="Qvib3" dataDxfId="131">
      <calculatedColumnFormula array="1">EXP(-(Tabella333[Planck h]*Tabella938[Frequenza3])/(Tabella333[Boltzmann k]*2*Tabella837[[#This Row],[Temperatura]]))/(1-EXP(-(Tabella333[Planck h]*Tabella938[Frequenza3])/(Tabella333[Boltzmann k]*Tabella837[[#This Row],[Temperatura]])))</calculatedColumnFormula>
    </tableColumn>
    <tableColumn id="5" xr3:uid="{E1DF40E7-A74B-4ABB-9844-FB6699407E9C}" name="Qvib4" dataDxfId="130">
      <calculatedColumnFormula array="1">EXP(-(Tabella333[Planck h]*Tabella938[Frequenza4])/(Tabella333[Boltzmann k]*2*Tabella837[[#This Row],[Temperatura]]))/(1-EXP(-(Tabella333[Planck h]*Tabella938[Frequenza4])/(Tabella333[Boltzmann k]*Tabella837[[#This Row],[Temperatura]])))</calculatedColumnFormula>
    </tableColumn>
    <tableColumn id="6" xr3:uid="{7671FC55-12A7-4336-ABCD-6ADAB7A0AEED}" name="Qvib5" dataDxfId="129">
      <calculatedColumnFormula array="1">EXP(-(Tabella333[Planck h]*Tabella938[Frequenza5])/(Tabella333[Boltzmann k]*2*Tabella837[[#This Row],[Temperatura]]))/(1-EXP(-(Tabella333[Planck h]*Tabella938[Frequenza5])/(Tabella333[Boltzmann k]*Tabella837[[#This Row],[Temperatura]])))</calculatedColumnFormula>
    </tableColumn>
    <tableColumn id="7" xr3:uid="{0B01CB96-219B-48A9-B59B-45DC5ECE8832}" name="Qvib6" dataDxfId="128">
      <calculatedColumnFormula array="1">EXP(-(Tabella333[Planck h]*Tabella938[Frequenza6])/(Tabella333[Boltzmann k]*2*Tabella837[[#This Row],[Temperatura]]))/(1-EXP(-(Tabella333[Planck h]*Tabella938[Frequenza6])/(Tabella333[Boltzmann k]*Tabella837[[#This Row],[Temperatura]])))</calculatedColumnFormula>
    </tableColumn>
    <tableColumn id="8" xr3:uid="{598937B0-F323-4F70-ACAD-380025B04E18}" name="Qvib7" dataDxfId="127">
      <calculatedColumnFormula array="1">EXP(-(Tabella333[Planck h]*Tabella938[Frequenza7])/(Tabella333[Boltzmann k]*2*Tabella837[[#This Row],[Temperatura]]))/(1-EXP(-(Tabella333[Planck h]*Tabella938[Frequenza7])/(Tabella333[Boltzmann k]*Tabella837[[#This Row],[Temperatura]])))</calculatedColumnFormula>
    </tableColumn>
    <tableColumn id="9" xr3:uid="{7D73CDCF-0118-41B4-BBBE-7B244E30B80A}" name="Qvib8" dataDxfId="126">
      <calculatedColumnFormula array="1">EXP(-(Tabella333[Planck h]*Tabella938[Frequenza8])/(Tabella333[Boltzmann k]*2*Tabella837[[#This Row],[Temperatura]]))/(1-EXP(-(Tabella333[Planck h]*Tabella938[Frequenza8])/(Tabella333[Boltzmann k]*Tabella837[[#This Row],[Temperatura]])))</calculatedColumnFormula>
    </tableColumn>
    <tableColumn id="10" xr3:uid="{67654CB0-2C79-449D-B67A-7C1F7544224F}" name="Qvib9" dataDxfId="125">
      <calculatedColumnFormula array="1">EXP(-(Tabella333[Planck h]*Tabella938[Frequenza9])/(Tabella333[Boltzmann k]*2*Tabella837[[#This Row],[Temperatura]]))/(1-EXP(-(Tabella333[Planck h]*Tabella938[Frequenza9])/(Tabella333[Boltzmann k]*Tabella837[[#This Row],[Temperatura]])))</calculatedColumnFormula>
    </tableColumn>
    <tableColumn id="13" xr3:uid="{3FB394AB-DB59-4C6E-8B8F-A2D79D4A46C7}" name="Qvib10" dataDxfId="124">
      <calculatedColumnFormula array="1">EXP(-(Tabella333[Planck h]*Tabella938[Frequenza10])/(Tabella333[Boltzmann k]*2*Tabella837[[#This Row],[Temperatura]]))/(1-EXP(-(Tabella333[Planck h]*Tabella938[Frequenza10])/(Tabella333[Boltzmann k]*Tabella837[[#This Row],[Temperatura]])))</calculatedColumnFormula>
    </tableColumn>
    <tableColumn id="11" xr3:uid="{9406DCAB-4164-4709-B62F-FB6FD82C71E1}" name="Qvib11" dataDxfId="123">
      <calculatedColumnFormula array="1">EXP(-(Tabella333[Planck h]*Tabella938[Frequenza11])/(Tabella333[Boltzmann k]*2*Tabella837[[#This Row],[Temperatura]]))/(1-EXP(-(Tabella333[Planck h]*Tabella938[Frequenza11])/(Tabella333[Boltzmann k]*Tabella837[[#This Row],[Temperatura]])))</calculatedColumnFormula>
    </tableColumn>
    <tableColumn id="12" xr3:uid="{6CC48CF9-CFD5-4916-A880-49AD007AA509}" name="Qvib12" dataDxfId="122">
      <calculatedColumnFormula array="1">EXP(-(Tabella333[Planck h]*Tabella938[Frequenza12])/(Tabella333[Boltzmann k]*2*Tabella837[[#This Row],[Temperatura]]))/(1-EXP(-(Tabella333[Planck h]*Tabella938[Frequenza12])/(Tabella333[Boltzmann k]*Tabella837[[#This Row],[Temperatura]])))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3A3505-5909-47C1-BCEC-4F561354475E}" name="Tabella938" displayName="Tabella938" ref="B12:M13" totalsRowShown="0" headerRowDxfId="121" dataDxfId="120">
  <autoFilter ref="B12:M13" xr:uid="{983A3505-5909-47C1-BCEC-4F561354475E}"/>
  <tableColumns count="12">
    <tableColumn id="1" xr3:uid="{EE0D9762-879E-4B74-BFB7-B6F7D436B811}" name="Frequenza1" dataDxfId="119">
      <calculatedColumnFormula array="1">Tabella93147[Frequenza1]*29979300000</calculatedColumnFormula>
    </tableColumn>
    <tableColumn id="2" xr3:uid="{385CABD5-BE98-412B-BF7E-FF08625B49DF}" name="Frequenza2" dataDxfId="118">
      <calculatedColumnFormula array="1">Tabella93147[Frequenza2]*29979300000</calculatedColumnFormula>
    </tableColumn>
    <tableColumn id="3" xr3:uid="{FB776801-149B-49A5-804B-12E1CF611FE8}" name="Frequenza3" dataDxfId="117">
      <calculatedColumnFormula array="1">Tabella93147[Frequenza3]*29979300000</calculatedColumnFormula>
    </tableColumn>
    <tableColumn id="4" xr3:uid="{129D2E06-6A1C-4706-B78F-905BDB1F4CF5}" name="Frequenza4" dataDxfId="116">
      <calculatedColumnFormula array="1">Tabella93147[Frequenza4]*29979300000</calculatedColumnFormula>
    </tableColumn>
    <tableColumn id="5" xr3:uid="{C688809A-3584-4F66-88C9-B5B3CF637C15}" name="Frequenza5" dataDxfId="115">
      <calculatedColumnFormula array="1">Tabella93147[Frequenza5]*29979300000</calculatedColumnFormula>
    </tableColumn>
    <tableColumn id="6" xr3:uid="{03B39322-9C5F-4043-BDF2-D099A0AF2DB7}" name="Frequenza6" dataDxfId="114">
      <calculatedColumnFormula array="1">Tabella93147[Frequenza6]*29979300000</calculatedColumnFormula>
    </tableColumn>
    <tableColumn id="7" xr3:uid="{D78F5BA7-487F-466D-A24E-51D0CCBED333}" name="Frequenza7" dataDxfId="113">
      <calculatedColumnFormula array="1">Tabella93147[Frequenza7]*29979300000</calculatedColumnFormula>
    </tableColumn>
    <tableColumn id="8" xr3:uid="{C3E36118-7886-4ABF-A88E-4124EB737A30}" name="Frequenza8" dataDxfId="112">
      <calculatedColumnFormula array="1">Tabella93147[Frequenza8]*29979300000</calculatedColumnFormula>
    </tableColumn>
    <tableColumn id="9" xr3:uid="{9701014D-6024-4B09-A08C-D1070051166B}" name="Frequenza9" dataDxfId="111">
      <calculatedColumnFormula array="1">Tabella93147[Frequenza9]*29979300000</calculatedColumnFormula>
    </tableColumn>
    <tableColumn id="10" xr3:uid="{6FFE6EC7-24D4-4674-9F67-9075191D9C1D}" name="Frequenza10" dataDxfId="110">
      <calculatedColumnFormula array="1">Tabella93147[Frequenza10]*29979300000</calculatedColumnFormula>
    </tableColumn>
    <tableColumn id="11" xr3:uid="{0D4BF6DB-D0EF-4FC7-A270-434E0C50F752}" name="Frequenza11" dataDxfId="109">
      <calculatedColumnFormula array="1">Tabella93147[Frequenza11]*29979300000</calculatedColumnFormula>
    </tableColumn>
    <tableColumn id="12" xr3:uid="{24BE0DE1-7001-4638-87D4-AAAEFBE3C883}" name="Frequenza12" dataDxfId="108">
      <calculatedColumnFormula array="1">Tabella93147[Frequenza12]*29979300000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7682E3-081B-4A90-B9B2-2B80A834D105}" name="Tabella93147" displayName="Tabella93147" ref="B10:M11" totalsRowShown="0" headerRowDxfId="107" dataDxfId="106">
  <autoFilter ref="B10:M11" xr:uid="{447682E3-081B-4A90-B9B2-2B80A834D105}"/>
  <tableColumns count="12">
    <tableColumn id="1" xr3:uid="{F91A941F-E0BC-448C-9376-4FA3DE6188EC}" name="Frequenza1" dataDxfId="105"/>
    <tableColumn id="2" xr3:uid="{EB394DCF-E8B1-499B-AC11-EB2E4E47EB2C}" name="Frequenza2" dataDxfId="104"/>
    <tableColumn id="3" xr3:uid="{0BD7C636-665C-4493-8E79-7B3010E5ACE3}" name="Frequenza3" dataDxfId="103"/>
    <tableColumn id="4" xr3:uid="{05B2CABD-2796-43C5-A5CC-9FE2789D7782}" name="Frequenza4" dataDxfId="102"/>
    <tableColumn id="5" xr3:uid="{EBEABE6E-3803-44AB-BBA9-8A26701C5781}" name="Frequenza5" dataDxfId="101"/>
    <tableColumn id="6" xr3:uid="{51229022-D581-46F6-82D8-AEF64E662DBE}" name="Frequenza6" dataDxfId="100"/>
    <tableColumn id="7" xr3:uid="{5269C5BA-E4FB-4B8E-8389-28CF16C0EAB7}" name="Frequenza7" dataDxfId="99"/>
    <tableColumn id="8" xr3:uid="{79160879-4011-4473-B4B7-0FB64801E24A}" name="Frequenza8" dataDxfId="98"/>
    <tableColumn id="9" xr3:uid="{F38A416F-0782-4AE1-84E9-AFFED351C2FC}" name="Frequenza9" dataDxfId="97"/>
    <tableColumn id="10" xr3:uid="{240A0303-512F-4C65-B03B-2688C50AA579}" name="Frequenza10" dataDxfId="96"/>
    <tableColumn id="11" xr3:uid="{0460CC2A-7D55-4D94-949C-7ABFA63D5AFB}" name="Frequenza11" dataDxfId="95"/>
    <tableColumn id="12" xr3:uid="{7A38E0EA-647C-46A6-8FDC-D5CBE1FFD808}" name="Frequenza12" dataDxfId="9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8D2E47-1161-4C09-A279-A39B5854697E}" name="Tabella6365" displayName="Tabella6365" ref="A7:B8" totalsRowShown="0">
  <autoFilter ref="A7:B8" xr:uid="{018D2E47-1161-4C09-A279-A39B5854697E}"/>
  <tableColumns count="2">
    <tableColumn id="2" xr3:uid="{C304D6DB-996B-488F-9A52-FB010A99E403}" name="Gel"/>
    <tableColumn id="3" xr3:uid="{7F9D7568-25DA-47A2-A625-D80086A4BD8D}" name="Eel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51BE13-1712-4EAC-A8A5-DA75F6866F4E}" name="Tabella8376" displayName="Tabella8376" ref="A13:C31" totalsRowShown="0" dataDxfId="93">
  <autoFilter ref="A13:C31" xr:uid="{8D51BE13-1712-4EAC-A8A5-DA75F6866F4E}"/>
  <tableColumns count="3">
    <tableColumn id="1" xr3:uid="{BF581C94-81E1-4DAF-8724-E3AAF4CD4171}" name="Temperatura" dataDxfId="92"/>
    <tableColumn id="2" xr3:uid="{9BFC159F-D192-4324-9E56-98CB02FD28BA}" name="Qvib1" dataDxfId="91"/>
    <tableColumn id="13" xr3:uid="{0A6CCB9C-D9FB-4F34-B1C8-C7E3F51F378F}" name="Qtot" dataDxfId="90">
      <calculatedColumnFormula>PRODUCT(#REF!)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A50CC9-B632-4E3F-9026-D822FCF056CC}" name="Tabella9387" displayName="Tabella9387" ref="B11:B12" totalsRowShown="0">
  <autoFilter ref="B11:B12" xr:uid="{0EA50CC9-B632-4E3F-9026-D822FCF056CC}"/>
  <tableColumns count="1">
    <tableColumn id="1" xr3:uid="{BF575DAE-6CDA-45B3-B96A-B1703E2CD532}" name="Frequenza1">
      <calculatedColumnFormula array="1">Tabella9314716[Frequenza1]*29979300000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673BD8-62D8-441E-93C2-D619855AFC3E}" name="Tabella9314716" displayName="Tabella9314716" ref="B9:B10" totalsRowShown="0">
  <autoFilter ref="B9:B10" xr:uid="{7A673BD8-62D8-441E-93C2-D619855AFC3E}"/>
  <tableColumns count="1">
    <tableColumn id="1" xr3:uid="{6BD18123-8876-4665-A268-FE6EBE508584}" name="Frequenza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721F6CD-AA9D-4B8E-9BD9-D334085D7D57}" name="Tabella33317" displayName="Tabella33317" ref="A1:H2" totalsRowShown="0" headerRowDxfId="89" dataDxfId="88">
  <autoFilter ref="A1:H2" xr:uid="{1721F6CD-AA9D-4B8E-9BD9-D334085D7D57}"/>
  <tableColumns count="8">
    <tableColumn id="1" xr3:uid="{58FCA508-19F5-4E4B-A5AC-F564F9130662}" name="Pi Greco" dataDxfId="87">
      <calculatedColumnFormula>PI()</calculatedColumnFormula>
    </tableColumn>
    <tableColumn id="2" xr3:uid="{A68F0DFD-5C6F-45D2-9D34-FD23C6211421}" name="Massa [kg]" dataDxfId="86">
      <calculatedColumnFormula>1.66E-27*Tabella33317[[#This Row],[Massa '[g/mol']]]</calculatedColumnFormula>
    </tableColumn>
    <tableColumn id="3" xr3:uid="{E6DDCC9B-235F-48AA-858E-321B89751596}" name="Boltzmann k" dataDxfId="85"/>
    <tableColumn id="4" xr3:uid="{4A4EAFFB-A43E-48F2-8636-1D6B4AE84C82}" name="Planck h" dataDxfId="84"/>
    <tableColumn id="5" xr3:uid="{4242CFC7-7660-47DE-9D4F-E4842FEDD82A}" name="Rydberg R" dataDxfId="83"/>
    <tableColumn id="6" xr3:uid="{3A109CF5-F413-40D2-9172-9C45F1AB0D0A}" name="Avogadro N" dataDxfId="82"/>
    <tableColumn id="7" xr3:uid="{8F7FB109-8AA9-496C-9EC9-4D4178D0DFDA}" name="Massa [g/mol]" dataDxfId="81"/>
    <tableColumn id="8" xr3:uid="{9ED72F5C-75E4-409A-8FFE-394D81E0EB46}" name="N" dataDxfId="8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833A30-F61C-4ABC-BB9E-F7C580C63E21}" name="Tabella63618" displayName="Tabella63618" ref="A8:C9" totalsRowShown="0" headerRowDxfId="79" dataDxfId="78">
  <autoFilter ref="A8:C9" xr:uid="{5D833A30-F61C-4ABC-BB9E-F7C580C63E21}"/>
  <tableColumns count="3">
    <tableColumn id="1" xr3:uid="{191AE0D2-F53A-4459-AA62-729FC1128CBC}" name="Simmetria" dataDxfId="77"/>
    <tableColumn id="2" xr3:uid="{FE603C89-B7B3-491D-9E01-6202E06D5781}" name="Gel" dataDxfId="76"/>
    <tableColumn id="3" xr3:uid="{1C71A31C-F367-4947-B1F9-758B07FAF78B}" name="Eel" dataDxfId="75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8C0B89D-2213-47B3-9495-61489F2D40C4}" name="Tabella83719" displayName="Tabella83719" ref="A14:J32" totalsRowShown="0" headerRowDxfId="74" dataDxfId="73">
  <autoFilter ref="A14:J32" xr:uid="{E8C0B89D-2213-47B3-9495-61489F2D40C4}"/>
  <tableColumns count="10">
    <tableColumn id="1" xr3:uid="{F895CFDD-F5D7-4117-B39F-E7141F2BB7CD}" name="Temperatura" dataDxfId="72"/>
    <tableColumn id="2" xr3:uid="{AE17A643-43D3-4D70-9BF3-32EDCAA66C51}" name="Qvib1" dataDxfId="71">
      <calculatedColumnFormula array="1">EXP(-(Tabella33317[Planck h]*Tabella93820[Frequenza1])/(Tabella33317[Boltzmann k]*2*Tabella83719[[#This Row],[Temperatura]]))/(1-EXP(-(Tabella33317[Planck h]*Tabella93820[Frequenza1])/(Tabella33317[Boltzmann k]*Tabella83719[[#This Row],[Temperatura]])))</calculatedColumnFormula>
    </tableColumn>
    <tableColumn id="3" xr3:uid="{9324BA0A-8611-4053-B81E-09657D2AA740}" name="Qvib2" dataDxfId="70">
      <calculatedColumnFormula array="1">EXP(-(Tabella33317[Planck h]*Tabella93820[Frequenza2])/(Tabella33317[Boltzmann k]*2*Tabella83719[[#This Row],[Temperatura]]))/(1-EXP(-(Tabella33317[Planck h]*Tabella93820[Frequenza2])/(Tabella33317[Boltzmann k]*Tabella83719[[#This Row],[Temperatura]])))</calculatedColumnFormula>
    </tableColumn>
    <tableColumn id="4" xr3:uid="{B2A4D439-3FF0-47DE-B545-922A07ECAACE}" name="Qvib3" dataDxfId="69">
      <calculatedColumnFormula array="1">EXP(-(Tabella33317[Planck h]*Tabella93820[Frequenza3])/(Tabella33317[Boltzmann k]*2*Tabella83719[[#This Row],[Temperatura]]))/(1-EXP(-(Tabella33317[Planck h]*Tabella93820[Frequenza3])/(Tabella33317[Boltzmann k]*Tabella83719[[#This Row],[Temperatura]])))</calculatedColumnFormula>
    </tableColumn>
    <tableColumn id="5" xr3:uid="{1E1968E6-5022-481A-935C-1734CABF556C}" name="Qvib4" dataDxfId="68">
      <calculatedColumnFormula array="1">EXP(-(Tabella33317[Planck h]*Tabella93820[Frequenza4])/(Tabella33317[Boltzmann k]*2*Tabella83719[[#This Row],[Temperatura]]))/(1-EXP(-(Tabella33317[Planck h]*Tabella93820[Frequenza4])/(Tabella33317[Boltzmann k]*Tabella83719[[#This Row],[Temperatura]])))</calculatedColumnFormula>
    </tableColumn>
    <tableColumn id="6" xr3:uid="{4E8C703B-2D07-42C9-88EC-7DA4012FAC21}" name="Qvib5" dataDxfId="67">
      <calculatedColumnFormula array="1">EXP(-(Tabella33317[Planck h]*Tabella93820[Frequenza5])/(Tabella33317[Boltzmann k]*2*Tabella83719[[#This Row],[Temperatura]]))/(1-EXP(-(Tabella33317[Planck h]*Tabella93820[Frequenza5])/(Tabella33317[Boltzmann k]*Tabella83719[[#This Row],[Temperatura]])))</calculatedColumnFormula>
    </tableColumn>
    <tableColumn id="7" xr3:uid="{D3C8F9DC-E0B4-459A-8A44-96E1F538DC48}" name="Qvib6" dataDxfId="66">
      <calculatedColumnFormula array="1">EXP(-(Tabella33317[Planck h]*Tabella93820[Frequenza6])/(Tabella33317[Boltzmann k]*2*Tabella83719[[#This Row],[Temperatura]]))/(1-EXP(-(Tabella33317[Planck h]*Tabella93820[Frequenza6])/(Tabella33317[Boltzmann k]*Tabella83719[[#This Row],[Temperatura]])))</calculatedColumnFormula>
    </tableColumn>
    <tableColumn id="8" xr3:uid="{D84E72C7-8622-4BB5-8895-0D485CF819F9}" name="Qvib7" dataDxfId="65">
      <calculatedColumnFormula array="1">EXP(-(Tabella33317[Planck h]*Tabella93820[Frequenza7])/(Tabella33317[Boltzmann k]*2*Tabella83719[[#This Row],[Temperatura]]))/(1-EXP(-(Tabella33317[Planck h]*Tabella93820[Frequenza7])/(Tabella33317[Boltzmann k]*Tabella83719[[#This Row],[Temperatura]])))</calculatedColumnFormula>
    </tableColumn>
    <tableColumn id="9" xr3:uid="{C74AE25A-2B17-4E6F-BA7D-BE901032717C}" name="Qvib8" dataDxfId="64">
      <calculatedColumnFormula array="1">EXP(-(Tabella33317[Planck h]*Tabella93820[Frequenza8])/(Tabella33317[Boltzmann k]*2*Tabella83719[[#This Row],[Temperatura]]))/(1-EXP(-(Tabella33317[Planck h]*Tabella93820[Frequenza8])/(Tabella33317[Boltzmann k]*Tabella83719[[#This Row],[Temperatura]])))</calculatedColumnFormula>
    </tableColumn>
    <tableColumn id="10" xr3:uid="{B87DEC06-0A9D-4211-B8C7-DF4ECEBFC579}" name="Qvib9" dataDxfId="63">
      <calculatedColumnFormula array="1">EXP(-(Tabella33317[Planck h]*Tabella93820[Frequenza9])/(Tabella33317[Boltzmann k]*2*Tabella83719[[#This Row],[Temperatura]]))/(1-EXP(-(Tabella33317[Planck h]*Tabella93820[Frequenza9])/(Tabella33317[Boltzmann k]*Tabella83719[[#This Row],[Temperatura]])))</calculatedColumnFormula>
    </tableColumn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34E0AD-D8D0-45CB-A067-016177468A8B}" name="Tabella93820" displayName="Tabella93820" ref="B12:J13" totalsRowShown="0" headerRowDxfId="62" dataDxfId="61">
  <autoFilter ref="B12:J13" xr:uid="{E434E0AD-D8D0-45CB-A067-016177468A8B}"/>
  <tableColumns count="9">
    <tableColumn id="1" xr3:uid="{55D2FED3-34D8-4C32-A58A-ADA5A86D3F45}" name="Frequenza1" dataDxfId="60">
      <calculatedColumnFormula array="1">Tabella9314721[Frequenza1]*29979300000</calculatedColumnFormula>
    </tableColumn>
    <tableColumn id="2" xr3:uid="{6F0BAE9C-1DC7-42DE-AA21-6B7558E1BF67}" name="Frequenza2" dataDxfId="59">
      <calculatedColumnFormula array="1">Tabella9314721[Frequenza2]*29979300000</calculatedColumnFormula>
    </tableColumn>
    <tableColumn id="3" xr3:uid="{C5AF979B-9DC3-467B-830D-E61AB45D61F1}" name="Frequenza3" dataDxfId="58">
      <calculatedColumnFormula array="1">Tabella9314721[Frequenza3]*29979300000</calculatedColumnFormula>
    </tableColumn>
    <tableColumn id="4" xr3:uid="{6442D838-A3AC-4F75-957D-84D25BB24AD5}" name="Frequenza4" dataDxfId="57">
      <calculatedColumnFormula array="1">Tabella9314721[Frequenza4]*29979300000</calculatedColumnFormula>
    </tableColumn>
    <tableColumn id="5" xr3:uid="{959C43E2-E947-4719-BACF-2AFE982C1D54}" name="Frequenza5" dataDxfId="56">
      <calculatedColumnFormula array="1">Tabella9314721[Frequenza5]*29979300000</calculatedColumnFormula>
    </tableColumn>
    <tableColumn id="6" xr3:uid="{03C6CAC4-42D8-442B-A330-8EEB6CBDD5B0}" name="Frequenza6" dataDxfId="55">
      <calculatedColumnFormula array="1">Tabella9314721[Frequenza6]*29979300000</calculatedColumnFormula>
    </tableColumn>
    <tableColumn id="7" xr3:uid="{DFBC16B3-F3B3-4854-B158-C2C2972605A5}" name="Frequenza7" dataDxfId="54">
      <calculatedColumnFormula array="1">Tabella9314721[Frequenza7]*29979300000</calculatedColumnFormula>
    </tableColumn>
    <tableColumn id="8" xr3:uid="{ADFD4A6B-934D-45DF-8388-36481CB845C8}" name="Frequenza8" dataDxfId="53">
      <calculatedColumnFormula array="1">Tabella9314721[Frequenza8]*29979300000</calculatedColumnFormula>
    </tableColumn>
    <tableColumn id="9" xr3:uid="{AEF7AA11-ACDA-415E-A3A5-8F8197A6DF18}" name="Frequenza9" dataDxfId="52">
      <calculatedColumnFormula array="1">Tabella9314721[Frequenza9]*29979300000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83DD9A-FD84-4927-9E4E-244A8DEEEF3C}" name="Tabella9314721" displayName="Tabella9314721" ref="B10:J11" totalsRowShown="0" headerRowDxfId="51" dataDxfId="50">
  <autoFilter ref="B10:J11" xr:uid="{0783DD9A-FD84-4927-9E4E-244A8DEEEF3C}"/>
  <tableColumns count="9">
    <tableColumn id="1" xr3:uid="{4074E264-1902-49F7-B6A3-BBB73CBC9EA2}" name="Frequenza1" dataDxfId="49"/>
    <tableColumn id="2" xr3:uid="{B0375BEF-82FB-43F5-A290-41B891ACB550}" name="Frequenza2" dataDxfId="48"/>
    <tableColumn id="3" xr3:uid="{38F24D92-EEFC-4E4B-99B0-79D15CB1FF5D}" name="Frequenza3" dataDxfId="47"/>
    <tableColumn id="4" xr3:uid="{1DA531A2-9655-448F-BE59-525A95F07F6E}" name="Frequenza4" dataDxfId="46"/>
    <tableColumn id="5" xr3:uid="{7ABB9FCB-9934-4CBB-9D2A-B2AF6716796E}" name="Frequenza5" dataDxfId="45"/>
    <tableColumn id="6" xr3:uid="{425943D3-185A-4894-9089-39561CEC0005}" name="Frequenza6" dataDxfId="44"/>
    <tableColumn id="7" xr3:uid="{61EB164C-3975-4EDA-9517-D334FE18D196}" name="Frequenza7" dataDxfId="43"/>
    <tableColumn id="8" xr3:uid="{57E57344-96C1-433F-99DD-232865CC0311}" name="Frequenza8" dataDxfId="42"/>
    <tableColumn id="9" xr3:uid="{B1D26A5F-A501-4C94-9476-60E72723D564}" name="Frequenza9" dataDxfId="41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DA9F55-3028-4A79-ADA3-D7993414B6EC}" name="Tabella333178" displayName="Tabella333178" ref="A1:H2" totalsRowShown="0" headerRowDxfId="40" dataDxfId="39">
  <autoFilter ref="A1:H2" xr:uid="{83DA9F55-3028-4A79-ADA3-D7993414B6EC}"/>
  <tableColumns count="8">
    <tableColumn id="1" xr3:uid="{D5E9F033-D4FD-43FC-A793-5EE7976656EB}" name="Pi Greco" dataDxfId="38">
      <calculatedColumnFormula>PI()</calculatedColumnFormula>
    </tableColumn>
    <tableColumn id="2" xr3:uid="{165202B4-3786-409E-BE80-5E1ED3558022}" name="Massa [kg]" dataDxfId="37">
      <calculatedColumnFormula>1.66E-27*Tabella333178[[#This Row],[Massa '[g/mol']]]</calculatedColumnFormula>
    </tableColumn>
    <tableColumn id="3" xr3:uid="{2111AD05-3E00-4E1A-A281-2ACFAA32E9DC}" name="Boltzmann k" dataDxfId="36"/>
    <tableColumn id="4" xr3:uid="{7F6A2E1B-2493-46EC-85D5-E4057F3797B4}" name="Planck h" dataDxfId="35"/>
    <tableColumn id="5" xr3:uid="{A6A3876F-0BB4-4E08-A028-BF9CF8925739}" name="Rydberg R" dataDxfId="34"/>
    <tableColumn id="6" xr3:uid="{F03A4391-0E7E-4990-B02D-046B92440643}" name="Avogadro N" dataDxfId="33"/>
    <tableColumn id="7" xr3:uid="{BC6C2061-2802-4FEF-A2FF-37E93C60B2A0}" name="Massa [g/mol]" dataDxfId="32"/>
    <tableColumn id="8" xr3:uid="{9BFA1A35-FDAE-4117-ABCD-66A0B185DAFF}" name="N" dataDxfId="3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41EF6A-2451-44A0-8C4C-93892B61AB62}" name="Tabella6362033" displayName="Tabella6362033" ref="A8:C9" totalsRowShown="0" headerRowDxfId="30" dataDxfId="29">
  <autoFilter ref="A8:C9" xr:uid="{E441EF6A-2451-44A0-8C4C-93892B61AB62}"/>
  <tableColumns count="3">
    <tableColumn id="1" xr3:uid="{3E713987-ABBE-4F7D-9BBC-8E78A24A5712}" name="Simmetria" dataDxfId="28"/>
    <tableColumn id="2" xr3:uid="{C3954A03-C973-49A3-BEB9-AECBB52F1392}" name="Gel" dataDxfId="27"/>
    <tableColumn id="3" xr3:uid="{933D4340-2576-43AF-A966-8E54B391C90F}" name="Eel" dataDxfId="2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D91AE5-7909-4ACF-86F7-E19734E30DAC}" name="Tabella8372135" displayName="Tabella8372135" ref="A14:H32" totalsRowShown="0" headerRowDxfId="25" dataDxfId="24">
  <autoFilter ref="A14:H32" xr:uid="{E1D91AE5-7909-4ACF-86F7-E19734E30DAC}"/>
  <tableColumns count="8">
    <tableColumn id="1" xr3:uid="{9FBD407B-DE8A-4907-80CC-F2CD45F8D0D7}" name="Temperatura" dataDxfId="23"/>
    <tableColumn id="2" xr3:uid="{4A1E119F-352B-456D-B5CE-D7F86695C276}" name="Qvib1" dataDxfId="22">
      <calculatedColumnFormula array="1">EXP(-(Tabella333178[Planck h]*Tabella9382236[Frequenza1])/(Tabella333178[Boltzmann k]*2*Tabella8372135[[#This Row],[Temperatura]]))/(1-EXP(-(Tabella333178[Planck h]*Tabella9382236[Frequenza1])/(Tabella333178[Boltzmann k]*Tabella8372135[[#This Row],[Temperatura]])))</calculatedColumnFormula>
    </tableColumn>
    <tableColumn id="3" xr3:uid="{BF45C538-FB63-47D5-BABC-1F64CD100018}" name="Qvib2" dataDxfId="21">
      <calculatedColumnFormula array="1">EXP(-(Tabella333178[Planck h]*Tabella9382236[Frequenza2])/(Tabella333178[Boltzmann k]*2*Tabella8372135[[#This Row],[Temperatura]]))/(1-EXP(-(Tabella333178[Planck h]*Tabella9382236[Frequenza2])/(Tabella333178[Boltzmann k]*Tabella8372135[[#This Row],[Temperatura]])))</calculatedColumnFormula>
    </tableColumn>
    <tableColumn id="4" xr3:uid="{F4E2AD6A-E8BD-4EAF-8A7B-2EB6F329C31D}" name="Qvib3" dataDxfId="20">
      <calculatedColumnFormula array="1">EXP(-(Tabella333178[Planck h]*Tabella9382236[Frequenza3])/(Tabella333178[Boltzmann k]*2*Tabella8372135[[#This Row],[Temperatura]]))/(1-EXP(-(Tabella333178[Planck h]*Tabella9382236[Frequenza3])/(Tabella333178[Boltzmann k]*Tabella8372135[[#This Row],[Temperatura]])))</calculatedColumnFormula>
    </tableColumn>
    <tableColumn id="5" xr3:uid="{49FF783C-035C-4B14-8EDF-467CB3DF11EA}" name="Qvib4" dataDxfId="19">
      <calculatedColumnFormula array="1">EXP(-(Tabella333178[Planck h]*Tabella9382236[Frequenza4])/(Tabella333178[Boltzmann k]*2*Tabella8372135[[#This Row],[Temperatura]]))/(1-EXP(-(Tabella333178[Planck h]*Tabella9382236[Frequenza4])/(Tabella333178[Boltzmann k]*Tabella8372135[[#This Row],[Temperatura]])))</calculatedColumnFormula>
    </tableColumn>
    <tableColumn id="6" xr3:uid="{1D9BDD63-F40A-4FAB-A973-033B95566759}" name="Qvib5" dataDxfId="18">
      <calculatedColumnFormula array="1">EXP(-(Tabella333178[Planck h]*Tabella9382236[Frequenza5])/(Tabella333178[Boltzmann k]*2*Tabella8372135[[#This Row],[Temperatura]]))/(1-EXP(-(Tabella333178[Planck h]*Tabella9382236[Frequenza5])/(Tabella333178[Boltzmann k]*Tabella8372135[[#This Row],[Temperatura]])))</calculatedColumnFormula>
    </tableColumn>
    <tableColumn id="7" xr3:uid="{DF51FD20-42C0-4BE1-8E66-800805FFF931}" name="Qvib6" dataDxfId="17">
      <calculatedColumnFormula array="1">EXP(-(Tabella333178[Planck h]*Tabella9382236[Frequenza6])/(Tabella333178[Boltzmann k]*2*Tabella8372135[[#This Row],[Temperatura]]))/(1-EXP(-(Tabella333178[Planck h]*Tabella9382236[Frequenza6])/(Tabella333178[Boltzmann k]*Tabella8372135[[#This Row],[Temperatura]])))</calculatedColumnFormula>
    </tableColumn>
    <tableColumn id="13" xr3:uid="{A2304DAD-4277-40CF-A82F-28B60F152229}" name="Qvib" dataDxfId="16">
      <calculatedColumnFormula>PRODUCT(Tabella8372135[[#This Row],[Qvib1]:[Qvib6]])</calculatedColumnFormula>
    </tableColumn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3A08BC-F9B3-46B1-83AC-AB052596F799}" name="Tabella9382236" displayName="Tabella9382236" ref="B12:G13" totalsRowShown="0" headerRowDxfId="15" dataDxfId="14">
  <autoFilter ref="B12:G13" xr:uid="{933A08BC-F9B3-46B1-83AC-AB052596F799}"/>
  <tableColumns count="6">
    <tableColumn id="1" xr3:uid="{40B4E98D-03F5-4EFD-90FB-A47B7C77FB04}" name="Frequenza1" dataDxfId="13">
      <calculatedColumnFormula array="1">Tabella931473139[Frequenza1]*29979300000</calculatedColumnFormula>
    </tableColumn>
    <tableColumn id="2" xr3:uid="{17480D77-69F2-4CC8-BE78-050C3510E1AF}" name="Frequenza2" dataDxfId="12">
      <calculatedColumnFormula array="1">Tabella931473139[Frequenza2]*29979300000</calculatedColumnFormula>
    </tableColumn>
    <tableColumn id="3" xr3:uid="{3FD39A61-5C82-40BE-8165-B37ADD796FF1}" name="Frequenza3" dataDxfId="11">
      <calculatedColumnFormula array="1">Tabella931473139[Frequenza3]*29979300000</calculatedColumnFormula>
    </tableColumn>
    <tableColumn id="4" xr3:uid="{FE990D6A-5ABF-4B56-B701-25A5635F5AD3}" name="Frequenza4" dataDxfId="10">
      <calculatedColumnFormula array="1">Tabella931473139[Frequenza4]*29979300000</calculatedColumnFormula>
    </tableColumn>
    <tableColumn id="5" xr3:uid="{53B6996B-8A7F-4EF5-90D5-B9ED9AA8D81E}" name="Frequenza5" dataDxfId="9">
      <calculatedColumnFormula array="1">Tabella931473139[Frequenza5]*29979300000</calculatedColumnFormula>
    </tableColumn>
    <tableColumn id="6" xr3:uid="{6BBC7EBF-F890-41DD-A33D-8AB530879954}" name="Frequenza6" dataDxfId="8">
      <calculatedColumnFormula array="1">Tabella931473139[Frequenza6]*29979300000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1CC769-F69E-4AAA-B170-82AF2135E0C1}" name="Tabella931473139" displayName="Tabella931473139" ref="B10:G11" totalsRowShown="0" headerRowDxfId="7" dataDxfId="6">
  <autoFilter ref="B10:G11" xr:uid="{9B1CC769-F69E-4AAA-B170-82AF2135E0C1}"/>
  <tableColumns count="6">
    <tableColumn id="1" xr3:uid="{3686C89F-FE98-4951-9202-2D86603A5A36}" name="Frequenza1" dataDxfId="5"/>
    <tableColumn id="2" xr3:uid="{F9D25F5B-E22D-42D5-B5B7-33285922541D}" name="Frequenza2" dataDxfId="4"/>
    <tableColumn id="3" xr3:uid="{D1D39ADE-7DE5-4B87-BB73-323237FFCA34}" name="Frequenza3" dataDxfId="3"/>
    <tableColumn id="4" xr3:uid="{37A6739A-C58A-4D30-8B06-1E441FF70806}" name="Frequenza4" dataDxfId="2"/>
    <tableColumn id="5" xr3:uid="{0F49E4C0-C458-41DF-B128-8D5922BD18E8}" name="Frequenza5" dataDxfId="1"/>
    <tableColumn id="6" xr3:uid="{AE279DBD-4151-42BA-90E0-5C70D6116C1D}" name="Frequenza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inetics.nist.gov/kinetics/Detail?id=1984WAR197C:1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kinetics.nist.gov/kinetics/Detail?id=1997COR/ESP4013-4021: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AFBA-C16A-49DE-9B07-356553739D9E}">
  <dimension ref="A1:R53"/>
  <sheetViews>
    <sheetView workbookViewId="0">
      <selection activeCell="D16" sqref="D16"/>
    </sheetView>
  </sheetViews>
  <sheetFormatPr defaultColWidth="9.1796875" defaultRowHeight="14.5" x14ac:dyDescent="0.35"/>
  <cols>
    <col min="1" max="1" width="14.7265625" style="9" bestFit="1" customWidth="1"/>
    <col min="2" max="2" width="13.54296875" style="9" bestFit="1" customWidth="1"/>
    <col min="3" max="3" width="14.1796875" style="9" bestFit="1" customWidth="1"/>
    <col min="4" max="5" width="13.54296875" style="9" bestFit="1" customWidth="1"/>
    <col min="6" max="7" width="24.81640625" style="9" bestFit="1" customWidth="1"/>
    <col min="8" max="8" width="24.7265625" style="9" bestFit="1" customWidth="1"/>
    <col min="9" max="10" width="13.54296875" style="9" bestFit="1" customWidth="1"/>
    <col min="11" max="13" width="14.54296875" style="9" bestFit="1" customWidth="1"/>
    <col min="14" max="14" width="10.26953125" style="9" customWidth="1"/>
    <col min="15" max="16384" width="9.1796875" style="9"/>
  </cols>
  <sheetData>
    <row r="1" spans="1:18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18" x14ac:dyDescent="0.35">
      <c r="A2" s="9">
        <f>PI()</f>
        <v>3.1415926535897931</v>
      </c>
      <c r="B2" s="22">
        <f>1.66E-27*Tabella333[[#This Row],[Massa '[g/mol']]]</f>
        <v>2.8371558000000001E-26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17.0913</v>
      </c>
      <c r="H2" s="9">
        <v>6</v>
      </c>
    </row>
    <row r="5" spans="1:18" x14ac:dyDescent="0.35">
      <c r="A5" s="8"/>
    </row>
    <row r="6" spans="1:18" ht="15" thickBot="1" x14ac:dyDescent="0.4">
      <c r="A6" s="8"/>
      <c r="F6" s="24" t="s">
        <v>24</v>
      </c>
      <c r="G6" s="24" t="s">
        <v>25</v>
      </c>
      <c r="H6" s="24" t="s">
        <v>26</v>
      </c>
    </row>
    <row r="7" spans="1:18" ht="15" thickBot="1" x14ac:dyDescent="0.4">
      <c r="A7" s="22"/>
      <c r="F7" s="25">
        <v>7.1452600000000004</v>
      </c>
      <c r="G7" s="14">
        <v>2.7869199999999998</v>
      </c>
      <c r="H7" s="15">
        <v>2.7868900000000001</v>
      </c>
    </row>
    <row r="8" spans="1:18" x14ac:dyDescent="0.35">
      <c r="A8" s="9" t="s">
        <v>23</v>
      </c>
      <c r="B8" s="9" t="s">
        <v>27</v>
      </c>
      <c r="C8" s="9" t="s">
        <v>28</v>
      </c>
      <c r="G8" s="22"/>
      <c r="H8" s="22"/>
      <c r="I8" s="22"/>
    </row>
    <row r="9" spans="1:18" x14ac:dyDescent="0.35">
      <c r="A9" s="9">
        <v>1</v>
      </c>
      <c r="B9" s="9">
        <v>2</v>
      </c>
      <c r="C9" s="9">
        <v>0</v>
      </c>
      <c r="G9" s="22"/>
    </row>
    <row r="10" spans="1:18" x14ac:dyDescent="0.3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  <c r="K10" s="9" t="s">
        <v>49</v>
      </c>
      <c r="L10" s="9" t="s">
        <v>50</v>
      </c>
      <c r="M10" s="9" t="s">
        <v>51</v>
      </c>
    </row>
    <row r="11" spans="1:18" ht="15" thickBot="1" x14ac:dyDescent="0.4">
      <c r="B11" s="81">
        <v>-1159.2845</v>
      </c>
      <c r="C11" s="16">
        <v>551.67759999999998</v>
      </c>
      <c r="D11" s="16">
        <v>552.23119999999994</v>
      </c>
      <c r="E11" s="16">
        <v>1076.6088999999999</v>
      </c>
      <c r="F11" s="16">
        <v>1167.3195000000001</v>
      </c>
      <c r="G11" s="16">
        <v>1167.3416999999999</v>
      </c>
      <c r="H11" s="16">
        <v>1437.002</v>
      </c>
      <c r="I11" s="16">
        <v>1437.1954000000001</v>
      </c>
      <c r="J11" s="17">
        <v>1871.6554000000001</v>
      </c>
      <c r="K11" s="16">
        <v>3081.7914999999998</v>
      </c>
      <c r="L11" s="16">
        <v>3229.7696000000001</v>
      </c>
      <c r="M11" s="16">
        <v>3229.8180000000002</v>
      </c>
    </row>
    <row r="12" spans="1:18" x14ac:dyDescent="0.3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  <c r="K12" s="9" t="s">
        <v>49</v>
      </c>
      <c r="L12" s="9" t="s">
        <v>50</v>
      </c>
      <c r="M12" s="9" t="s">
        <v>51</v>
      </c>
    </row>
    <row r="13" spans="1:18" ht="15" thickBot="1" x14ac:dyDescent="0.4">
      <c r="B13" s="9" cm="1">
        <f t="array" ref="B13">Tabella93147[Frequenza1]*29979300000</f>
        <v>-34754537810850</v>
      </c>
      <c r="C13" s="9" cm="1">
        <f t="array" ref="C13">Tabella93147[Frequenza2]*29979300000</f>
        <v>16538908273680</v>
      </c>
      <c r="D13" s="9" cm="1">
        <f t="array" ref="D13">Tabella93147[Frequenza3]*29979300000</f>
        <v>16555504814159.998</v>
      </c>
      <c r="E13" s="9" cm="1">
        <f t="array" ref="E13">Tabella93147[Frequenza4]*29979300000</f>
        <v>32275981195770</v>
      </c>
      <c r="F13" s="9" cm="1">
        <f t="array" ref="F13">Tabella93147[Frequenza5]*29979300000</f>
        <v>34995421486350</v>
      </c>
      <c r="G13" s="9" cm="1">
        <f t="array" ref="G13">Tabella93147[Frequenza6]*29979300000</f>
        <v>34996087026810</v>
      </c>
      <c r="H13" s="9" cm="1">
        <f t="array" ref="H13">Tabella93147[Frequenza7]*29979300000</f>
        <v>43080314058600</v>
      </c>
      <c r="I13" s="9" cm="1">
        <f t="array" ref="I13">Tabella93147[Frequenza8]*29979300000</f>
        <v>43086112055220</v>
      </c>
      <c r="J13" s="9" cm="1">
        <f t="array" ref="J13">Tabella93147[Frequenza9]*29979300000</f>
        <v>56110918733220</v>
      </c>
      <c r="K13" s="9" cm="1">
        <f t="array" ref="K13">Tabella93147[Frequenza10]*29979300000</f>
        <v>92389951915950</v>
      </c>
      <c r="L13" s="9" cm="1">
        <f t="array" ref="L13">Tabella93147[Frequenza11]*29979300000</f>
        <v>96826231769280</v>
      </c>
      <c r="M13" s="9" cm="1">
        <f t="array" ref="M13">Tabella93147[Frequenza12]*29979300000</f>
        <v>96827682767400</v>
      </c>
    </row>
    <row r="14" spans="1:18" x14ac:dyDescent="0.35">
      <c r="A14" s="31" t="s">
        <v>38</v>
      </c>
      <c r="B14" s="32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32" t="s">
        <v>46</v>
      </c>
      <c r="J14" s="32" t="s">
        <v>47</v>
      </c>
      <c r="K14" s="32" t="s">
        <v>52</v>
      </c>
      <c r="L14" s="32" t="s">
        <v>53</v>
      </c>
      <c r="M14" s="32" t="s">
        <v>54</v>
      </c>
      <c r="N14" s="33" t="s">
        <v>48</v>
      </c>
    </row>
    <row r="15" spans="1:18" x14ac:dyDescent="0.35">
      <c r="A15" s="34">
        <v>298.14999999999998</v>
      </c>
      <c r="B15" s="22" cm="1">
        <f t="array" ref="B15">EXP(-(Tabella333[Planck h]*Tabella938[Frequenza1])/(Tabella333[Boltzmann k]*2*Tabella837[[#This Row],[Temperatura]]))/(1-EXP(-(Tabella333[Planck h]*Tabella938[Frequenza1])/(Tabella333[Boltzmann k]*Tabella837[[#This Row],[Temperatura]])))</f>
        <v>-6.1209830593224927E-2</v>
      </c>
      <c r="C15" s="22" cm="1">
        <f t="array" ref="C15">EXP(-(Tabella333[Planck h]*Tabella938[Frequenza2])/(Tabella333[Boltzmann k]*2*Tabella837[[#This Row],[Temperatura]]))/(1-EXP(-(Tabella333[Planck h]*Tabella938[Frequenza2])/(Tabella333[Boltzmann k]*Tabella837[[#This Row],[Temperatura]])))</f>
        <v>0.28400474021491101</v>
      </c>
      <c r="D15" s="22" cm="1">
        <f t="array" ref="D15">EXP(-(Tabella333[Planck h]*Tabella938[Frequenza3])/(Tabella333[Boltzmann k]*2*Tabella837[[#This Row],[Temperatura]]))/(1-EXP(-(Tabella333[Planck h]*Tabella938[Frequenza3])/(Tabella333[Boltzmann k]*Tabella837[[#This Row],[Temperatura]])))</f>
        <v>0.28356887099414302</v>
      </c>
      <c r="E15" s="22" cm="1">
        <f t="array" ref="E15">EXP(-(Tabella333[Planck h]*Tabella938[Frequenza4])/(Tabella333[Boltzmann k]*2*Tabella837[[#This Row],[Temperatura]]))/(1-EXP(-(Tabella333[Planck h]*Tabella938[Frequenza4])/(Tabella333[Boltzmann k]*Tabella837[[#This Row],[Temperatura]])))</f>
        <v>7.4860242294090024E-2</v>
      </c>
      <c r="F15" s="22" cm="1">
        <f t="array" ref="F15">EXP(-(Tabella333[Planck h]*Tabella938[Frequenza5])/(Tabella333[Boltzmann k]*2*Tabella837[[#This Row],[Temperatura]]))/(1-EXP(-(Tabella333[Planck h]*Tabella938[Frequenza5])/(Tabella333[Boltzmann k]*Tabella837[[#This Row],[Temperatura]])))</f>
        <v>6.0026050809185431E-2</v>
      </c>
      <c r="G15" s="22" cm="1">
        <f t="array" ref="G15">EXP(-(Tabella333[Planck h]*Tabella938[Frequenza6])/(Tabella333[Boltzmann k]*2*Tabella837[[#This Row],[Temperatura]]))/(1-EXP(-(Tabella333[Planck h]*Tabella938[Frequenza6])/(Tabella333[Boltzmann k]*Tabella837[[#This Row],[Temperatura]])))</f>
        <v>6.0022812506078549E-2</v>
      </c>
      <c r="H15" s="22" cm="1">
        <f t="array" ref="H15">EXP(-(Tabella333[Planck h]*Tabella938[Frequenza7])/(Tabella333[Boltzmann k]*2*Tabella837[[#This Row],[Temperatura]]))/(1-EXP(-(Tabella333[Planck h]*Tabella938[Frequenza7])/(Tabella333[Boltzmann k]*Tabella837[[#This Row],[Temperatura]])))</f>
        <v>3.1232741856104224E-2</v>
      </c>
      <c r="I15" s="22" cm="1">
        <f t="array" ref="I15">EXP(-(Tabella333[Planck h]*Tabella938[Frequenza8])/(Tabella333[Boltzmann k]*2*Tabella837[[#This Row],[Temperatura]]))/(1-EXP(-(Tabella333[Planck h]*Tabella938[Frequenza8])/(Tabella333[Boltzmann k]*Tabella837[[#This Row],[Temperatura]])))</f>
        <v>3.121814230026693E-2</v>
      </c>
      <c r="J15" s="22" cm="1">
        <f t="array" ref="J15">EXP(-(Tabella333[Planck h]*Tabella938[Frequenza9])/(Tabella333[Boltzmann k]*2*Tabella837[[#This Row],[Temperatura]]))/(1-EXP(-(Tabella333[Planck h]*Tabella938[Frequenza9])/(Tabella333[Boltzmann k]*Tabella837[[#This Row],[Temperatura]])))</f>
        <v>1.0933826840593972E-2</v>
      </c>
      <c r="K15" s="22" cm="1">
        <f t="array" ref="K15">EXP(-(Tabella333[Planck h]*Tabella938[Frequenza10])/(Tabella333[Boltzmann k]*2*Tabella837[[#This Row],[Temperatura]]))/(1-EXP(-(Tabella333[Planck h]*Tabella938[Frequenza10])/(Tabella333[Boltzmann k]*Tabella837[[#This Row],[Temperatura]])))</f>
        <v>5.8970783948527337E-4</v>
      </c>
      <c r="L15" s="22" cm="1">
        <f t="array" ref="L15">EXP(-(Tabella333[Planck h]*Tabella938[Frequenza11])/(Tabella333[Boltzmann k]*2*Tabella837[[#This Row],[Temperatura]]))/(1-EXP(-(Tabella333[Planck h]*Tabella938[Frequenza11])/(Tabella333[Boltzmann k]*Tabella837[[#This Row],[Temperatura]])))</f>
        <v>4.1264138739824922E-4</v>
      </c>
      <c r="M15" s="22" cm="1">
        <f t="array" ref="M15">EXP(-(Tabella333[Planck h]*Tabella938[Frequenza12])/(Tabella333[Boltzmann k]*2*Tabella837[[#This Row],[Temperatura]]))/(1-EXP(-(Tabella333[Planck h]*Tabella938[Frequenza12])/(Tabella333[Boltzmann k]*Tabella837[[#This Row],[Temperatura]])))</f>
        <v>4.1259320124357589E-4</v>
      </c>
      <c r="N15" s="35">
        <f>ABS(PRODUCT(Tabella837[[#This Row],[Qvib1]:[Qvib12]]))</f>
        <v>1.4230946128009984E-21</v>
      </c>
      <c r="R15" s="22"/>
    </row>
    <row r="16" spans="1:18" x14ac:dyDescent="0.35">
      <c r="A16" s="34">
        <v>400</v>
      </c>
      <c r="B16" s="22" cm="1">
        <f t="array" ref="B16">EXP(-(Tabella333[Planck h]*Tabella938[Frequenza1])/(Tabella333[Boltzmann k]*2*Tabella837[[#This Row],[Temperatura]]))/(1-EXP(-(Tabella333[Planck h]*Tabella938[Frequenza1])/(Tabella333[Boltzmann k]*Tabella837[[#This Row],[Temperatura]])))</f>
        <v>-0.12626551612347209</v>
      </c>
      <c r="C16" s="22" cm="1">
        <f t="array" ref="C16">EXP(-(Tabella333[Planck h]*Tabella938[Frequenza2])/(Tabella333[Boltzmann k]*2*Tabella837[[#This Row],[Temperatura]]))/(1-EXP(-(Tabella333[Planck h]*Tabella938[Frequenza2])/(Tabella333[Boltzmann k]*Tabella837[[#This Row],[Temperatura]])))</f>
        <v>0.42986098266191097</v>
      </c>
      <c r="D16" s="22" cm="1">
        <f t="array" ref="D16">EXP(-(Tabella333[Planck h]*Tabella938[Frequenza3])/(Tabella333[Boltzmann k]*2*Tabella837[[#This Row],[Temperatura]]))/(1-EXP(-(Tabella333[Planck h]*Tabella938[Frequenza3])/(Tabella333[Boltzmann k]*Tabella837[[#This Row],[Temperatura]])))</f>
        <v>0.42929710202158955</v>
      </c>
      <c r="E16" s="22" cm="1">
        <f t="array" ref="E16">EXP(-(Tabella333[Planck h]*Tabella938[Frequenza4])/(Tabella333[Boltzmann k]*2*Tabella837[[#This Row],[Temperatura]]))/(1-EXP(-(Tabella333[Planck h]*Tabella938[Frequenza4])/(Tabella333[Boltzmann k]*Tabella837[[#This Row],[Temperatura]])))</f>
        <v>0.14730832713854808</v>
      </c>
      <c r="F16" s="22" cm="1">
        <f t="array" ref="F16">EXP(-(Tabella333[Planck h]*Tabella938[Frequenza5])/(Tabella333[Boltzmann k]*2*Tabella837[[#This Row],[Temperatura]]))/(1-EXP(-(Tabella333[Planck h]*Tabella938[Frequenza5])/(Tabella333[Boltzmann k]*Tabella837[[#This Row],[Temperatura]])))</f>
        <v>0.12439838031971412</v>
      </c>
      <c r="G16" s="22" cm="1">
        <f t="array" ref="G16">EXP(-(Tabella333[Planck h]*Tabella938[Frequenza6])/(Tabella333[Boltzmann k]*2*Tabella837[[#This Row],[Temperatura]]))/(1-EXP(-(Tabella333[Planck h]*Tabella938[Frequenza6])/(Tabella333[Boltzmann k]*Tabella837[[#This Row],[Temperatura]])))</f>
        <v>0.12439326227380272</v>
      </c>
      <c r="H16" s="22" cm="1">
        <f t="array" ref="H16">EXP(-(Tabella333[Planck h]*Tabella938[Frequenza7])/(Tabella333[Boltzmann k]*2*Tabella837[[#This Row],[Temperatura]]))/(1-EXP(-(Tabella333[Planck h]*Tabella938[Frequenza7])/(Tabella333[Boltzmann k]*Tabella837[[#This Row],[Temperatura]])))</f>
        <v>7.5872334245629058E-2</v>
      </c>
      <c r="I16" s="22" cm="1">
        <f t="array" ref="I16">EXP(-(Tabella333[Planck h]*Tabella938[Frequenza8])/(Tabella333[Boltzmann k]*2*Tabella837[[#This Row],[Temperatura]]))/(1-EXP(-(Tabella333[Planck h]*Tabella938[Frequenza8])/(Tabella333[Boltzmann k]*Tabella837[[#This Row],[Temperatura]])))</f>
        <v>7.5845646653497606E-2</v>
      </c>
      <c r="J16" s="22" cm="1">
        <f t="array" ref="J16">EXP(-(Tabella333[Planck h]*Tabella938[Frequenza9])/(Tabella333[Boltzmann k]*2*Tabella837[[#This Row],[Temperatura]]))/(1-EXP(-(Tabella333[Planck h]*Tabella938[Frequenza9])/(Tabella333[Boltzmann k]*Tabella837[[#This Row],[Temperatura]])))</f>
        <v>3.4564402461626023E-2</v>
      </c>
      <c r="K16" s="27" cm="1">
        <f t="array" ref="K16">EXP(-(Tabella333[Planck h]*Tabella938[Frequenza10])/(Tabella333[Boltzmann k]*2*Tabella837[[#This Row],[Temperatura]]))/(1-EXP(-(Tabella333[Planck h]*Tabella938[Frequenza10])/(Tabella333[Boltzmann k]*Tabella837[[#This Row],[Temperatura]])))</f>
        <v>3.9166974915688388E-3</v>
      </c>
      <c r="L16" s="22" cm="1">
        <f t="array" ref="L16">EXP(-(Tabella333[Planck h]*Tabella938[Frequenza11])/(Tabella333[Boltzmann k]*2*Tabella837[[#This Row],[Temperatura]]))/(1-EXP(-(Tabella333[Planck h]*Tabella938[Frequenza11])/(Tabella333[Boltzmann k]*Tabella837[[#This Row],[Temperatura]])))</f>
        <v>3.0014866909656699E-3</v>
      </c>
      <c r="M16" s="22" cm="1">
        <f t="array" ref="M16">EXP(-(Tabella333[Planck h]*Tabella938[Frequenza12])/(Tabella333[Boltzmann k]*2*Tabella837[[#This Row],[Temperatura]]))/(1-EXP(-(Tabella333[Planck h]*Tabella938[Frequenza12])/(Tabella333[Boltzmann k]*Tabella837[[#This Row],[Temperatura]])))</f>
        <v>3.0012254297985845E-3</v>
      </c>
      <c r="N16" s="35">
        <f>ABS(PRODUCT(Tabella837[[#This Row],[Qvib1]:[Qvib12]]))</f>
        <v>3.7274158703074464E-16</v>
      </c>
    </row>
    <row r="17" spans="1:14" x14ac:dyDescent="0.35">
      <c r="A17" s="34">
        <v>500</v>
      </c>
      <c r="B17" s="22" cm="1">
        <f t="array" ref="B17">EXP(-(Tabella333[Planck h]*Tabella938[Frequenza1])/(Tabella333[Boltzmann k]*2*Tabella837[[#This Row],[Temperatura]]))/(1-EXP(-(Tabella333[Planck h]*Tabella938[Frequenza1])/(Tabella333[Boltzmann k]*Tabella837[[#This Row],[Temperatura]])))</f>
        <v>-0.19559214373349673</v>
      </c>
      <c r="C17" s="22" cm="1">
        <f t="array" ref="C17">EXP(-(Tabella333[Planck h]*Tabella938[Frequenza2])/(Tabella333[Boltzmann k]*2*Tabella837[[#This Row],[Temperatura]]))/(1-EXP(-(Tabella333[Planck h]*Tabella938[Frequenza2])/(Tabella333[Boltzmann k]*Tabella837[[#This Row],[Temperatura]])))</f>
        <v>0.56834071208318415</v>
      </c>
      <c r="D17" s="22" cm="1">
        <f t="array" ref="D17">EXP(-(Tabella333[Planck h]*Tabella938[Frequenza3])/(Tabella333[Boltzmann k]*2*Tabella837[[#This Row],[Temperatura]]))/(1-EXP(-(Tabella333[Planck h]*Tabella938[Frequenza3])/(Tabella333[Boltzmann k]*Tabella837[[#This Row],[Temperatura]])))</f>
        <v>0.56765601058451087</v>
      </c>
      <c r="E17" s="22" cm="1">
        <f t="array" ref="E17">EXP(-(Tabella333[Planck h]*Tabella938[Frequenza4])/(Tabella333[Boltzmann k]*2*Tabella837[[#This Row],[Temperatura]]))/(1-EXP(-(Tabella333[Planck h]*Tabella938[Frequenza4])/(Tabella333[Boltzmann k]*Tabella837[[#This Row],[Temperatura]])))</f>
        <v>0.22250342328962003</v>
      </c>
      <c r="F17" s="22" cm="1">
        <f t="array" ref="F17">EXP(-(Tabella333[Planck h]*Tabella938[Frequenza5])/(Tabella333[Boltzmann k]*2*Tabella837[[#This Row],[Temperatura]]))/(1-EXP(-(Tabella333[Planck h]*Tabella938[Frequenza5])/(Tabella333[Boltzmann k]*Tabella837[[#This Row],[Temperatura]])))</f>
        <v>0.19318109901419769</v>
      </c>
      <c r="G17" s="22" cm="1">
        <f t="array" ref="G17">EXP(-(Tabella333[Planck h]*Tabella938[Frequenza6])/(Tabella333[Boltzmann k]*2*Tabella837[[#This Row],[Temperatura]]))/(1-EXP(-(Tabella333[Planck h]*Tabella938[Frequenza6])/(Tabella333[Boltzmann k]*Tabella837[[#This Row],[Temperatura]])))</f>
        <v>0.19317448423319369</v>
      </c>
      <c r="H17" s="22" cm="1">
        <f t="array" ref="H17">EXP(-(Tabella333[Planck h]*Tabella938[Frequenza7])/(Tabella333[Boltzmann k]*2*Tabella837[[#This Row],[Temperatura]]))/(1-EXP(-(Tabella333[Planck h]*Tabella938[Frequenza7])/(Tabella333[Boltzmann k]*Tabella837[[#This Row],[Temperatura]])))</f>
        <v>0.12855513595908272</v>
      </c>
      <c r="I17" s="22" cm="1">
        <f t="array" ref="I17">EXP(-(Tabella333[Planck h]*Tabella938[Frequenza8])/(Tabella333[Boltzmann k]*2*Tabella837[[#This Row],[Temperatura]]))/(1-EXP(-(Tabella333[Planck h]*Tabella938[Frequenza8])/(Tabella333[Boltzmann k]*Tabella837[[#This Row],[Temperatura]])))</f>
        <v>0.12851820641702807</v>
      </c>
      <c r="J17" s="22" cm="1">
        <f t="array" ref="J17">EXP(-(Tabella333[Planck h]*Tabella938[Frequenza9])/(Tabella333[Boltzmann k]*2*Tabella837[[#This Row],[Temperatura]]))/(1-EXP(-(Tabella333[Planck h]*Tabella938[Frequenza9])/(Tabella333[Boltzmann k]*Tabella837[[#This Row],[Temperatura]])))</f>
        <v>6.7995951982741026E-2</v>
      </c>
      <c r="K17" s="27" cm="1">
        <f t="array" ref="K17">EXP(-(Tabella333[Planck h]*Tabella938[Frequenza10])/(Tabella333[Boltzmann k]*2*Tabella837[[#This Row],[Temperatura]]))/(1-EXP(-(Tabella333[Planck h]*Tabella938[Frequenza10])/(Tabella333[Boltzmann k]*Tabella837[[#This Row],[Temperatura]])))</f>
        <v>1.1868391268974245E-2</v>
      </c>
      <c r="L17" s="22" cm="1">
        <f t="array" ref="L17">EXP(-(Tabella333[Planck h]*Tabella938[Frequenza11])/(Tabella333[Boltzmann k]*2*Tabella837[[#This Row],[Temperatura]]))/(1-EXP(-(Tabella333[Planck h]*Tabella938[Frequenza11])/(Tabella333[Boltzmann k]*Tabella837[[#This Row],[Temperatura]])))</f>
        <v>9.5919290875394365E-3</v>
      </c>
      <c r="M17" s="22" cm="1">
        <f t="array" ref="M17">EXP(-(Tabella333[Planck h]*Tabella938[Frequenza12])/(Tabella333[Boltzmann k]*2*Tabella837[[#This Row],[Temperatura]]))/(1-EXP(-(Tabella333[Planck h]*Tabella938[Frequenza12])/(Tabella333[Boltzmann k]*Tabella837[[#This Row],[Temperatura]])))</f>
        <v>9.5912610355910182E-3</v>
      </c>
      <c r="N17" s="35">
        <f>ABS(PRODUCT(Tabella837[[#This Row],[Qvib1]:[Qvib12]]))</f>
        <v>6.4269833917149163E-13</v>
      </c>
    </row>
    <row r="18" spans="1:14" x14ac:dyDescent="0.35">
      <c r="A18" s="34">
        <v>600</v>
      </c>
      <c r="B18" s="22" cm="1">
        <f t="array" ref="B18">EXP(-(Tabella333[Planck h]*Tabella938[Frequenza1])/(Tabella333[Boltzmann k]*2*Tabella837[[#This Row],[Temperatura]]))/(1-EXP(-(Tabella333[Planck h]*Tabella938[Frequenza1])/(Tabella333[Boltzmann k]*Tabella837[[#This Row],[Temperatura]])))</f>
        <v>-0.26556103218898819</v>
      </c>
      <c r="C18" s="22" cm="1">
        <f t="array" ref="C18">EXP(-(Tabella333[Planck h]*Tabella938[Frequenza2])/(Tabella333[Boltzmann k]*2*Tabella837[[#This Row],[Temperatura]]))/(1-EXP(-(Tabella333[Planck h]*Tabella938[Frequenza2])/(Tabella333[Boltzmann k]*Tabella837[[#This Row],[Temperatura]])))</f>
        <v>0.70348126614109907</v>
      </c>
      <c r="D18" s="22" cm="1">
        <f t="array" ref="D18">EXP(-(Tabella333[Planck h]*Tabella938[Frequenza3])/(Tabella333[Boltzmann k]*2*Tabella837[[#This Row],[Temperatura]]))/(1-EXP(-(Tabella333[Planck h]*Tabella938[Frequenza3])/(Tabella333[Boltzmann k]*Tabella837[[#This Row],[Temperatura]])))</f>
        <v>0.70267603138260004</v>
      </c>
      <c r="E18" s="22" cm="1">
        <f t="array" ref="E18">EXP(-(Tabella333[Planck h]*Tabella938[Frequenza4])/(Tabella333[Boltzmann k]*2*Tabella837[[#This Row],[Temperatura]]))/(1-EXP(-(Tabella333[Planck h]*Tabella938[Frequenza4])/(Tabella333[Boltzmann k]*Tabella837[[#This Row],[Temperatura]])))</f>
        <v>0.29754982360749099</v>
      </c>
      <c r="F18" s="22" cm="1">
        <f t="array" ref="F18">EXP(-(Tabella333[Planck h]*Tabella938[Frequenza5])/(Tabella333[Boltzmann k]*2*Tabella837[[#This Row],[Temperatura]]))/(1-EXP(-(Tabella333[Planck h]*Tabella938[Frequenza5])/(Tabella333[Boltzmann k]*Tabella837[[#This Row],[Temperatura]])))</f>
        <v>0.26268336188548613</v>
      </c>
      <c r="G18" s="22" cm="1">
        <f t="array" ref="G18">EXP(-(Tabella333[Planck h]*Tabella938[Frequenza6])/(Tabella333[Boltzmann k]*2*Tabella837[[#This Row],[Temperatura]]))/(1-EXP(-(Tabella333[Planck h]*Tabella938[Frequenza6])/(Tabella333[Boltzmann k]*Tabella837[[#This Row],[Temperatura]])))</f>
        <v>0.26267546387749446</v>
      </c>
      <c r="H18" s="22" cm="1">
        <f t="array" ref="H18">EXP(-(Tabella333[Planck h]*Tabella938[Frequenza7])/(Tabella333[Boltzmann k]*2*Tabella837[[#This Row],[Temperatura]]))/(1-EXP(-(Tabella333[Planck h]*Tabella938[Frequenza7])/(Tabella333[Boltzmann k]*Tabella837[[#This Row],[Temperatura]])))</f>
        <v>0.18441904896495176</v>
      </c>
      <c r="I18" s="22" cm="1">
        <f t="array" ref="I18">EXP(-(Tabella333[Planck h]*Tabella938[Frequenza8])/(Tabella333[Boltzmann k]*2*Tabella837[[#This Row],[Temperatura]]))/(1-EXP(-(Tabella333[Planck h]*Tabella938[Frequenza8])/(Tabella333[Boltzmann k]*Tabella837[[#This Row],[Temperatura]])))</f>
        <v>0.18437347548844968</v>
      </c>
      <c r="J18" s="22" cm="1">
        <f t="array" ref="J18">EXP(-(Tabella333[Planck h]*Tabella938[Frequenza9])/(Tabella333[Boltzmann k]*2*Tabella837[[#This Row],[Temperatura]]))/(1-EXP(-(Tabella333[Planck h]*Tabella938[Frequenza9])/(Tabella333[Boltzmann k]*Tabella837[[#This Row],[Temperatura]])))</f>
        <v>0.10723019180765836</v>
      </c>
      <c r="K18" s="27" cm="1">
        <f t="array" ref="K18">EXP(-(Tabella333[Planck h]*Tabella938[Frequenza10])/(Tabella333[Boltzmann k]*2*Tabella837[[#This Row],[Temperatura]]))/(1-EXP(-(Tabella333[Planck h]*Tabella938[Frequenza10])/(Tabella333[Boltzmann k]*Tabella837[[#This Row],[Temperatura]])))</f>
        <v>2.4862442122384837E-2</v>
      </c>
      <c r="L18" s="22" cm="1">
        <f t="array" ref="L18">EXP(-(Tabella333[Planck h]*Tabella938[Frequenza11])/(Tabella333[Boltzmann k]*2*Tabella837[[#This Row],[Temperatura]]))/(1-EXP(-(Tabella333[Planck h]*Tabella938[Frequenza11])/(Tabella333[Boltzmann k]*Tabella837[[#This Row],[Temperatura]])))</f>
        <v>2.0816597450157914E-2</v>
      </c>
      <c r="M18" s="22" cm="1">
        <f t="array" ref="M18">EXP(-(Tabella333[Planck h]*Tabella938[Frequenza12])/(Tabella333[Boltzmann k]*2*Tabella837[[#This Row],[Temperatura]]))/(1-EXP(-(Tabella333[Planck h]*Tabella938[Frequenza12])/(Tabella333[Boltzmann k]*Tabella837[[#This Row],[Temperatura]])))</f>
        <v>2.0815388435879628E-2</v>
      </c>
      <c r="N18" s="35">
        <f>ABS(PRODUCT(Tabella837[[#This Row],[Qvib1]:[Qvib12]]))</f>
        <v>1.0586274408466738E-10</v>
      </c>
    </row>
    <row r="19" spans="1:14" x14ac:dyDescent="0.35">
      <c r="A19" s="34">
        <v>700</v>
      </c>
      <c r="B19" s="22" cm="1">
        <f t="array" ref="B19">EXP(-(Tabella333[Planck h]*Tabella938[Frequenza1])/(Tabella333[Boltzmann k]*2*Tabella837[[#This Row],[Temperatura]]))/(1-EXP(-(Tabella333[Planck h]*Tabella938[Frequenza1])/(Tabella333[Boltzmann k]*Tabella837[[#This Row],[Temperatura]])))</f>
        <v>-0.33468587635039854</v>
      </c>
      <c r="C19" s="22" cm="1">
        <f t="array" ref="C19">EXP(-(Tabella333[Planck h]*Tabella938[Frequenza2])/(Tabella333[Boltzmann k]*2*Tabella837[[#This Row],[Temperatura]]))/(1-EXP(-(Tabella333[Planck h]*Tabella938[Frequenza2])/(Tabella333[Boltzmann k]*Tabella837[[#This Row],[Temperatura]])))</f>
        <v>0.83636550236618279</v>
      </c>
      <c r="D19" s="22" cm="1">
        <f t="array" ref="D19">EXP(-(Tabella333[Planck h]*Tabella938[Frequenza3])/(Tabella333[Boltzmann k]*2*Tabella837[[#This Row],[Temperatura]]))/(1-EXP(-(Tabella333[Planck h]*Tabella938[Frequenza3])/(Tabella333[Boltzmann k]*Tabella837[[#This Row],[Temperatura]])))</f>
        <v>0.83543905763681792</v>
      </c>
      <c r="E19" s="22" cm="1">
        <f t="array" ref="E19">EXP(-(Tabella333[Planck h]*Tabella938[Frequenza4])/(Tabella333[Boltzmann k]*2*Tabella837[[#This Row],[Temperatura]]))/(1-EXP(-(Tabella333[Planck h]*Tabella938[Frequenza4])/(Tabella333[Boltzmann k]*Tabella837[[#This Row],[Temperatura]])))</f>
        <v>0.37135948251602152</v>
      </c>
      <c r="F19" s="22" cm="1">
        <f t="array" ref="F19">EXP(-(Tabella333[Planck h]*Tabella938[Frequenza5])/(Tabella333[Boltzmann k]*2*Tabella837[[#This Row],[Temperatura]]))/(1-EXP(-(Tabella333[Planck h]*Tabella938[Frequenza5])/(Tabella333[Boltzmann k]*Tabella837[[#This Row],[Temperatura]])))</f>
        <v>0.33138167874452351</v>
      </c>
      <c r="G19" s="22" cm="1">
        <f t="array" ref="G19">EXP(-(Tabella333[Planck h]*Tabella938[Frequenza6])/(Tabella333[Boltzmann k]*2*Tabella837[[#This Row],[Temperatura]]))/(1-EXP(-(Tabella333[Planck h]*Tabella938[Frequenza6])/(Tabella333[Boltzmann k]*Tabella837[[#This Row],[Temperatura]])))</f>
        <v>0.33137260871433144</v>
      </c>
      <c r="H19" s="22" cm="1">
        <f t="array" ref="H19">EXP(-(Tabella333[Planck h]*Tabella938[Frequenza7])/(Tabella333[Boltzmann k]*2*Tabella837[[#This Row],[Temperatura]]))/(1-EXP(-(Tabella333[Planck h]*Tabella938[Frequenza7])/(Tabella333[Boltzmann k]*Tabella837[[#This Row],[Temperatura]])))</f>
        <v>0.24093067202094554</v>
      </c>
      <c r="I19" s="22" cm="1">
        <f t="array" ref="I19">EXP(-(Tabella333[Planck h]*Tabella938[Frequenza8])/(Tabella333[Boltzmann k]*2*Tabella837[[#This Row],[Temperatura]]))/(1-EXP(-(Tabella333[Planck h]*Tabella938[Frequenza8])/(Tabella333[Boltzmann k]*Tabella837[[#This Row],[Temperatura]])))</f>
        <v>0.24087752283234851</v>
      </c>
      <c r="J19" s="22" cm="1">
        <f t="array" ref="J19">EXP(-(Tabella333[Planck h]*Tabella938[Frequenza9])/(Tabella333[Boltzmann k]*2*Tabella837[[#This Row],[Temperatura]]))/(1-EXP(-(Tabella333[Planck h]*Tabella938[Frequenza9])/(Tabella333[Boltzmann k]*Tabella837[[#This Row],[Temperatura]])))</f>
        <v>0.14928106976423244</v>
      </c>
      <c r="K19" s="27" cm="1">
        <f t="array" ref="K19">EXP(-(Tabella333[Planck h]*Tabella938[Frequenza10])/(Tabella333[Boltzmann k]*2*Tabella837[[#This Row],[Temperatura]]))/(1-EXP(-(Tabella333[Planck h]*Tabella938[Frequenza10])/(Tabella333[Boltzmann k]*Tabella837[[#This Row],[Temperatura]])))</f>
        <v>4.2198130159750817E-2</v>
      </c>
      <c r="L19" s="22" cm="1">
        <f t="array" ref="L19">EXP(-(Tabella333[Planck h]*Tabella938[Frequenza11])/(Tabella333[Boltzmann k]*2*Tabella837[[#This Row],[Temperatura]]))/(1-EXP(-(Tabella333[Planck h]*Tabella938[Frequenza11])/(Tabella333[Boltzmann k]*Tabella837[[#This Row],[Temperatura]])))</f>
        <v>3.6228020018607789E-2</v>
      </c>
      <c r="M19" s="22" cm="1">
        <f t="array" ref="M19">EXP(-(Tabella333[Planck h]*Tabella938[Frequenza12])/(Tabella333[Boltzmann k]*2*Tabella837[[#This Row],[Temperatura]]))/(1-EXP(-(Tabella333[Planck h]*Tabella938[Frequenza12])/(Tabella333[Boltzmann k]*Tabella837[[#This Row],[Temperatura]])))</f>
        <v>3.6226213334612324E-2</v>
      </c>
      <c r="N19" s="35">
        <f>ABS(PRODUCT(Tabella837[[#This Row],[Qvib1]:[Qvib12]]))</f>
        <v>4.5755335475171877E-9</v>
      </c>
    </row>
    <row r="20" spans="1:14" x14ac:dyDescent="0.35">
      <c r="A20" s="34">
        <v>800</v>
      </c>
      <c r="B20" s="22" cm="1">
        <f t="array" ref="B20">EXP(-(Tabella333[Planck h]*Tabella938[Frequenza1])/(Tabella333[Boltzmann k]*2*Tabella837[[#This Row],[Temperatura]]))/(1-EXP(-(Tabella333[Planck h]*Tabella938[Frequenza1])/(Tabella333[Boltzmann k]*Tabella837[[#This Row],[Temperatura]])))</f>
        <v>-0.40263551158529343</v>
      </c>
      <c r="C20" s="22" cm="1">
        <f t="array" ref="C20">EXP(-(Tabella333[Planck h]*Tabella938[Frequenza2])/(Tabella333[Boltzmann k]*2*Tabella837[[#This Row],[Temperatura]]))/(1-EXP(-(Tabella333[Planck h]*Tabella938[Frequenza2])/(Tabella333[Boltzmann k]*Tabella837[[#This Row],[Temperatura]])))</f>
        <v>0.96770006066992464</v>
      </c>
      <c r="D20" s="22" cm="1">
        <f t="array" ref="D20">EXP(-(Tabella333[Planck h]*Tabella938[Frequenza3])/(Tabella333[Boltzmann k]*2*Tabella837[[#This Row],[Temperatura]]))/(1-EXP(-(Tabella333[Planck h]*Tabella938[Frequenza3])/(Tabella333[Boltzmann k]*Tabella837[[#This Row],[Temperatura]])))</f>
        <v>0.96665162117555015</v>
      </c>
      <c r="E20" s="22" cm="1">
        <f t="array" ref="E20">EXP(-(Tabella333[Planck h]*Tabella938[Frequenza4])/(Tabella333[Boltzmann k]*2*Tabella837[[#This Row],[Temperatura]]))/(1-EXP(-(Tabella333[Planck h]*Tabella938[Frequenza4])/(Tabella333[Boltzmann k]*Tabella837[[#This Row],[Temperatura]])))</f>
        <v>0.44381066165360022</v>
      </c>
      <c r="F20" s="22" cm="1">
        <f t="array" ref="F20">EXP(-(Tabella333[Planck h]*Tabella938[Frequenza5])/(Tabella333[Boltzmann k]*2*Tabella837[[#This Row],[Temperatura]]))/(1-EXP(-(Tabella333[Planck h]*Tabella938[Frequenza5])/(Tabella333[Boltzmann k]*Tabella837[[#This Row],[Temperatura]])))</f>
        <v>0.39892431455839805</v>
      </c>
      <c r="G20" s="22" cm="1">
        <f t="array" ref="G20">EXP(-(Tabella333[Planck h]*Tabella938[Frequenza6])/(Tabella333[Boltzmann k]*2*Tabella837[[#This Row],[Temperatura]]))/(1-EXP(-(Tabella333[Planck h]*Tabella938[Frequenza6])/(Tabella333[Boltzmann k]*Tabella837[[#This Row],[Temperatura]])))</f>
        <v>0.39891412685647526</v>
      </c>
      <c r="H20" s="22" cm="1">
        <f t="array" ref="H20">EXP(-(Tabella333[Planck h]*Tabella938[Frequenza7])/(Tabella333[Boltzmann k]*2*Tabella837[[#This Row],[Temperatura]]))/(1-EXP(-(Tabella333[Planck h]*Tabella938[Frequenza7])/(Tabella333[Boltzmann k]*Tabella837[[#This Row],[Temperatura]])))</f>
        <v>0.29707594983582147</v>
      </c>
      <c r="I20" s="22" cm="1">
        <f t="array" ref="I20">EXP(-(Tabella333[Planck h]*Tabella938[Frequenza8])/(Tabella333[Boltzmann k]*2*Tabella837[[#This Row],[Temperatura]]))/(1-EXP(-(Tabella333[Planck h]*Tabella938[Frequenza8])/(Tabella333[Boltzmann k]*Tabella837[[#This Row],[Temperatura]])))</f>
        <v>0.29701586093177773</v>
      </c>
      <c r="J20" s="22" cm="1">
        <f t="array" ref="J20">EXP(-(Tabella333[Planck h]*Tabella938[Frequenza9])/(Tabella333[Boltzmann k]*2*Tabella837[[#This Row],[Temperatura]]))/(1-EXP(-(Tabella333[Planck h]*Tabella938[Frequenza9])/(Tabella333[Boltzmann k]*Tabella837[[#This Row],[Temperatura]])))</f>
        <v>0.19244814341339755</v>
      </c>
      <c r="K20" s="27" cm="1">
        <f t="array" ref="K20">EXP(-(Tabella333[Planck h]*Tabella938[Frequenza10])/(Tabella333[Boltzmann k]*2*Tabella837[[#This Row],[Temperatura]]))/(1-EXP(-(Tabella333[Planck h]*Tabella938[Frequenza10])/(Tabella333[Boltzmann k]*Tabella837[[#This Row],[Temperatura]])))</f>
        <v>6.2829122996846232E-2</v>
      </c>
      <c r="L20" s="22" cm="1">
        <f t="array" ref="L20">EXP(-(Tabella333[Planck h]*Tabella938[Frequenza11])/(Tabella333[Boltzmann k]*2*Tabella837[[#This Row],[Temperatura]]))/(1-EXP(-(Tabella333[Planck h]*Tabella938[Frequenza11])/(Tabella333[Boltzmann k]*Tabella837[[#This Row],[Temperatura]])))</f>
        <v>5.4950510602829385E-2</v>
      </c>
      <c r="M20" s="22" cm="1">
        <f t="array" ref="M20">EXP(-(Tabella333[Planck h]*Tabella938[Frequenza12])/(Tabella333[Boltzmann k]*2*Tabella837[[#This Row],[Temperatura]]))/(1-EXP(-(Tabella333[Planck h]*Tabella938[Frequenza12])/(Tabella333[Boltzmann k]*Tabella837[[#This Row],[Temperatura]])))</f>
        <v>5.4948104641313902E-2</v>
      </c>
      <c r="N20" s="35">
        <f>ABS(PRODUCT(Tabella837[[#This Row],[Qvib1]:[Qvib12]]))</f>
        <v>8.5691311795797618E-8</v>
      </c>
    </row>
    <row r="21" spans="1:14" x14ac:dyDescent="0.35">
      <c r="A21" s="34">
        <v>900</v>
      </c>
      <c r="B21" s="22" cm="1">
        <f t="array" ref="B21">EXP(-(Tabella333[Planck h]*Tabella938[Frequenza1])/(Tabella333[Boltzmann k]*2*Tabella837[[#This Row],[Temperatura]]))/(1-EXP(-(Tabella333[Planck h]*Tabella938[Frequenza1])/(Tabella333[Boltzmann k]*Tabella837[[#This Row],[Temperatura]])))</f>
        <v>-0.46945496642129086</v>
      </c>
      <c r="C21" s="22" cm="1">
        <f t="array" ref="C21">EXP(-(Tabella333[Planck h]*Tabella938[Frequenza2])/(Tabella333[Boltzmann k]*2*Tabella837[[#This Row],[Temperatura]]))/(1-EXP(-(Tabella333[Planck h]*Tabella938[Frequenza2])/(Tabella333[Boltzmann k]*Tabella837[[#This Row],[Temperatura]])))</f>
        <v>1.0979389184160178</v>
      </c>
      <c r="D21" s="22" cm="1">
        <f t="array" ref="D21">EXP(-(Tabella333[Planck h]*Tabella938[Frequenza3])/(Tabella333[Boltzmann k]*2*Tabella837[[#This Row],[Temperatura]]))/(1-EXP(-(Tabella333[Planck h]*Tabella938[Frequenza3])/(Tabella333[Boltzmann k]*Tabella837[[#This Row],[Temperatura]])))</f>
        <v>1.0967677918047416</v>
      </c>
      <c r="E21" s="22" cm="1">
        <f t="array" ref="E21">EXP(-(Tabella333[Planck h]*Tabella938[Frequenza4])/(Tabella333[Boltzmann k]*2*Tabella837[[#This Row],[Temperatura]]))/(1-EXP(-(Tabella333[Planck h]*Tabella938[Frequenza4])/(Tabella333[Boltzmann k]*Tabella837[[#This Row],[Temperatura]])))</f>
        <v>0.51505222402668704</v>
      </c>
      <c r="F21" s="22" cm="1">
        <f t="array" ref="F21">EXP(-(Tabella333[Planck h]*Tabella938[Frequenza5])/(Tabella333[Boltzmann k]*2*Tabella837[[#This Row],[Temperatura]]))/(1-EXP(-(Tabella333[Planck h]*Tabella938[Frequenza5])/(Tabella333[Boltzmann k]*Tabella837[[#This Row],[Temperatura]])))</f>
        <v>0.46534574181349475</v>
      </c>
      <c r="G21" s="22" cm="1">
        <f t="array" ref="G21">EXP(-(Tabella333[Planck h]*Tabella938[Frequenza6])/(Tabella333[Boltzmann k]*2*Tabella837[[#This Row],[Temperatura]]))/(1-EXP(-(Tabella333[Planck h]*Tabella938[Frequenza6])/(Tabella333[Boltzmann k]*Tabella837[[#This Row],[Temperatura]])))</f>
        <v>0.46533446152549141</v>
      </c>
      <c r="H21" s="22" cm="1">
        <f t="array" ref="H21">EXP(-(Tabella333[Planck h]*Tabella938[Frequenza7])/(Tabella333[Boltzmann k]*2*Tabella837[[#This Row],[Temperatura]]))/(1-EXP(-(Tabella333[Planck h]*Tabella938[Frequenza7])/(Tabella333[Boltzmann k]*Tabella837[[#This Row],[Temperatura]])))</f>
        <v>0.35251138769807433</v>
      </c>
      <c r="I21" s="22" cm="1">
        <f t="array" ref="I21">EXP(-(Tabella333[Planck h]*Tabella938[Frequenza8])/(Tabella333[Boltzmann k]*2*Tabella837[[#This Row],[Temperatura]]))/(1-EXP(-(Tabella333[Planck h]*Tabella938[Frequenza8])/(Tabella333[Boltzmann k]*Tabella837[[#This Row],[Temperatura]])))</f>
        <v>0.35244471995729082</v>
      </c>
      <c r="J21" s="22" cm="1">
        <f t="array" ref="J21">EXP(-(Tabella333[Planck h]*Tabella938[Frequenza9])/(Tabella333[Boltzmann k]*2*Tabella837[[#This Row],[Temperatura]]))/(1-EXP(-(Tabella333[Planck h]*Tabella938[Frequenza9])/(Tabella333[Boltzmann k]*Tabella837[[#This Row],[Temperatura]])))</f>
        <v>0.23584733177537687</v>
      </c>
      <c r="K21" s="27" cm="1">
        <f t="array" ref="K21">EXP(-(Tabella333[Planck h]*Tabella938[Frequenza10])/(Tabella333[Boltzmann k]*2*Tabella837[[#This Row],[Temperatura]]))/(1-EXP(-(Tabella333[Planck h]*Tabella938[Frequenza10])/(Tabella333[Boltzmann k]*Tabella837[[#This Row],[Temperatura]])))</f>
        <v>8.5771704005723509E-2</v>
      </c>
      <c r="L21" s="22" cm="1">
        <f t="array" ref="L21">EXP(-(Tabella333[Planck h]*Tabella938[Frequenza11])/(Tabella333[Boltzmann k]*2*Tabella837[[#This Row],[Temperatura]]))/(1-EXP(-(Tabella333[Planck h]*Tabella938[Frequenza11])/(Tabella333[Boltzmann k]*Tabella837[[#This Row],[Temperatura]])))</f>
        <v>7.6086408576000075E-2</v>
      </c>
      <c r="M21" s="22" cm="1">
        <f t="array" ref="M21">EXP(-(Tabella333[Planck h]*Tabella938[Frequenza12])/(Tabella333[Boltzmann k]*2*Tabella837[[#This Row],[Temperatura]]))/(1-EXP(-(Tabella333[Planck h]*Tabella938[Frequenza12])/(Tabella333[Boltzmann k]*Tabella837[[#This Row],[Temperatura]])))</f>
        <v>7.6083431181077563E-2</v>
      </c>
      <c r="N21" s="35">
        <f>ABS(PRODUCT(Tabella837[[#This Row],[Qvib1]:[Qvib12]]))</f>
        <v>9.1730840715906812E-7</v>
      </c>
    </row>
    <row r="22" spans="1:14" x14ac:dyDescent="0.35">
      <c r="A22" s="34">
        <v>1000</v>
      </c>
      <c r="B22" s="22" cm="1">
        <f t="array" ref="B22">EXP(-(Tabella333[Planck h]*Tabella938[Frequenza1])/(Tabella333[Boltzmann k]*2*Tabella837[[#This Row],[Temperatura]]))/(1-EXP(-(Tabella333[Planck h]*Tabella938[Frequenza1])/(Tabella333[Boltzmann k]*Tabella837[[#This Row],[Temperatura]])))</f>
        <v>-0.53529195588583867</v>
      </c>
      <c r="C22" s="22" cm="1">
        <f t="array" ref="C22">EXP(-(Tabella333[Planck h]*Tabella938[Frequenza2])/(Tabella333[Boltzmann k]*2*Tabella837[[#This Row],[Temperatura]]))/(1-EXP(-(Tabella333[Planck h]*Tabella938[Frequenza2])/(Tabella333[Boltzmann k]*Tabella837[[#This Row],[Temperatura]])))</f>
        <v>1.2273800397114281</v>
      </c>
      <c r="D22" s="22" cm="1">
        <f t="array" ref="D22">EXP(-(Tabella333[Planck h]*Tabella938[Frequenza3])/(Tabella333[Boltzmann k]*2*Tabella837[[#This Row],[Temperatura]]))/(1-EXP(-(Tabella333[Planck h]*Tabella938[Frequenza3])/(Tabella333[Boltzmann k]*Tabella837[[#This Row],[Temperatura]])))</f>
        <v>1.2260856560479527</v>
      </c>
      <c r="E22" s="22" cm="1">
        <f t="array" ref="E22">EXP(-(Tabella333[Planck h]*Tabella938[Frequenza4])/(Tabella333[Boltzmann k]*2*Tabella837[[#This Row],[Temperatura]]))/(1-EXP(-(Tabella333[Planck h]*Tabella938[Frequenza4])/(Tabella333[Boltzmann k]*Tabella837[[#This Row],[Temperatura]])))</f>
        <v>0.5852826613524359</v>
      </c>
      <c r="F22" s="22" cm="1">
        <f t="array" ref="F22">EXP(-(Tabella333[Planck h]*Tabella938[Frequenza5])/(Tabella333[Boltzmann k]*2*Tabella837[[#This Row],[Temperatura]]))/(1-EXP(-(Tabella333[Planck h]*Tabella938[Frequenza5])/(Tabella333[Boltzmann k]*Tabella837[[#This Row],[Temperatura]])))</f>
        <v>0.53078835593694973</v>
      </c>
      <c r="G22" s="22" cm="1">
        <f t="array" ref="G22">EXP(-(Tabella333[Planck h]*Tabella938[Frequenza6])/(Tabella333[Boltzmann k]*2*Tabella837[[#This Row],[Temperatura]]))/(1-EXP(-(Tabella333[Planck h]*Tabella938[Frequenza6])/(Tabella333[Boltzmann k]*Tabella837[[#This Row],[Temperatura]])))</f>
        <v>0.53077599336267467</v>
      </c>
      <c r="H22" s="22" cm="1">
        <f t="array" ref="H22">EXP(-(Tabella333[Planck h]*Tabella938[Frequenza7])/(Tabella333[Boltzmann k]*2*Tabella837[[#This Row],[Temperatura]]))/(1-EXP(-(Tabella333[Planck h]*Tabella938[Frequenza7])/(Tabella333[Boltzmann k]*Tabella837[[#This Row],[Temperatura]])))</f>
        <v>0.40717207882862061</v>
      </c>
      <c r="I22" s="22" cm="1">
        <f t="array" ref="I22">EXP(-(Tabella333[Planck h]*Tabella938[Frequenza8])/(Tabella333[Boltzmann k]*2*Tabella837[[#This Row],[Temperatura]]))/(1-EXP(-(Tabella333[Planck h]*Tabella938[Frequenza8])/(Tabella333[Boltzmann k]*Tabella837[[#This Row],[Temperatura]])))</f>
        <v>0.40709903043671058</v>
      </c>
      <c r="J22" s="22" cm="1">
        <f t="array" ref="J22">EXP(-(Tabella333[Planck h]*Tabella938[Frequenza9])/(Tabella333[Boltzmann k]*2*Tabella837[[#This Row],[Temperatura]]))/(1-EXP(-(Tabella333[Planck h]*Tabella938[Frequenza9])/(Tabella333[Boltzmann k]*Tabella837[[#This Row],[Temperatura]])))</f>
        <v>0.27904967698531902</v>
      </c>
      <c r="K22" s="27" cm="1">
        <f t="array" ref="K22">EXP(-(Tabella333[Planck h]*Tabella938[Frequenza10])/(Tabella333[Boltzmann k]*2*Tabella837[[#This Row],[Temperatura]]))/(1-EXP(-(Tabella333[Planck h]*Tabella938[Frequenza10])/(Tabella333[Boltzmann k]*Tabella837[[#This Row],[Temperatura]])))</f>
        <v>0.11024269478458487</v>
      </c>
      <c r="L22" s="22" cm="1">
        <f t="array" ref="L22">EXP(-(Tabella333[Planck h]*Tabella938[Frequenza11])/(Tabella333[Boltzmann k]*2*Tabella837[[#This Row],[Temperatura]]))/(1-EXP(-(Tabella333[Planck h]*Tabella938[Frequenza11])/(Tabella333[Boltzmann k]*Tabella837[[#This Row],[Temperatura]])))</f>
        <v>9.8882274171254406E-2</v>
      </c>
      <c r="M22" s="22" cm="1">
        <f t="array" ref="M22">EXP(-(Tabella333[Planck h]*Tabella938[Frequenza12])/(Tabella333[Boltzmann k]*2*Tabella837[[#This Row],[Temperatura]]))/(1-EXP(-(Tabella333[Planck h]*Tabella938[Frequenza12])/(Tabella333[Boltzmann k]*Tabella837[[#This Row],[Temperatura]])))</f>
        <v>9.8878764625639978E-2</v>
      </c>
      <c r="N22" s="35">
        <f>ABS(PRODUCT(Tabella837[[#This Row],[Qvib1]:[Qvib12]]))</f>
        <v>6.6224666884018121E-6</v>
      </c>
    </row>
    <row r="23" spans="1:14" x14ac:dyDescent="0.35">
      <c r="A23" s="34">
        <v>1100</v>
      </c>
      <c r="B23" s="22" cm="1">
        <f t="array" ref="B23">EXP(-(Tabella333[Planck h]*Tabella938[Frequenza1])/(Tabella333[Boltzmann k]*2*Tabella837[[#This Row],[Temperatura]]))/(1-EXP(-(Tabella333[Planck h]*Tabella938[Frequenza1])/(Tabella333[Boltzmann k]*Tabella837[[#This Row],[Temperatura]])))</f>
        <v>-0.60030476671872035</v>
      </c>
      <c r="C23" s="22" cm="1">
        <f t="array" ref="C23">EXP(-(Tabella333[Planck h]*Tabella938[Frequenza2])/(Tabella333[Boltzmann k]*2*Tabella837[[#This Row],[Temperatura]]))/(1-EXP(-(Tabella333[Planck h]*Tabella938[Frequenza2])/(Tabella333[Boltzmann k]*Tabella837[[#This Row],[Temperatura]])))</f>
        <v>1.3562247359393655</v>
      </c>
      <c r="D23" s="22" cm="1">
        <f t="array" ref="D23">EXP(-(Tabella333[Planck h]*Tabella938[Frequenza3])/(Tabella333[Boltzmann k]*2*Tabella837[[#This Row],[Temperatura]]))/(1-EXP(-(Tabella333[Planck h]*Tabella938[Frequenza3])/(Tabella333[Boltzmann k]*Tabella837[[#This Row],[Temperatura]])))</f>
        <v>1.3548066348424228</v>
      </c>
      <c r="E23" s="22" cm="1">
        <f t="array" ref="E23">EXP(-(Tabella333[Planck h]*Tabella938[Frequenza4])/(Tabella333[Boltzmann k]*2*Tabella837[[#This Row],[Temperatura]]))/(1-EXP(-(Tabella333[Planck h]*Tabella938[Frequenza4])/(Tabella333[Boltzmann k]*Tabella837[[#This Row],[Temperatura]])))</f>
        <v>0.65468483682629508</v>
      </c>
      <c r="F23" s="22" cm="1">
        <f t="array" ref="F23">EXP(-(Tabella333[Planck h]*Tabella938[Frequenza5])/(Tabella333[Boltzmann k]*2*Tabella837[[#This Row],[Temperatura]]))/(1-EXP(-(Tabella333[Planck h]*Tabella938[Frequenza5])/(Tabella333[Boltzmann k]*Tabella837[[#This Row],[Temperatura]])))</f>
        <v>0.59540778360299917</v>
      </c>
      <c r="G23" s="22" cm="1">
        <f t="array" ref="G23">EXP(-(Tabella333[Planck h]*Tabella938[Frequenza6])/(Tabella333[Boltzmann k]*2*Tabella837[[#This Row],[Temperatura]]))/(1-EXP(-(Tabella333[Planck h]*Tabella938[Frequenza6])/(Tabella333[Boltzmann k]*Tabella837[[#This Row],[Temperatura]])))</f>
        <v>0.59539434162865257</v>
      </c>
      <c r="H23" s="22" cm="1">
        <f t="array" ref="H23">EXP(-(Tabella333[Planck h]*Tabella938[Frequenza7])/(Tabella333[Boltzmann k]*2*Tabella837[[#This Row],[Temperatura]]))/(1-EXP(-(Tabella333[Planck h]*Tabella938[Frequenza7])/(Tabella333[Boltzmann k]*Tabella837[[#This Row],[Temperatura]])))</f>
        <v>0.46110119495731394</v>
      </c>
      <c r="I23" s="22" cm="1">
        <f t="array" ref="I23">EXP(-(Tabella333[Planck h]*Tabella938[Frequenza8])/(Tabella333[Boltzmann k]*2*Tabella837[[#This Row],[Temperatura]]))/(1-EXP(-(Tabella333[Planck h]*Tabella938[Frequenza8])/(Tabella333[Boltzmann k]*Tabella837[[#This Row],[Temperatura]])))</f>
        <v>0.46102187012190327</v>
      </c>
      <c r="J23" s="22" cm="1">
        <f t="array" ref="J23">EXP(-(Tabella333[Planck h]*Tabella938[Frequenza9])/(Tabella333[Boltzmann k]*2*Tabella837[[#This Row],[Temperatura]]))/(1-EXP(-(Tabella333[Planck h]*Tabella938[Frequenza9])/(Tabella333[Boltzmann k]*Tabella837[[#This Row],[Temperatura]])))</f>
        <v>0.32186651952726653</v>
      </c>
      <c r="K23" s="27" cm="1">
        <f t="array" ref="K23">EXP(-(Tabella333[Planck h]*Tabella938[Frequenza10])/(Tabella333[Boltzmann k]*2*Tabella837[[#This Row],[Temperatura]]))/(1-EXP(-(Tabella333[Planck h]*Tabella938[Frequenza10])/(Tabella333[Boltzmann k]*Tabella837[[#This Row],[Temperatura]])))</f>
        <v>0.13566793802379404</v>
      </c>
      <c r="L23" s="22" cm="1">
        <f t="array" ref="L23">EXP(-(Tabella333[Planck h]*Tabella938[Frequenza11])/(Tabella333[Boltzmann k]*2*Tabella837[[#This Row],[Temperatura]]))/(1-EXP(-(Tabella333[Planck h]*Tabella938[Frequenza11])/(Tabella333[Boltzmann k]*Tabella837[[#This Row],[Temperatura]])))</f>
        <v>0.12276324057923411</v>
      </c>
      <c r="M23" s="22" cm="1">
        <f t="array" ref="M23">EXP(-(Tabella333[Planck h]*Tabella938[Frequenza12])/(Tabella333[Boltzmann k]*2*Tabella837[[#This Row],[Temperatura]]))/(1-EXP(-(Tabella333[Planck h]*Tabella938[Frequenza12])/(Tabella333[Boltzmann k]*Tabella837[[#This Row],[Temperatura]])))</f>
        <v>0.12275923939416461</v>
      </c>
      <c r="N23" s="35">
        <f>ABS(PRODUCT(Tabella837[[#This Row],[Qvib1]:[Qvib12]]))</f>
        <v>3.5811754432149158E-5</v>
      </c>
    </row>
    <row r="24" spans="1:14" x14ac:dyDescent="0.35">
      <c r="A24" s="34">
        <v>1200</v>
      </c>
      <c r="B24" s="22" cm="1">
        <f t="array" ref="B24">EXP(-(Tabella333[Planck h]*Tabella938[Frequenza1])/(Tabella333[Boltzmann k]*2*Tabella837[[#This Row],[Temperatura]]))/(1-EXP(-(Tabella333[Planck h]*Tabella938[Frequenza1])/(Tabella333[Boltzmann k]*Tabella837[[#This Row],[Temperatura]])))</f>
        <v>-0.66463418345245739</v>
      </c>
      <c r="C24" s="22" cm="1">
        <f t="array" ref="C24">EXP(-(Tabella333[Planck h]*Tabella938[Frequenza2])/(Tabella333[Boltzmann k]*2*Tabella837[[#This Row],[Temperatura]]))/(1-EXP(-(Tabella333[Planck h]*Tabella938[Frequenza2])/(Tabella333[Boltzmann k]*Tabella837[[#This Row],[Temperatura]])))</f>
        <v>1.4846129901517757</v>
      </c>
      <c r="D24" s="22" cm="1">
        <f t="array" ref="D24">EXP(-(Tabella333[Planck h]*Tabella938[Frequenza3])/(Tabella333[Boltzmann k]*2*Tabella837[[#This Row],[Temperatura]]))/(1-EXP(-(Tabella333[Planck h]*Tabella938[Frequenza3])/(Tabella333[Boltzmann k]*Tabella837[[#This Row],[Temperatura]])))</f>
        <v>1.4830708002582287</v>
      </c>
      <c r="E24" s="22" cm="1">
        <f t="array" ref="E24">EXP(-(Tabella333[Planck h]*Tabella938[Frequenza4])/(Tabella333[Boltzmann k]*2*Tabella837[[#This Row],[Temperatura]]))/(1-EXP(-(Tabella333[Planck h]*Tabella938[Frequenza4])/(Tabella333[Boltzmann k]*Tabella837[[#This Row],[Temperatura]])))</f>
        <v>0.72341109214786015</v>
      </c>
      <c r="F24" s="22" cm="1">
        <f t="array" ref="F24">EXP(-(Tabella333[Planck h]*Tabella938[Frequenza5])/(Tabella333[Boltzmann k]*2*Tabella837[[#This Row],[Temperatura]]))/(1-EXP(-(Tabella333[Planck h]*Tabella938[Frequenza5])/(Tabella333[Boltzmann k]*Tabella837[[#This Row],[Temperatura]])))</f>
        <v>0.65934350275685349</v>
      </c>
      <c r="G24" s="22" cm="1">
        <f t="array" ref="G24">EXP(-(Tabella333[Planck h]*Tabella938[Frequenza6])/(Tabella333[Boltzmann k]*2*Tabella837[[#This Row],[Temperatura]]))/(1-EXP(-(Tabella333[Planck h]*Tabella938[Frequenza6])/(Tabella333[Boltzmann k]*Tabella837[[#This Row],[Temperatura]])))</f>
        <v>0.65932898061468026</v>
      </c>
      <c r="H24" s="22" cm="1">
        <f t="array" ref="H24">EXP(-(Tabella333[Planck h]*Tabella938[Frequenza7])/(Tabella333[Boltzmann k]*2*Tabella837[[#This Row],[Temperatura]]))/(1-EXP(-(Tabella333[Planck h]*Tabella938[Frequenza7])/(Tabella333[Boltzmann k]*Tabella837[[#This Row],[Temperatura]])))</f>
        <v>0.51437756057887396</v>
      </c>
      <c r="I24" s="22" cm="1">
        <f t="array" ref="I24">EXP(-(Tabella333[Planck h]*Tabella938[Frequenza8])/(Tabella333[Boltzmann k]*2*Tabella837[[#This Row],[Temperatura]]))/(1-EXP(-(Tabella333[Planck h]*Tabella938[Frequenza8])/(Tabella333[Boltzmann k]*Tabella837[[#This Row],[Temperatura]])))</f>
        <v>0.5142920096068172</v>
      </c>
      <c r="J24" s="22" cm="1">
        <f t="array" ref="J24">EXP(-(Tabella333[Planck h]*Tabella938[Frequenza9])/(Tabella333[Boltzmann k]*2*Tabella837[[#This Row],[Temperatura]]))/(1-EXP(-(Tabella333[Planck h]*Tabella938[Frequenza9])/(Tabella333[Boltzmann k]*Tabella837[[#This Row],[Temperatura]])))</f>
        <v>0.36423211354071966</v>
      </c>
      <c r="K24" s="27" cm="1">
        <f t="array" ref="K24">EXP(-(Tabella333[Planck h]*Tabella938[Frequenza10])/(Tabella333[Boltzmann k]*2*Tabella837[[#This Row],[Temperatura]]))/(1-EXP(-(Tabella333[Planck h]*Tabella938[Frequenza10])/(Tabella333[Boltzmann k]*Tabella837[[#This Row],[Temperatura]])))</f>
        <v>0.16164603983302192</v>
      </c>
      <c r="L24" s="22" cm="1">
        <f t="array" ref="L24">EXP(-(Tabella333[Planck h]*Tabella938[Frequenza11])/(Tabella333[Boltzmann k]*2*Tabella837[[#This Row],[Temperatura]]))/(1-EXP(-(Tabella333[Planck h]*Tabella938[Frequenza11])/(Tabella333[Boltzmann k]*Tabella837[[#This Row],[Temperatura]])))</f>
        <v>0.14731358403334141</v>
      </c>
      <c r="M24" s="22" cm="1">
        <f t="array" ref="M24">EXP(-(Tabella333[Planck h]*Tabella938[Frequenza12])/(Tabella333[Boltzmann k]*2*Tabella837[[#This Row],[Temperatura]]))/(1-EXP(-(Tabella333[Planck h]*Tabella938[Frequenza12])/(Tabella333[Boltzmann k]*Tabella837[[#This Row],[Temperatura]])))</f>
        <v>0.14730912808842112</v>
      </c>
      <c r="N24" s="35">
        <f>ABS(PRODUCT(Tabella837[[#This Row],[Qvib1]:[Qvib12]]))</f>
        <v>1.5554799731494471E-4</v>
      </c>
    </row>
    <row r="25" spans="1:14" x14ac:dyDescent="0.35">
      <c r="A25" s="34">
        <v>1300</v>
      </c>
      <c r="B25" s="22" cm="1">
        <f t="array" ref="B25">EXP(-(Tabella333[Planck h]*Tabella938[Frequenza1])/(Tabella333[Boltzmann k]*2*Tabella837[[#This Row],[Temperatura]]))/(1-EXP(-(Tabella333[Planck h]*Tabella938[Frequenza1])/(Tabella333[Boltzmann k]*Tabella837[[#This Row],[Temperatura]])))</f>
        <v>-0.72839768489377044</v>
      </c>
      <c r="C25" s="22" cm="1">
        <f t="array" ref="C25">EXP(-(Tabella333[Planck h]*Tabella938[Frequenza2])/(Tabella333[Boltzmann k]*2*Tabella837[[#This Row],[Temperatura]]))/(1-EXP(-(Tabella333[Planck h]*Tabella938[Frequenza2])/(Tabella333[Boltzmann k]*Tabella837[[#This Row],[Temperatura]])))</f>
        <v>1.6126447518629408</v>
      </c>
      <c r="D25" s="22" cm="1">
        <f t="array" ref="D25">EXP(-(Tabella333[Planck h]*Tabella938[Frequenza3])/(Tabella333[Boltzmann k]*2*Tabella837[[#This Row],[Temperatura]]))/(1-EXP(-(Tabella333[Planck h]*Tabella938[Frequenza3])/(Tabella333[Boltzmann k]*Tabella837[[#This Row],[Temperatura]])))</f>
        <v>1.610978171980189</v>
      </c>
      <c r="E25" s="22" cm="1">
        <f t="array" ref="E25">EXP(-(Tabella333[Planck h]*Tabella938[Frequenza4])/(Tabella333[Boltzmann k]*2*Tabella837[[#This Row],[Temperatura]]))/(1-EXP(-(Tabella333[Planck h]*Tabella938[Frequenza4])/(Tabella333[Boltzmann k]*Tabella837[[#This Row],[Temperatura]])))</f>
        <v>0.79158393339262056</v>
      </c>
      <c r="F25" s="22" cm="1">
        <f t="array" ref="F25">EXP(-(Tabella333[Planck h]*Tabella938[Frequenza5])/(Tabella333[Boltzmann k]*2*Tabella837[[#This Row],[Temperatura]]))/(1-EXP(-(Tabella333[Planck h]*Tabella938[Frequenza5])/(Tabella333[Boltzmann k]*Tabella837[[#This Row],[Temperatura]])))</f>
        <v>0.72271238069602717</v>
      </c>
      <c r="G25" s="22" cm="1">
        <f t="array" ref="G25">EXP(-(Tabella333[Planck h]*Tabella938[Frequenza6])/(Tabella333[Boltzmann k]*2*Tabella837[[#This Row],[Temperatura]]))/(1-EXP(-(Tabella333[Planck h]*Tabella938[Frequenza6])/(Tabella333[Boltzmann k]*Tabella837[[#This Row],[Temperatura]])))</f>
        <v>0.72269677589894865</v>
      </c>
      <c r="H25" s="22" cm="1">
        <f t="array" ref="H25">EXP(-(Tabella333[Planck h]*Tabella938[Frequenza7])/(Tabella333[Boltzmann k]*2*Tabella837[[#This Row],[Temperatura]]))/(1-EXP(-(Tabella333[Planck h]*Tabella938[Frequenza7])/(Tabella333[Boltzmann k]*Tabella837[[#This Row],[Temperatura]])))</f>
        <v>0.56708573981337018</v>
      </c>
      <c r="I25" s="22" cm="1">
        <f t="array" ref="I25">EXP(-(Tabella333[Planck h]*Tabella938[Frequenza8])/(Tabella333[Boltzmann k]*2*Tabella837[[#This Row],[Temperatura]]))/(1-EXP(-(Tabella333[Planck h]*Tabella938[Frequenza8])/(Tabella333[Boltzmann k]*Tabella837[[#This Row],[Temperatura]])))</f>
        <v>0.56699398223103581</v>
      </c>
      <c r="J25" s="22" cm="1">
        <f t="array" ref="J25">EXP(-(Tabella333[Planck h]*Tabella938[Frequenza9])/(Tabella333[Boltzmann k]*2*Tabella837[[#This Row],[Temperatura]]))/(1-EXP(-(Tabella333[Planck h]*Tabella938[Frequenza9])/(Tabella333[Boltzmann k]*Tabella837[[#This Row],[Temperatura]])))</f>
        <v>0.40614153444556234</v>
      </c>
      <c r="K25" s="27" cm="1">
        <f t="array" ref="K25">EXP(-(Tabella333[Planck h]*Tabella938[Frequenza10])/(Tabella333[Boltzmann k]*2*Tabella837[[#This Row],[Temperatura]]))/(1-EXP(-(Tabella333[Planck h]*Tabella938[Frequenza10])/(Tabella333[Boltzmann k]*Tabella837[[#This Row],[Temperatura]])))</f>
        <v>0.18790501866864617</v>
      </c>
      <c r="L25" s="22" cm="1">
        <f t="array" ref="L25">EXP(-(Tabella333[Planck h]*Tabella938[Frequenza11])/(Tabella333[Boltzmann k]*2*Tabella837[[#This Row],[Temperatura]]))/(1-EXP(-(Tabella333[Planck h]*Tabella938[Frequenza11])/(Tabella333[Boltzmann k]*Tabella837[[#This Row],[Temperatura]])))</f>
        <v>0.17224268278831303</v>
      </c>
      <c r="M25" s="22" cm="1">
        <f t="array" ref="M25">EXP(-(Tabella333[Planck h]*Tabella938[Frequenza12])/(Tabella333[Boltzmann k]*2*Tabella837[[#This Row],[Temperatura]]))/(1-EXP(-(Tabella333[Planck h]*Tabella938[Frequenza12])/(Tabella333[Boltzmann k]*Tabella837[[#This Row],[Temperatura]])))</f>
        <v>0.17223780355974666</v>
      </c>
      <c r="N25" s="35">
        <f>ABS(PRODUCT(Tabella837[[#This Row],[Qvib1]:[Qvib12]]))</f>
        <v>5.6954458065727439E-4</v>
      </c>
    </row>
    <row r="26" spans="1:14" x14ac:dyDescent="0.35">
      <c r="A26" s="34">
        <v>1400</v>
      </c>
      <c r="B26" s="22" cm="1">
        <f t="array" ref="B26">EXP(-(Tabella333[Planck h]*Tabella938[Frequenza1])/(Tabella333[Boltzmann k]*2*Tabella837[[#This Row],[Temperatura]]))/(1-EXP(-(Tabella333[Planck h]*Tabella938[Frequenza1])/(Tabella333[Boltzmann k]*Tabella837[[#This Row],[Temperatura]])))</f>
        <v>-0.79169093655614187</v>
      </c>
      <c r="C26" s="22" cm="1">
        <f t="array" ref="C26">EXP(-(Tabella333[Planck h]*Tabella938[Frequenza2])/(Tabella333[Boltzmann k]*2*Tabella837[[#This Row],[Temperatura]]))/(1-EXP(-(Tabella333[Planck h]*Tabella938[Frequenza2])/(Tabella333[Boltzmann k]*Tabella837[[#This Row],[Temperatura]])))</f>
        <v>1.7403930992032683</v>
      </c>
      <c r="D26" s="22" cm="1">
        <f t="array" ref="D26">EXP(-(Tabella333[Planck h]*Tabella938[Frequenza3])/(Tabella333[Boltzmann k]*2*Tabella837[[#This Row],[Temperatura]]))/(1-EXP(-(Tabella333[Planck h]*Tabella938[Frequenza3])/(Tabella333[Boltzmann k]*Tabella837[[#This Row],[Temperatura]])))</f>
        <v>1.7386018830562915</v>
      </c>
      <c r="E26" s="22" cm="1">
        <f t="array" ref="E26">EXP(-(Tabella333[Planck h]*Tabella938[Frequenza4])/(Tabella333[Boltzmann k]*2*Tabella837[[#This Row],[Temperatura]]))/(1-EXP(-(Tabella333[Planck h]*Tabella938[Frequenza4])/(Tabella333[Boltzmann k]*Tabella837[[#This Row],[Temperatura]])))</f>
        <v>0.85930076944076184</v>
      </c>
      <c r="F26" s="22" cm="1">
        <f t="array" ref="F26">EXP(-(Tabella333[Planck h]*Tabella938[Frequenza5])/(Tabella333[Boltzmann k]*2*Tabella837[[#This Row],[Temperatura]]))/(1-EXP(-(Tabella333[Planck h]*Tabella938[Frequenza5])/(Tabella333[Boltzmann k]*Tabella837[[#This Row],[Temperatura]])))</f>
        <v>0.78560983052798572</v>
      </c>
      <c r="G26" s="22" cm="1">
        <f t="array" ref="G26">EXP(-(Tabella333[Planck h]*Tabella938[Frequenza6])/(Tabella333[Boltzmann k]*2*Tabella837[[#This Row],[Temperatura]]))/(1-EXP(-(Tabella333[Planck h]*Tabella938[Frequenza6])/(Tabella333[Boltzmann k]*Tabella837[[#This Row],[Temperatura]])))</f>
        <v>0.78559313987130375</v>
      </c>
      <c r="H26" s="22" cm="1">
        <f t="array" ref="H26">EXP(-(Tabella333[Planck h]*Tabella938[Frequenza7])/(Tabella333[Boltzmann k]*2*Tabella837[[#This Row],[Temperatura]]))/(1-EXP(-(Tabella333[Planck h]*Tabella938[Frequenza7])/(Tabella333[Boltzmann k]*Tabella837[[#This Row],[Temperatura]])))</f>
        <v>0.61930447211243678</v>
      </c>
      <c r="I26" s="22" cm="1">
        <f t="array" ref="I26">EXP(-(Tabella333[Planck h]*Tabella938[Frequenza8])/(Tabella333[Boltzmann k]*2*Tabella837[[#This Row],[Temperatura]]))/(1-EXP(-(Tabella333[Planck h]*Tabella938[Frequenza8])/(Tabella333[Boltzmann k]*Tabella837[[#This Row],[Temperatura]])))</f>
        <v>0.61920651003361571</v>
      </c>
      <c r="J26" s="22" cm="1">
        <f t="array" ref="J26">EXP(-(Tabella333[Planck h]*Tabella938[Frequenza9])/(Tabella333[Boltzmann k]*2*Tabella837[[#This Row],[Temperatura]]))/(1-EXP(-(Tabella333[Planck h]*Tabella938[Frequenza9])/(Tabella333[Boltzmann k]*Tabella837[[#This Row],[Temperatura]])))</f>
        <v>0.44761830367027894</v>
      </c>
      <c r="K26" s="27" cm="1">
        <f t="array" ref="K26">EXP(-(Tabella333[Planck h]*Tabella938[Frequenza10])/(Tabella333[Boltzmann k]*2*Tabella837[[#This Row],[Temperatura]]))/(1-EXP(-(Tabella333[Planck h]*Tabella938[Frequenza10])/(Tabella333[Boltzmann k]*Tabella837[[#This Row],[Temperatura]])))</f>
        <v>0.21426504800826335</v>
      </c>
      <c r="L26" s="22" cm="1">
        <f t="array" ref="L26">EXP(-(Tabella333[Planck h]*Tabella938[Frequenza11])/(Tabella333[Boltzmann k]*2*Tabella837[[#This Row],[Temperatura]]))/(1-EXP(-(Tabella333[Planck h]*Tabella938[Frequenza11])/(Tabella333[Boltzmann k]*Tabella837[[#This Row],[Temperatura]])))</f>
        <v>0.19735230107842686</v>
      </c>
      <c r="M26" s="22" cm="1">
        <f t="array" ref="M26">EXP(-(Tabella333[Planck h]*Tabella938[Frequenza12])/(Tabella333[Boltzmann k]*2*Tabella837[[#This Row],[Temperatura]]))/(1-EXP(-(Tabella333[Planck h]*Tabella938[Frequenza12])/(Tabella333[Boltzmann k]*Tabella837[[#This Row],[Temperatura]])))</f>
        <v>0.19734702444565982</v>
      </c>
      <c r="N26" s="35">
        <f>ABS(PRODUCT(Tabella837[[#This Row],[Qvib1]:[Qvib12]]))</f>
        <v>1.819804104034524E-3</v>
      </c>
    </row>
    <row r="27" spans="1:14" x14ac:dyDescent="0.35">
      <c r="A27" s="34">
        <v>1500</v>
      </c>
      <c r="B27" s="22" cm="1">
        <f t="array" ref="B27">EXP(-(Tabella333[Planck h]*Tabella938[Frequenza1])/(Tabella333[Boltzmann k]*2*Tabella837[[#This Row],[Temperatura]]))/(1-EXP(-(Tabella333[Planck h]*Tabella938[Frequenza1])/(Tabella333[Boltzmann k]*Tabella837[[#This Row],[Temperatura]])))</f>
        <v>-0.85459121935391646</v>
      </c>
      <c r="C27" s="22" cm="1">
        <f t="array" ref="C27">EXP(-(Tabella333[Planck h]*Tabella938[Frequenza2])/(Tabella333[Boltzmann k]*2*Tabella837[[#This Row],[Temperatura]]))/(1-EXP(-(Tabella333[Planck h]*Tabella938[Frequenza2])/(Tabella333[Boltzmann k]*Tabella837[[#This Row],[Temperatura]])))</f>
        <v>1.8679126012918901</v>
      </c>
      <c r="D27" s="22" cm="1">
        <f t="array" ref="D27">EXP(-(Tabella333[Planck h]*Tabella938[Frequenza3])/(Tabella333[Boltzmann k]*2*Tabella837[[#This Row],[Temperatura]]))/(1-EXP(-(Tabella333[Planck h]*Tabella938[Frequenza3])/(Tabella333[Boltzmann k]*Tabella837[[#This Row],[Temperatura]])))</f>
        <v>1.8659965456875627</v>
      </c>
      <c r="E27" s="22" cm="1">
        <f t="array" ref="E27">EXP(-(Tabella333[Planck h]*Tabella938[Frequenza4])/(Tabella333[Boltzmann k]*2*Tabella837[[#This Row],[Temperatura]]))/(1-EXP(-(Tabella333[Planck h]*Tabella938[Frequenza4])/(Tabella333[Boltzmann k]*Tabella837[[#This Row],[Temperatura]])))</f>
        <v>0.9266389927471268</v>
      </c>
      <c r="F27" s="22" cm="1">
        <f t="array" ref="F27">EXP(-(Tabella333[Planck h]*Tabella938[Frequenza5])/(Tabella333[Boltzmann k]*2*Tabella837[[#This Row],[Temperatura]]))/(1-EXP(-(Tabella333[Planck h]*Tabella938[Frequenza5])/(Tabella333[Boltzmann k]*Tabella837[[#This Row],[Temperatura]])))</f>
        <v>0.84811306559379462</v>
      </c>
      <c r="G27" s="22" cm="1">
        <f t="array" ref="G27">EXP(-(Tabella333[Planck h]*Tabella938[Frequenza6])/(Tabella333[Boltzmann k]*2*Tabella837[[#This Row],[Temperatura]]))/(1-EXP(-(Tabella333[Planck h]*Tabella938[Frequenza6])/(Tabella333[Boltzmann k]*Tabella837[[#This Row],[Temperatura]])))</f>
        <v>0.84809528567219661</v>
      </c>
      <c r="H27" s="22" cm="1">
        <f t="array" ref="H27">EXP(-(Tabella333[Planck h]*Tabella938[Frequenza7])/(Tabella333[Boltzmann k]*2*Tabella837[[#This Row],[Temperatura]]))/(1-EXP(-(Tabella333[Planck h]*Tabella938[Frequenza7])/(Tabella333[Boltzmann k]*Tabella837[[#This Row],[Temperatura]])))</f>
        <v>0.67110296534992364</v>
      </c>
      <c r="I27" s="22" cm="1">
        <f t="array" ref="I27">EXP(-(Tabella333[Planck h]*Tabella938[Frequenza8])/(Tabella333[Boltzmann k]*2*Tabella837[[#This Row],[Temperatura]]))/(1-EXP(-(Tabella333[Planck h]*Tabella938[Frequenza8])/(Tabella333[Boltzmann k]*Tabella837[[#This Row],[Temperatura]])))</f>
        <v>0.67099879125332418</v>
      </c>
      <c r="J27" s="22" cm="1">
        <f t="array" ref="J27">EXP(-(Tabella333[Planck h]*Tabella938[Frequenza9])/(Tabella333[Boltzmann k]*2*Tabella837[[#This Row],[Temperatura]]))/(1-EXP(-(Tabella333[Planck h]*Tabella938[Frequenza9])/(Tabella333[Boltzmann k]*Tabella837[[#This Row],[Temperatura]])))</f>
        <v>0.48869769543513875</v>
      </c>
      <c r="K27" s="27" cm="1">
        <f t="array" ref="K27">EXP(-(Tabella333[Planck h]*Tabella938[Frequenza10])/(Tabella333[Boltzmann k]*2*Tabella837[[#This Row],[Temperatura]]))/(1-EXP(-(Tabella333[Planck h]*Tabella938[Frequenza10])/(Tabella333[Boltzmann k]*Tabella837[[#This Row],[Temperatura]])))</f>
        <v>0.2406100740030028</v>
      </c>
      <c r="L27" s="22" cm="1">
        <f t="array" ref="L27">EXP(-(Tabella333[Planck h]*Tabella938[Frequenza11])/(Tabella333[Boltzmann k]*2*Tabella837[[#This Row],[Temperatura]]))/(1-EXP(-(Tabella333[Planck h]*Tabella938[Frequenza11])/(Tabella333[Boltzmann k]*Tabella837[[#This Row],[Temperatura]])))</f>
        <v>0.22251009269820146</v>
      </c>
      <c r="M27" s="22" cm="1">
        <f t="array" ref="M27">EXP(-(Tabella333[Planck h]*Tabella938[Frequenza12])/(Tabella333[Boltzmann k]*2*Tabella837[[#This Row],[Temperatura]]))/(1-EXP(-(Tabella333[Planck h]*Tabella938[Frequenza12])/(Tabella333[Boltzmann k]*Tabella837[[#This Row],[Temperatura]])))</f>
        <v>0.22250443945416845</v>
      </c>
      <c r="N27" s="35">
        <f>ABS(PRODUCT(Tabella837[[#This Row],[Qvib1]:[Qvib12]]))</f>
        <v>5.2046098140973336E-3</v>
      </c>
    </row>
    <row r="28" spans="1:14" x14ac:dyDescent="0.35">
      <c r="A28" s="34">
        <v>1600</v>
      </c>
      <c r="B28" s="22" cm="1">
        <f t="array" ref="B28">EXP(-(Tabella333[Planck h]*Tabella938[Frequenza1])/(Tabella333[Boltzmann k]*2*Tabella837[[#This Row],[Temperatura]]))/(1-EXP(-(Tabella333[Planck h]*Tabella938[Frequenza1])/(Tabella333[Boltzmann k]*Tabella837[[#This Row],[Temperatura]])))</f>
        <v>-0.91716094463657027</v>
      </c>
      <c r="C28" s="22" cm="1">
        <f t="array" ref="C28">EXP(-(Tabella333[Planck h]*Tabella938[Frequenza2])/(Tabella333[Boltzmann k]*2*Tabella837[[#This Row],[Temperatura]]))/(1-EXP(-(Tabella333[Planck h]*Tabella938[Frequenza2])/(Tabella333[Boltzmann k]*Tabella837[[#This Row],[Temperatura]])))</f>
        <v>1.9952447754938245</v>
      </c>
      <c r="D28" s="22" cm="1">
        <f t="array" ref="D28">EXP(-(Tabella333[Planck h]*Tabella938[Frequenza3])/(Tabella333[Boltzmann k]*2*Tabella837[[#This Row],[Temperatura]]))/(1-EXP(-(Tabella333[Planck h]*Tabella938[Frequenza3])/(Tabella333[Boltzmann k]*Tabella837[[#This Row],[Temperatura]])))</f>
        <v>1.993203711257602</v>
      </c>
      <c r="E28" s="22" cm="1">
        <f t="array" ref="E28">EXP(-(Tabella333[Planck h]*Tabella938[Frequenza4])/(Tabella333[Boltzmann k]*2*Tabella837[[#This Row],[Temperatura]]))/(1-EXP(-(Tabella333[Planck h]*Tabella938[Frequenza4])/(Tabella333[Boltzmann k]*Tabella837[[#This Row],[Temperatura]])))</f>
        <v>0.9936603468270595</v>
      </c>
      <c r="F28" s="22" cm="1">
        <f t="array" ref="F28">EXP(-(Tabella333[Planck h]*Tabella938[Frequenza5])/(Tabella333[Boltzmann k]*2*Tabella837[[#This Row],[Temperatura]]))/(1-EXP(-(Tabella333[Planck h]*Tabella938[Frequenza5])/(Tabella333[Boltzmann k]*Tabella837[[#This Row],[Temperatura]])))</f>
        <v>0.9102845227643972</v>
      </c>
      <c r="G28" s="22" cm="1">
        <f t="array" ref="G28">EXP(-(Tabella333[Planck h]*Tabella938[Frequenza6])/(Tabella333[Boltzmann k]*2*Tabella837[[#This Row],[Temperatura]]))/(1-EXP(-(Tabella333[Planck h]*Tabella938[Frequenza6])/(Tabella333[Boltzmann k]*Tabella837[[#This Row],[Temperatura]])))</f>
        <v>0.91026565023338601</v>
      </c>
      <c r="H28" s="22" cm="1">
        <f t="array" ref="H28">EXP(-(Tabella333[Planck h]*Tabella938[Frequenza7])/(Tabella333[Boltzmann k]*2*Tabella837[[#This Row],[Temperatura]]))/(1-EXP(-(Tabella333[Planck h]*Tabella938[Frequenza7])/(Tabella333[Boltzmann k]*Tabella837[[#This Row],[Temperatura]])))</f>
        <v>0.72254046035990294</v>
      </c>
      <c r="I28" s="22" cm="1">
        <f t="array" ref="I28">EXP(-(Tabella333[Planck h]*Tabella938[Frequenza8])/(Tabella333[Boltzmann k]*2*Tabella837[[#This Row],[Temperatura]]))/(1-EXP(-(Tabella333[Planck h]*Tabella938[Frequenza8])/(Tabella333[Boltzmann k]*Tabella837[[#This Row],[Temperatura]])))</f>
        <v>0.72243006163981771</v>
      </c>
      <c r="J28" s="22" cm="1">
        <f t="array" ref="J28">EXP(-(Tabella333[Planck h]*Tabella938[Frequenza9])/(Tabella333[Boltzmann k]*2*Tabella837[[#This Row],[Temperatura]]))/(1-EXP(-(Tabella333[Planck h]*Tabella938[Frequenza9])/(Tabella333[Boltzmann k]*Tabella837[[#This Row],[Temperatura]])))</f>
        <v>0.52941828087175014</v>
      </c>
      <c r="K28" s="27" cm="1">
        <f t="array" ref="K28">EXP(-(Tabella333[Planck h]*Tabella938[Frequenza10])/(Tabella333[Boltzmann k]*2*Tabella837[[#This Row],[Temperatura]]))/(1-EXP(-(Tabella333[Planck h]*Tabella938[Frequenza10])/(Tabella333[Boltzmann k]*Tabella837[[#This Row],[Temperatura]])))</f>
        <v>0.26686740782643403</v>
      </c>
      <c r="L28" s="22" cm="1">
        <f t="array" ref="L28">EXP(-(Tabella333[Planck h]*Tabella938[Frequenza11])/(Tabella333[Boltzmann k]*2*Tabella837[[#This Row],[Temperatura]]))/(1-EXP(-(Tabella333[Planck h]*Tabella938[Frequenza11])/(Tabella333[Boltzmann k]*Tabella837[[#This Row],[Temperatura]])))</f>
        <v>0.24762973239732833</v>
      </c>
      <c r="M28" s="22" cm="1">
        <f t="array" ref="M28">EXP(-(Tabella333[Planck h]*Tabella938[Frequenza12])/(Tabella333[Boltzmann k]*2*Tabella837[[#This Row],[Temperatura]]))/(1-EXP(-(Tabella333[Planck h]*Tabella938[Frequenza12])/(Tabella333[Boltzmann k]*Tabella837[[#This Row],[Temperatura]])))</f>
        <v>0.24762371900072513</v>
      </c>
      <c r="N28" s="35">
        <f>ABS(PRODUCT(Tabella837[[#This Row],[Qvib1]:[Qvib12]]))</f>
        <v>1.3580763191121665E-2</v>
      </c>
    </row>
    <row r="29" spans="1:14" x14ac:dyDescent="0.35">
      <c r="A29" s="34">
        <v>1700</v>
      </c>
      <c r="B29" s="22" cm="1">
        <f t="array" ref="B29">EXP(-(Tabella333[Planck h]*Tabella938[Frequenza1])/(Tabella333[Boltzmann k]*2*Tabella837[[#This Row],[Temperatura]]))/(1-EXP(-(Tabella333[Planck h]*Tabella938[Frequenza1])/(Tabella333[Boltzmann k]*Tabella837[[#This Row],[Temperatura]])))</f>
        <v>-0.97945069419888275</v>
      </c>
      <c r="C29" s="22" cm="1">
        <f t="array" ref="C29">EXP(-(Tabella333[Planck h]*Tabella938[Frequenza2])/(Tabella333[Boltzmann k]*2*Tabella837[[#This Row],[Temperatura]]))/(1-EXP(-(Tabella333[Planck h]*Tabella938[Frequenza2])/(Tabella333[Boltzmann k]*Tabella837[[#This Row],[Temperatura]])))</f>
        <v>2.1224217390014521</v>
      </c>
      <c r="D29" s="22" cm="1">
        <f t="array" ref="D29">EXP(-(Tabella333[Planck h]*Tabella938[Frequenza3])/(Tabella333[Boltzmann k]*2*Tabella837[[#This Row],[Temperatura]]))/(1-EXP(-(Tabella333[Planck h]*Tabella938[Frequenza3])/(Tabella333[Boltzmann k]*Tabella837[[#This Row],[Temperatura]])))</f>
        <v>2.1202555240446017</v>
      </c>
      <c r="E29" s="22" cm="1">
        <f t="array" ref="E29">EXP(-(Tabella333[Planck h]*Tabella938[Frequenza4])/(Tabella333[Boltzmann k]*2*Tabella837[[#This Row],[Temperatura]]))/(1-EXP(-(Tabella333[Planck h]*Tabella938[Frequenza4])/(Tabella333[Boltzmann k]*Tabella837[[#This Row],[Temperatura]])))</f>
        <v>1.0604144090601018</v>
      </c>
      <c r="F29" s="22" cm="1">
        <f t="array" ref="F29">EXP(-(Tabella333[Planck h]*Tabella938[Frequenza5])/(Tabella333[Boltzmann k]*2*Tabella837[[#This Row],[Temperatura]]))/(1-EXP(-(Tabella333[Planck h]*Tabella938[Frequenza5])/(Tabella333[Boltzmann k]*Tabella837[[#This Row],[Temperatura]])))</f>
        <v>0.97217485367831646</v>
      </c>
      <c r="G29" s="22" cm="1">
        <f t="array" ref="G29">EXP(-(Tabella333[Planck h]*Tabella938[Frequenza6])/(Tabella333[Boltzmann k]*2*Tabella837[[#This Row],[Temperatura]]))/(1-EXP(-(Tabella333[Planck h]*Tabella938[Frequenza6])/(Tabella333[Boltzmann k]*Tabella837[[#This Row],[Temperatura]])))</f>
        <v>0.97215488537950656</v>
      </c>
      <c r="H29" s="22" cm="1">
        <f t="array" ref="H29">EXP(-(Tabella333[Planck h]*Tabella938[Frequenza7])/(Tabella333[Boltzmann k]*2*Tabella837[[#This Row],[Temperatura]]))/(1-EXP(-(Tabella333[Planck h]*Tabella938[Frequenza7])/(Tabella333[Boltzmann k]*Tabella837[[#This Row],[Temperatura]])))</f>
        <v>0.77366705601672126</v>
      </c>
      <c r="I29" s="22" cm="1">
        <f t="array" ref="I29">EXP(-(Tabella333[Planck h]*Tabella938[Frequenza8])/(Tabella333[Boltzmann k]*2*Tabella837[[#This Row],[Temperatura]]))/(1-EXP(-(Tabella333[Planck h]*Tabella938[Frequenza8])/(Tabella333[Boltzmann k]*Tabella837[[#This Row],[Temperatura]])))</f>
        <v>0.77355041765147714</v>
      </c>
      <c r="J29" s="22" cm="1">
        <f t="array" ref="J29">EXP(-(Tabella333[Planck h]*Tabella938[Frequenza9])/(Tabella333[Boltzmann k]*2*Tabella837[[#This Row],[Temperatura]]))/(1-EXP(-(Tabella333[Planck h]*Tabella938[Frequenza9])/(Tabella333[Boltzmann k]*Tabella837[[#This Row],[Temperatura]])))</f>
        <v>0.5698177950823311</v>
      </c>
      <c r="K29" s="27" cm="1">
        <f t="array" ref="K29">EXP(-(Tabella333[Planck h]*Tabella938[Frequenza10])/(Tabella333[Boltzmann k]*2*Tabella837[[#This Row],[Temperatura]]))/(1-EXP(-(Tabella333[Planck h]*Tabella938[Frequenza10])/(Tabella333[Boltzmann k]*Tabella837[[#This Row],[Temperatura]])))</f>
        <v>0.29299349449174039</v>
      </c>
      <c r="L29" s="22" cm="1">
        <f t="array" ref="L29">EXP(-(Tabella333[Planck h]*Tabella938[Frequenza11])/(Tabella333[Boltzmann k]*2*Tabella837[[#This Row],[Temperatura]]))/(1-EXP(-(Tabella333[Planck h]*Tabella938[Frequenza11])/(Tabella333[Boltzmann k]*Tabella837[[#This Row],[Temperatura]])))</f>
        <v>0.2726566049306432</v>
      </c>
      <c r="M29" s="22" cm="1">
        <f t="array" ref="M29">EXP(-(Tabella333[Planck h]*Tabella938[Frequenza12])/(Tabella333[Boltzmann k]*2*Tabella837[[#This Row],[Temperatura]]))/(1-EXP(-(Tabella333[Planck h]*Tabella938[Frequenza12])/(Tabella333[Boltzmann k]*Tabella837[[#This Row],[Temperatura]])))</f>
        <v>0.2726502442773539</v>
      </c>
      <c r="N29" s="35">
        <f>ABS(PRODUCT(Tabella837[[#This Row],[Qvib1]:[Qvib12]]))</f>
        <v>3.2810780558465272E-2</v>
      </c>
    </row>
    <row r="30" spans="1:14" x14ac:dyDescent="0.35">
      <c r="A30" s="34">
        <v>1800</v>
      </c>
      <c r="B30" s="22" cm="1">
        <f t="array" ref="B30">EXP(-(Tabella333[Planck h]*Tabella938[Frequenza1])/(Tabella333[Boltzmann k]*2*Tabella837[[#This Row],[Temperatura]]))/(1-EXP(-(Tabella333[Planck h]*Tabella938[Frequenza1])/(Tabella333[Boltzmann k]*Tabella837[[#This Row],[Temperatura]])))</f>
        <v>-1.0415016867706588</v>
      </c>
      <c r="C30" s="22" cm="1">
        <f t="array" ref="C30">EXP(-(Tabella333[Planck h]*Tabella938[Frequenza2])/(Tabella333[Boltzmann k]*2*Tabella837[[#This Row],[Temperatura]]))/(1-EXP(-(Tabella333[Planck h]*Tabella938[Frequenza2])/(Tabella333[Boltzmann k]*Tabella837[[#This Row],[Temperatura]])))</f>
        <v>2.2494687088559346</v>
      </c>
      <c r="D30" s="22" cm="1">
        <f t="array" ref="D30">EXP(-(Tabella333[Planck h]*Tabella938[Frequenza3])/(Tabella333[Boltzmann k]*2*Tabella837[[#This Row],[Temperatura]]))/(1-EXP(-(Tabella333[Planck h]*Tabella938[Frequenza3])/(Tabella333[Boltzmann k]*Tabella837[[#This Row],[Temperatura]])))</f>
        <v>2.2471772228485629</v>
      </c>
      <c r="E30" s="22" cm="1">
        <f t="array" ref="E30">EXP(-(Tabella333[Planck h]*Tabella938[Frequenza4])/(Tabella333[Boltzmann k]*2*Tabella837[[#This Row],[Temperatura]]))/(1-EXP(-(Tabella333[Planck h]*Tabella938[Frequenza4])/(Tabella333[Boltzmann k]*Tabella837[[#This Row],[Temperatura]])))</f>
        <v>1.1269412862095101</v>
      </c>
      <c r="F30" s="22" cm="1">
        <f t="array" ref="F30">EXP(-(Tabella333[Planck h]*Tabella938[Frequenza5])/(Tabella333[Boltzmann k]*2*Tabella837[[#This Row],[Temperatura]]))/(1-EXP(-(Tabella333[Planck h]*Tabella938[Frequenza5])/(Tabella333[Boltzmann k]*Tabella837[[#This Row],[Temperatura]])))</f>
        <v>1.0338253652445559</v>
      </c>
      <c r="G30" s="22" cm="1">
        <f t="array" ref="G30">EXP(-(Tabella333[Planck h]*Tabella938[Frequenza6])/(Tabella333[Boltzmann k]*2*Tabella837[[#This Row],[Temperatura]]))/(1-EXP(-(Tabella333[Planck h]*Tabella938[Frequenza6])/(Tabella333[Boltzmann k]*Tabella837[[#This Row],[Temperatura]])))</f>
        <v>1.0338042982582671</v>
      </c>
      <c r="H30" s="22" cm="1">
        <f t="array" ref="H30">EXP(-(Tabella333[Planck h]*Tabella938[Frequenza7])/(Tabella333[Boltzmann k]*2*Tabella837[[#This Row],[Temperatura]]))/(1-EXP(-(Tabella333[Planck h]*Tabella938[Frequenza7])/(Tabella333[Boltzmann k]*Tabella837[[#This Row],[Temperatura]])))</f>
        <v>0.82452492141448308</v>
      </c>
      <c r="I30" s="22" cm="1">
        <f t="array" ref="I30">EXP(-(Tabella333[Planck h]*Tabella938[Frequenza8])/(Tabella333[Boltzmann k]*2*Tabella837[[#This Row],[Temperatura]]))/(1-EXP(-(Tabella333[Planck h]*Tabella938[Frequenza8])/(Tabella333[Boltzmann k]*Tabella837[[#This Row],[Temperatura]])))</f>
        <v>0.82440202752494862</v>
      </c>
      <c r="J30" s="22" cm="1">
        <f t="array" ref="J30">EXP(-(Tabella333[Planck h]*Tabella938[Frequenza9])/(Tabella333[Boltzmann k]*2*Tabella837[[#This Row],[Temperatura]]))/(1-EXP(-(Tabella333[Planck h]*Tabella938[Frequenza9])/(Tabella333[Boltzmann k]*Tabella837[[#This Row],[Temperatura]])))</f>
        <v>0.60993126606033155</v>
      </c>
      <c r="K30" s="27" cm="1">
        <f t="array" ref="K30">EXP(-(Tabella333[Planck h]*Tabella938[Frequenza10])/(Tabella333[Boltzmann k]*2*Tabella837[[#This Row],[Temperatura]]))/(1-EXP(-(Tabella333[Planck h]*Tabella938[Frequenza10])/(Tabella333[Boltzmann k]*Tabella837[[#This Row],[Temperatura]])))</f>
        <v>0.31896415511823906</v>
      </c>
      <c r="L30" s="22" cm="1">
        <f t="array" ref="L30">EXP(-(Tabella333[Planck h]*Tabella938[Frequenza11])/(Tabella333[Boltzmann k]*2*Tabella837[[#This Row],[Temperatura]]))/(1-EXP(-(Tabella333[Planck h]*Tabella938[Frequenza11])/(Tabella333[Boltzmann k]*Tabella837[[#This Row],[Temperatura]])))</f>
        <v>0.29755772542657755</v>
      </c>
      <c r="M30" s="22" cm="1">
        <f t="array" ref="M30">EXP(-(Tabella333[Planck h]*Tabella938[Frequenza12])/(Tabella333[Boltzmann k]*2*Tabella837[[#This Row],[Temperatura]]))/(1-EXP(-(Tabella333[Planck h]*Tabella938[Frequenza12])/(Tabella333[Boltzmann k]*Tabella837[[#This Row],[Temperatura]])))</f>
        <v>0.29755102754531904</v>
      </c>
      <c r="N30" s="35">
        <f>ABS(PRODUCT(Tabella837[[#This Row],[Qvib1]:[Qvib12]]))</f>
        <v>7.4244171363708505E-2</v>
      </c>
    </row>
    <row r="31" spans="1:14" x14ac:dyDescent="0.35">
      <c r="A31" s="34">
        <v>1900</v>
      </c>
      <c r="B31" s="22" cm="1">
        <f t="array" ref="B31">EXP(-(Tabella333[Planck h]*Tabella938[Frequenza1])/(Tabella333[Boltzmann k]*2*Tabella837[[#This Row],[Temperatura]]))/(1-EXP(-(Tabella333[Planck h]*Tabella938[Frequenza1])/(Tabella333[Boltzmann k]*Tabella837[[#This Row],[Temperatura]])))</f>
        <v>-1.1033477253890276</v>
      </c>
      <c r="C31" s="22" cm="1">
        <f t="array" ref="C31">EXP(-(Tabella333[Planck h]*Tabella938[Frequenza2])/(Tabella333[Boltzmann k]*2*Tabella837[[#This Row],[Temperatura]]))/(1-EXP(-(Tabella333[Planck h]*Tabella938[Frequenza2])/(Tabella333[Boltzmann k]*Tabella837[[#This Row],[Temperatura]])))</f>
        <v>2.3764057496560906</v>
      </c>
      <c r="D31" s="22" cm="1">
        <f t="array" ref="D31">EXP(-(Tabella333[Planck h]*Tabella938[Frequenza3])/(Tabella333[Boltzmann k]*2*Tabella837[[#This Row],[Temperatura]]))/(1-EXP(-(Tabella333[Planck h]*Tabella938[Frequenza3])/(Tabella333[Boltzmann k]*Tabella837[[#This Row],[Temperatura]])))</f>
        <v>2.3739888899047719</v>
      </c>
      <c r="E31" s="22" cm="1">
        <f t="array" ref="E31">EXP(-(Tabella333[Planck h]*Tabella938[Frequenza4])/(Tabella333[Boltzmann k]*2*Tabella837[[#This Row],[Temperatura]]))/(1-EXP(-(Tabella333[Planck h]*Tabella938[Frequenza4])/(Tabella333[Boltzmann k]*Tabella837[[#This Row],[Temperatura]])))</f>
        <v>1.1932736777130089</v>
      </c>
      <c r="F31" s="22" cm="1">
        <f t="array" ref="F31">EXP(-(Tabella333[Planck h]*Tabella938[Frequenza5])/(Tabella333[Boltzmann k]*2*Tabella837[[#This Row],[Temperatura]]))/(1-EXP(-(Tabella333[Planck h]*Tabella938[Frequenza5])/(Tabella333[Boltzmann k]*Tabella837[[#This Row],[Temperatura]])))</f>
        <v>1.095269953299256</v>
      </c>
      <c r="G31" s="22" cm="1">
        <f t="array" ref="G31">EXP(-(Tabella333[Planck h]*Tabella938[Frequenza6])/(Tabella333[Boltzmann k]*2*Tabella837[[#This Row],[Temperatura]]))/(1-EXP(-(Tabella333[Planck h]*Tabella938[Frequenza6])/(Tabella333[Boltzmann k]*Tabella837[[#This Row],[Temperatura]])))</f>
        <v>1.0952477849586162</v>
      </c>
      <c r="H31" s="22" cm="1">
        <f t="array" ref="H31">EXP(-(Tabella333[Planck h]*Tabella938[Frequenza7])/(Tabella333[Boltzmann k]*2*Tabella837[[#This Row],[Temperatura]]))/(1-EXP(-(Tabella333[Planck h]*Tabella938[Frequenza7])/(Tabella333[Boltzmann k]*Tabella837[[#This Row],[Temperatura]])))</f>
        <v>0.8751495289573632</v>
      </c>
      <c r="I31" s="22" cm="1">
        <f t="array" ref="I31">EXP(-(Tabella333[Planck h]*Tabella938[Frequenza8])/(Tabella333[Boltzmann k]*2*Tabella837[[#This Row],[Temperatura]]))/(1-EXP(-(Tabella333[Planck h]*Tabella938[Frequenza8])/(Tabella333[Boltzmann k]*Tabella837[[#This Row],[Temperatura]])))</f>
        <v>0.87502036370467384</v>
      </c>
      <c r="J31" s="22" cm="1">
        <f t="array" ref="J31">EXP(-(Tabella333[Planck h]*Tabella938[Frequenza9])/(Tabella333[Boltzmann k]*2*Tabella837[[#This Row],[Temperatura]]))/(1-EXP(-(Tabella333[Planck h]*Tabella938[Frequenza9])/(Tabella333[Boltzmann k]*Tabella837[[#This Row],[Temperatura]])))</f>
        <v>0.64979031512428775</v>
      </c>
      <c r="K31" s="27" cm="1">
        <f t="array" ref="K31">EXP(-(Tabella333[Planck h]*Tabella938[Frequenza10])/(Tabella333[Boltzmann k]*2*Tabella837[[#This Row],[Temperatura]]))/(1-EXP(-(Tabella333[Planck h]*Tabella938[Frequenza10])/(Tabella333[Boltzmann k]*Tabella837[[#This Row],[Temperatura]])))</f>
        <v>0.34476795986965403</v>
      </c>
      <c r="L31" s="22" cm="1">
        <f t="array" ref="L31">EXP(-(Tabella333[Planck h]*Tabella938[Frequenza11])/(Tabella333[Boltzmann k]*2*Tabella837[[#This Row],[Temperatura]]))/(1-EXP(-(Tabella333[Planck h]*Tabella938[Frequenza11])/(Tabella333[Boltzmann k]*Tabella837[[#This Row],[Temperatura]])))</f>
        <v>0.32231473023199037</v>
      </c>
      <c r="M31" s="22" cm="1">
        <f t="array" ref="M31">EXP(-(Tabella333[Planck h]*Tabella938[Frequenza12])/(Tabella333[Boltzmann k]*2*Tabella837[[#This Row],[Temperatura]]))/(1-EXP(-(Tabella333[Planck h]*Tabella938[Frequenza12])/(Tabella333[Boltzmann k]*Tabella837[[#This Row],[Temperatura]])))</f>
        <v>0.322307702873535</v>
      </c>
      <c r="N31" s="35">
        <f>ABS(PRODUCT(Tabella837[[#This Row],[Qvib1]:[Qvib12]]))</f>
        <v>0.15879495257825502</v>
      </c>
    </row>
    <row r="32" spans="1:14" ht="15" thickBot="1" x14ac:dyDescent="0.4">
      <c r="A32" s="36">
        <v>2000</v>
      </c>
      <c r="B32" s="37" cm="1">
        <f t="array" ref="B32">EXP(-(Tabella333[Planck h]*Tabella938[Frequenza1])/(Tabella333[Boltzmann k]*2*Tabella837[[#This Row],[Temperatura]]))/(1-EXP(-(Tabella333[Planck h]*Tabella938[Frequenza1])/(Tabella333[Boltzmann k]*Tabella837[[#This Row],[Temperatura]])))</f>
        <v>-1.1650167180181408</v>
      </c>
      <c r="C32" s="37" cm="1">
        <f t="array" ref="C32">EXP(-(Tabella333[Planck h]*Tabella938[Frequenza2])/(Tabella333[Boltzmann k]*2*Tabella837[[#This Row],[Temperatura]]))/(1-EXP(-(Tabella333[Planck h]*Tabella938[Frequenza2])/(Tabella333[Boltzmann k]*Tabella837[[#This Row],[Temperatura]])))</f>
        <v>2.503249018724254</v>
      </c>
      <c r="D32" s="37" cm="1">
        <f t="array" ref="D32">EXP(-(Tabella333[Planck h]*Tabella938[Frequenza3])/(Tabella333[Boltzmann k]*2*Tabella837[[#This Row],[Temperatura]]))/(1-EXP(-(Tabella333[Planck h]*Tabella938[Frequenza3])/(Tabella333[Boltzmann k]*Tabella837[[#This Row],[Temperatura]])))</f>
        <v>2.5007066969553415</v>
      </c>
      <c r="E32" s="37" cm="1">
        <f t="array" ref="E32">EXP(-(Tabella333[Planck h]*Tabella938[Frequenza4])/(Tabella333[Boltzmann k]*2*Tabella837[[#This Row],[Temperatura]]))/(1-EXP(-(Tabella333[Planck h]*Tabella938[Frequenza4])/(Tabella333[Boltzmann k]*Tabella837[[#This Row],[Temperatura]])))</f>
        <v>1.2594384518919119</v>
      </c>
      <c r="F32" s="37" cm="1">
        <f t="array" ref="F32">EXP(-(Tabella333[Planck h]*Tabella938[Frequenza5])/(Tabella333[Boltzmann k]*2*Tabella837[[#This Row],[Temperatura]]))/(1-EXP(-(Tabella333[Planck h]*Tabella938[Frequenza5])/(Tabella333[Boltzmann k]*Tabella837[[#This Row],[Temperatura]])))</f>
        <v>1.156536616190774</v>
      </c>
      <c r="G32" s="37" cm="1">
        <f t="array" ref="G32">EXP(-(Tabella333[Planck h]*Tabella938[Frequenza6])/(Tabella333[Boltzmann k]*2*Tabella837[[#This Row],[Temperatura]]))/(1-EXP(-(Tabella333[Planck h]*Tabella938[Frequenza6])/(Tabella333[Boltzmann k]*Tabella837[[#This Row],[Temperatura]])))</f>
        <v>1.1565133440759854</v>
      </c>
      <c r="H32" s="37" cm="1">
        <f t="array" ref="H32">EXP(-(Tabella333[Planck h]*Tabella938[Frequenza7])/(Tabella333[Boltzmann k]*2*Tabella837[[#This Row],[Temperatura]]))/(1-EXP(-(Tabella333[Planck h]*Tabella938[Frequenza7])/(Tabella333[Boltzmann k]*Tabella837[[#This Row],[Temperatura]])))</f>
        <v>0.92557076854563824</v>
      </c>
      <c r="I32" s="37" cm="1">
        <f t="array" ref="I32">EXP(-(Tabella333[Planck h]*Tabella938[Frequenza8])/(Tabella333[Boltzmann k]*2*Tabella837[[#This Row],[Temperatura]]))/(1-EXP(-(Tabella333[Planck h]*Tabella938[Frequenza8])/(Tabella333[Boltzmann k]*Tabella837[[#This Row],[Temperatura]])))</f>
        <v>0.92543531663282841</v>
      </c>
      <c r="J32" s="37" cm="1">
        <f t="array" ref="J32">EXP(-(Tabella333[Planck h]*Tabella938[Frequenza9])/(Tabella333[Boltzmann k]*2*Tabella837[[#This Row],[Temperatura]]))/(1-EXP(-(Tabella333[Planck h]*Tabella938[Frequenza9])/(Tabella333[Boltzmann k]*Tabella837[[#This Row],[Temperatura]])))</f>
        <v>0.68942304969343093</v>
      </c>
      <c r="K32" s="38" cm="1">
        <f t="array" ref="K32">EXP(-(Tabella333[Planck h]*Tabella938[Frequenza10])/(Tabella333[Boltzmann k]*2*Tabella837[[#This Row],[Temperatura]]))/(1-EXP(-(Tabella333[Planck h]*Tabella938[Frequenza10])/(Tabella333[Boltzmann k]*Tabella837[[#This Row],[Temperatura]])))</f>
        <v>0.37040175226124256</v>
      </c>
      <c r="L32" s="37" cm="1">
        <f t="array" ref="L32">EXP(-(Tabella333[Planck h]*Tabella938[Frequenza11])/(Tabella333[Boltzmann k]*2*Tabella837[[#This Row],[Temperatura]]))/(1-EXP(-(Tabella333[Planck h]*Tabella938[Frequenza11])/(Tabella333[Boltzmann k]*Tabella837[[#This Row],[Temperatura]])))</f>
        <v>0.34691903905601529</v>
      </c>
      <c r="M32" s="37" cm="1">
        <f t="array" ref="M32">EXP(-(Tabella333[Planck h]*Tabella938[Frequenza12])/(Tabella333[Boltzmann k]*2*Tabella837[[#This Row],[Temperatura]]))/(1-EXP(-(Tabella333[Planck h]*Tabella938[Frequenza12])/(Tabella333[Boltzmann k]*Tabella837[[#This Row],[Temperatura]])))</f>
        <v>0.34691168817529294</v>
      </c>
      <c r="N32" s="39">
        <f>ABS(PRODUCT(Tabella837[[#This Row],[Qvib1]:[Qvib12]]))</f>
        <v>0.32340561165172416</v>
      </c>
    </row>
    <row r="34" spans="1:9" ht="15" thickBot="1" x14ac:dyDescent="0.4"/>
    <row r="35" spans="1:9" ht="15" thickBot="1" x14ac:dyDescent="0.4">
      <c r="A35" s="28" t="s">
        <v>38</v>
      </c>
      <c r="B35" s="29" t="s">
        <v>55</v>
      </c>
      <c r="C35" s="29" t="s">
        <v>56</v>
      </c>
      <c r="D35" s="29" t="s">
        <v>57</v>
      </c>
      <c r="E35" s="29" t="s">
        <v>58</v>
      </c>
      <c r="F35" s="30" t="s">
        <v>59</v>
      </c>
      <c r="I35" s="42" t="s">
        <v>60</v>
      </c>
    </row>
    <row r="36" spans="1:9" x14ac:dyDescent="0.35">
      <c r="A36" s="21">
        <v>298.14999999999998</v>
      </c>
      <c r="B36" s="22" cm="1">
        <f t="array" ref="B36">(Tabella333[Boltzmann k]*A36)/101325</f>
        <v>4.0625758633111278E-26</v>
      </c>
      <c r="C36" s="22" cm="1">
        <f t="array" ref="C36">POWER((2*PI()*Tabella333[Massa '[kg']]*Tabella333[Boltzmann k]*A36)/(POWER(Tabella333[Planck h],2)),1.5)*B36</f>
        <v>2775910.0810733759</v>
      </c>
      <c r="D36" s="23">
        <f>N15</f>
        <v>1.4230946128009984E-21</v>
      </c>
      <c r="E36" s="22" cm="1">
        <f t="array" ref="E36">((SQRT(PI())/Tabella636[Simmetria]))*(SQRT(POWER(A36,3)/PRODUCT($F$7,$G$7,$H$7)))</f>
        <v>1224.8868548241576</v>
      </c>
      <c r="F36" s="9">
        <v>2</v>
      </c>
      <c r="I36" s="40">
        <f>F36*E36*D36*C36</f>
        <v>9.6775436374025866E-12</v>
      </c>
    </row>
    <row r="37" spans="1:9" x14ac:dyDescent="0.35">
      <c r="A37" s="21">
        <v>400</v>
      </c>
      <c r="B37" s="22" cm="1">
        <f t="array" ref="B37">(Tabella333[Boltzmann k]*A37)/101325</f>
        <v>5.4503784850727862E-26</v>
      </c>
      <c r="C37" s="22" cm="1">
        <f t="array" ref="C37">POWER((2*PI()*Tabella333[Massa '[kg']]*Tabella333[Boltzmann k]*A37)/(POWER(Tabella333[Planck h],2)),1.5)*B37</f>
        <v>5787197.9583180854</v>
      </c>
      <c r="D37" s="23">
        <f t="shared" ref="D37:D53" si="0">N16</f>
        <v>3.7274158703074464E-16</v>
      </c>
      <c r="E37" s="22" cm="1">
        <f t="array" ref="E37">((SQRT(PI())/Tabella636[Simmetria]))*(SQRT(POWER(A37,3)/PRODUCT($F$7,$G$7,$H$7)))</f>
        <v>1903.4161084933917</v>
      </c>
      <c r="F37" s="9">
        <v>2</v>
      </c>
      <c r="I37" s="40">
        <f t="shared" ref="I37:I53" si="1">F37*E37*D37*C37</f>
        <v>8.2118295112869874E-6</v>
      </c>
    </row>
    <row r="38" spans="1:9" x14ac:dyDescent="0.35">
      <c r="A38" s="21">
        <v>500</v>
      </c>
      <c r="B38" s="22" cm="1">
        <f t="array" ref="B38">(Tabella333[Boltzmann k]*A38)/101325</f>
        <v>6.8129731063409828E-26</v>
      </c>
      <c r="C38" s="22" cm="1">
        <f t="array" ref="C38">POWER((2*PI()*Tabella333[Massa '[kg']]*Tabella333[Boltzmann k]*A38)/(POWER(Tabella333[Planck h],2)),1.5)*B38</f>
        <v>10109818.776599459</v>
      </c>
      <c r="D38" s="23">
        <f t="shared" si="0"/>
        <v>6.4269833917149163E-13</v>
      </c>
      <c r="E38" s="22" cm="1">
        <f t="array" ref="E38">((SQRT(PI())/Tabella636[Simmetria]))*(SQRT(POWER(A38,3)/PRODUCT($F$7,$G$7,$H$7)))</f>
        <v>2660.1048800370868</v>
      </c>
      <c r="F38" s="9">
        <v>2</v>
      </c>
      <c r="I38" s="40">
        <f t="shared" si="1"/>
        <v>3.4568402010532073E-2</v>
      </c>
    </row>
    <row r="39" spans="1:9" x14ac:dyDescent="0.35">
      <c r="A39" s="21">
        <v>600</v>
      </c>
      <c r="B39" s="22" cm="1">
        <f t="array" ref="B39">(Tabella333[Boltzmann k]*A39)/101325</f>
        <v>8.1755677276091782E-26</v>
      </c>
      <c r="C39" s="22" cm="1">
        <f t="array" ref="C39">POWER((2*PI()*Tabella333[Massa '[kg']]*Tabella333[Boltzmann k]*A39)/(POWER(Tabella333[Planck h],2)),1.5)*B39</f>
        <v>15947642.293150285</v>
      </c>
      <c r="D39" s="23">
        <f t="shared" si="0"/>
        <v>1.0586274408466738E-10</v>
      </c>
      <c r="E39" s="22" cm="1">
        <f t="array" ref="E39">((SQRT(PI())/Tabella636[Simmetria]))*(SQRT(POWER(A39,3)/PRODUCT($F$7,$G$7,$H$7)))</f>
        <v>3496.7986755021275</v>
      </c>
      <c r="F39" s="9">
        <v>2</v>
      </c>
      <c r="I39" s="40">
        <f t="shared" si="1"/>
        <v>11.807018880119504</v>
      </c>
    </row>
    <row r="40" spans="1:9" x14ac:dyDescent="0.35">
      <c r="A40" s="21">
        <v>700</v>
      </c>
      <c r="B40" s="22" cm="1">
        <f t="array" ref="B40">(Tabella333[Boltzmann k]*A40)/101325</f>
        <v>9.5381623488773759E-26</v>
      </c>
      <c r="C40" s="22" cm="1">
        <f t="array" ref="C40">POWER((2*PI()*Tabella333[Massa '[kg']]*Tabella333[Boltzmann k]*A40)/(POWER(Tabella333[Planck h],2)),1.5)*B40</f>
        <v>23445713.834215771</v>
      </c>
      <c r="D40" s="23">
        <f t="shared" si="0"/>
        <v>4.5755335475171877E-9</v>
      </c>
      <c r="E40" s="22" cm="1">
        <f t="array" ref="E40">((SQRT(PI())/Tabella636[Simmetria]))*(SQRT(POWER(A40,3)/PRODUCT($F$7,$G$7,$H$7)))</f>
        <v>4406.4699564793709</v>
      </c>
      <c r="F40" s="9">
        <v>2</v>
      </c>
      <c r="I40" s="40">
        <f t="shared" si="1"/>
        <v>945.42267222270539</v>
      </c>
    </row>
    <row r="41" spans="1:9" x14ac:dyDescent="0.35">
      <c r="A41" s="21">
        <v>800</v>
      </c>
      <c r="B41" s="22" cm="1">
        <f t="array" ref="B41">(Tabella333[Boltzmann k]*A41)/101325</f>
        <v>1.0900756970145572E-25</v>
      </c>
      <c r="C41" s="22" cm="1">
        <f t="array" ref="C41">POWER((2*PI()*Tabella333[Massa '[kg']]*Tabella333[Boltzmann k]*A41)/(POWER(Tabella333[Planck h],2)),1.5)*B41</f>
        <v>32737335.363165379</v>
      </c>
      <c r="D41" s="23">
        <f t="shared" si="0"/>
        <v>8.5691311795797618E-8</v>
      </c>
      <c r="E41" s="22" cm="1">
        <f t="array" ref="E41">((SQRT(PI())/Tabella636[Simmetria]))*(SQRT(POWER(A41,3)/PRODUCT($F$7,$G$7,$H$7)))</f>
        <v>5383.6737509415461</v>
      </c>
      <c r="F41" s="9">
        <v>2</v>
      </c>
      <c r="I41" s="40">
        <f t="shared" si="1"/>
        <v>30205.696066109678</v>
      </c>
    </row>
    <row r="42" spans="1:9" x14ac:dyDescent="0.35">
      <c r="A42" s="21">
        <v>900</v>
      </c>
      <c r="B42" s="22" cm="1">
        <f t="array" ref="B42">(Tabella333[Boltzmann k]*A42)/101325</f>
        <v>1.2263351591413768E-25</v>
      </c>
      <c r="C42" s="22" cm="1">
        <f t="array" ref="C42">POWER((2*PI()*Tabella333[Massa '[kg']]*Tabella333[Boltzmann k]*A42)/(POWER(Tabella333[Planck h],2)),1.5)*B42</f>
        <v>43946534.495978028</v>
      </c>
      <c r="D42" s="23">
        <f t="shared" si="0"/>
        <v>9.1730840715906812E-7</v>
      </c>
      <c r="E42" s="22" cm="1">
        <f t="array" ref="E42">((SQRT(PI())/Tabella636[Simmetria]))*(SQRT(POWER(A42,3)/PRODUCT($F$7,$G$7,$H$7)))</f>
        <v>6424.0293661651967</v>
      </c>
      <c r="F42" s="9">
        <v>2</v>
      </c>
      <c r="I42" s="40">
        <f t="shared" si="1"/>
        <v>517937.69602631917</v>
      </c>
    </row>
    <row r="43" spans="1:9" x14ac:dyDescent="0.35">
      <c r="A43" s="21">
        <v>1000</v>
      </c>
      <c r="B43" s="22" cm="1">
        <f t="array" ref="B43">(Tabella333[Boltzmann k]*A43)/101325</f>
        <v>1.3625946212681966E-25</v>
      </c>
      <c r="C43" s="22" cm="1">
        <f t="array" ref="C43">POWER((2*PI()*Tabella333[Massa '[kg']]*Tabella333[Boltzmann k]*A43)/(POWER(Tabella333[Planck h],2)),1.5)*B43</f>
        <v>57189771.30800467</v>
      </c>
      <c r="D43" s="23">
        <f t="shared" si="0"/>
        <v>6.6224666884018121E-6</v>
      </c>
      <c r="E43" s="22" cm="1">
        <f t="array" ref="E43">((SQRT(PI())/Tabella636[Simmetria]))*(SQRT(POWER(A43,3)/PRODUCT($F$7,$G$7,$H$7)))</f>
        <v>7523.9127973666054</v>
      </c>
      <c r="F43" s="9">
        <v>2</v>
      </c>
      <c r="I43" s="40">
        <f t="shared" si="1"/>
        <v>5699173.6703385869</v>
      </c>
    </row>
    <row r="44" spans="1:9" x14ac:dyDescent="0.35">
      <c r="A44" s="21">
        <v>1100</v>
      </c>
      <c r="B44" s="22" cm="1">
        <f t="array" ref="B44">(Tabella333[Boltzmann k]*A44)/101325</f>
        <v>1.4988540833950161E-25</v>
      </c>
      <c r="C44" s="22" cm="1">
        <f t="array" ref="C44">POWER((2*PI()*Tabella333[Massa '[kg']]*Tabella333[Boltzmann k]*A44)/(POWER(Tabella333[Planck h],2)),1.5)*B44</f>
        <v>72577177.188921377</v>
      </c>
      <c r="D44" s="23">
        <f t="shared" si="0"/>
        <v>3.5811754432149158E-5</v>
      </c>
      <c r="E44" s="22" cm="1">
        <f t="array" ref="E44">((SQRT(PI())/Tabella636[Simmetria]))*(SQRT(POWER(A44,3)/PRODUCT($F$7,$G$7,$H$7)))</f>
        <v>8680.2609462126075</v>
      </c>
      <c r="F44" s="9">
        <v>2</v>
      </c>
      <c r="I44" s="40">
        <f t="shared" si="1"/>
        <v>45122011.032609589</v>
      </c>
    </row>
    <row r="45" spans="1:9" x14ac:dyDescent="0.35">
      <c r="A45" s="21">
        <v>1200</v>
      </c>
      <c r="B45" s="22" cm="1">
        <f t="array" ref="B45">(Tabella333[Boltzmann k]*A45)/101325</f>
        <v>1.6351135455218356E-25</v>
      </c>
      <c r="C45" s="22" cm="1">
        <f t="array" ref="C45">POWER((2*PI()*Tabella333[Massa '[kg']]*Tabella333[Boltzmann k]*A45)/(POWER(Tabella333[Planck h],2)),1.5)*B45</f>
        <v>90213488.075391844</v>
      </c>
      <c r="D45" s="23">
        <f t="shared" si="0"/>
        <v>1.5554799731494471E-4</v>
      </c>
      <c r="E45" s="22" cm="1">
        <f t="array" ref="E45">((SQRT(PI())/Tabella636[Simmetria]))*(SQRT(POWER(A45,3)/PRODUCT($F$7,$G$7,$H$7)))</f>
        <v>9890.4402235667676</v>
      </c>
      <c r="F45" s="9">
        <v>2</v>
      </c>
      <c r="I45" s="40">
        <f t="shared" si="1"/>
        <v>277575746.8887803</v>
      </c>
    </row>
    <row r="46" spans="1:9" x14ac:dyDescent="0.35">
      <c r="A46" s="21">
        <v>1300</v>
      </c>
      <c r="B46" s="22" cm="1">
        <f t="array" ref="B46">(Tabella333[Boltzmann k]*A46)/101325</f>
        <v>1.7713730076486554E-25</v>
      </c>
      <c r="C46" s="22" cm="1">
        <f t="array" ref="C46">POWER((2*PI()*Tabella333[Massa '[kg']]*Tabella333[Boltzmann k]*A46)/(POWER(Tabella333[Planck h],2)),1.5)*B46</f>
        <v>110198768.36299989</v>
      </c>
      <c r="D46" s="23">
        <f t="shared" si="0"/>
        <v>5.6954458065727439E-4</v>
      </c>
      <c r="E46" s="22" cm="1">
        <f t="array" ref="E46">((SQRT(PI())/Tabella636[Simmetria]))*(SQRT(POWER(A46,3)/PRODUCT($F$7,$G$7,$H$7)))</f>
        <v>11152.154613790208</v>
      </c>
      <c r="F46" s="9">
        <v>2</v>
      </c>
      <c r="I46" s="40">
        <f t="shared" si="1"/>
        <v>1399887842.882756</v>
      </c>
    </row>
    <row r="47" spans="1:9" x14ac:dyDescent="0.35">
      <c r="A47" s="21">
        <v>1400</v>
      </c>
      <c r="B47" s="22" cm="1">
        <f t="array" ref="B47">(Tabella333[Boltzmann k]*A47)/101325</f>
        <v>1.9076324697754752E-25</v>
      </c>
      <c r="C47" s="22" cm="1">
        <f t="array" ref="C47">POWER((2*PI()*Tabella333[Massa '[kg']]*Tabella333[Boltzmann k]*A47)/(POWER(Tabella333[Planck h],2)),1.5)*B47</f>
        <v>132628985.93546617</v>
      </c>
      <c r="D47" s="23">
        <f t="shared" si="0"/>
        <v>1.819804104034524E-3</v>
      </c>
      <c r="E47" s="22" cm="1">
        <f t="array" ref="E47">((SQRT(PI())/Tabella636[Simmetria]))*(SQRT(POWER(A47,3)/PRODUCT($F$7,$G$7,$H$7)))</f>
        <v>12463.379149285416</v>
      </c>
      <c r="F47" s="9">
        <v>2</v>
      </c>
      <c r="I47" s="40">
        <f t="shared" si="1"/>
        <v>6016291795.7989969</v>
      </c>
    </row>
    <row r="48" spans="1:9" x14ac:dyDescent="0.35">
      <c r="A48" s="21">
        <v>1500</v>
      </c>
      <c r="B48" s="22" cm="1">
        <f t="array" ref="B48">(Tabella333[Boltzmann k]*A48)/101325</f>
        <v>2.0438919319022949E-25</v>
      </c>
      <c r="C48" s="22" cm="1">
        <f t="array" ref="C48">POWER((2*PI()*Tabella333[Massa '[kg']]*Tabella333[Boltzmann k]*A48)/(POWER(Tabella333[Planck h],2)),1.5)*B48</f>
        <v>157596477.98745629</v>
      </c>
      <c r="D48" s="23">
        <f t="shared" si="0"/>
        <v>5.2046098140973336E-3</v>
      </c>
      <c r="E48" s="22" cm="1">
        <f t="array" ref="E48">((SQRT(PI())/Tabella636[Simmetria]))*(SQRT(POWER(A48,3)/PRODUCT($F$7,$G$7,$H$7)))</f>
        <v>13822.310417058443</v>
      </c>
      <c r="F48" s="9">
        <v>2</v>
      </c>
      <c r="I48" s="40">
        <f t="shared" si="1"/>
        <v>22674896922.998348</v>
      </c>
    </row>
    <row r="49" spans="1:9" x14ac:dyDescent="0.35">
      <c r="A49" s="21">
        <v>1600</v>
      </c>
      <c r="B49" s="22" cm="1">
        <f t="array" ref="B49">(Tabella333[Boltzmann k]*A49)/101325</f>
        <v>2.1801513940291145E-25</v>
      </c>
      <c r="C49" s="22" cm="1">
        <f t="array" ref="C49">POWER((2*PI()*Tabella333[Massa '[kg']]*Tabella333[Boltzmann k]*A49)/(POWER(Tabella333[Planck h],2)),1.5)*B49</f>
        <v>185190334.66617978</v>
      </c>
      <c r="D49" s="23">
        <f t="shared" si="0"/>
        <v>1.3580763191121665E-2</v>
      </c>
      <c r="E49" s="22" cm="1">
        <f t="array" ref="E49">((SQRT(PI())/Tabella636[Simmetria]))*(SQRT(POWER(A49,3)/PRODUCT($F$7,$G$7,$H$7)))</f>
        <v>15227.328867947133</v>
      </c>
      <c r="F49" s="9">
        <v>2</v>
      </c>
      <c r="I49" s="40">
        <f t="shared" si="1"/>
        <v>76594258475.002014</v>
      </c>
    </row>
    <row r="50" spans="1:9" x14ac:dyDescent="0.35">
      <c r="A50" s="21">
        <v>1700</v>
      </c>
      <c r="B50" s="22" cm="1">
        <f t="array" ref="B50">(Tabella333[Boltzmann k]*A50)/101325</f>
        <v>2.316410856155934E-25</v>
      </c>
      <c r="C50" s="22" cm="1">
        <f t="array" ref="C50">POWER((2*PI()*Tabella333[Massa '[kg']]*Tabella333[Boltzmann k]*A50)/(POWER(Tabella333[Planck h],2)),1.5)*B50</f>
        <v>215496719.51586697</v>
      </c>
      <c r="D50" s="23">
        <f t="shared" si="0"/>
        <v>3.2810780558465272E-2</v>
      </c>
      <c r="E50" s="22" cm="1">
        <f t="array" ref="E50">((SQRT(PI())/Tabella636[Simmetria]))*(SQRT(POWER(A50,3)/PRODUCT($F$7,$G$7,$H$7)))</f>
        <v>16676.969537743305</v>
      </c>
      <c r="F50" s="9">
        <v>2</v>
      </c>
      <c r="I50" s="40">
        <f t="shared" si="1"/>
        <v>235832881118.21393</v>
      </c>
    </row>
    <row r="51" spans="1:9" x14ac:dyDescent="0.35">
      <c r="A51" s="21">
        <v>1800</v>
      </c>
      <c r="B51" s="22" cm="1">
        <f t="array" ref="B51">(Tabella333[Boltzmann k]*A51)/101325</f>
        <v>2.4526703182827536E-25</v>
      </c>
      <c r="C51" s="22" cm="1">
        <f t="array" ref="C51">POWER((2*PI()*Tabella333[Massa '[kg']]*Tabella333[Boltzmann k]*A51)/(POWER(Tabella333[Planck h],2)),1.5)*B51</f>
        <v>248599140.41403747</v>
      </c>
      <c r="D51" s="23">
        <f t="shared" si="0"/>
        <v>7.4244171363708505E-2</v>
      </c>
      <c r="E51" s="22" cm="1">
        <f t="array" ref="E51">((SQRT(PI())/Tabella636[Simmetria]))*(SQRT(POWER(A51,3)/PRODUCT($F$7,$G$7,$H$7)))</f>
        <v>18169.898909427717</v>
      </c>
      <c r="F51" s="9">
        <v>2</v>
      </c>
      <c r="I51" s="40">
        <f t="shared" si="1"/>
        <v>670724999520.63464</v>
      </c>
    </row>
    <row r="52" spans="1:9" x14ac:dyDescent="0.35">
      <c r="A52" s="21">
        <v>1900</v>
      </c>
      <c r="B52" s="22" cm="1">
        <f t="array" ref="B52">(Tabella333[Boltzmann k]*A52)/101325</f>
        <v>2.5889297804095731E-25</v>
      </c>
      <c r="C52" s="22" cm="1">
        <f t="array" ref="C52">POWER((2*PI()*Tabella333[Massa '[kg']]*Tabella333[Boltzmann k]*A52)/(POWER(Tabella333[Planck h],2)),1.5)*B52</f>
        <v>284578681.09477973</v>
      </c>
      <c r="D52" s="23">
        <f t="shared" si="0"/>
        <v>0.15879495257825502</v>
      </c>
      <c r="E52" s="22" cm="1">
        <f t="array" ref="E52">((SQRT(PI())/Tabella636[Simmetria]))*(SQRT(POWER(A52,3)/PRODUCT($F$7,$G$7,$H$7)))</f>
        <v>19704.896353021595</v>
      </c>
      <c r="F52" s="9">
        <v>2</v>
      </c>
      <c r="I52" s="40">
        <f t="shared" si="1"/>
        <v>1780915060906.2229</v>
      </c>
    </row>
    <row r="53" spans="1:9" ht="15" thickBot="1" x14ac:dyDescent="0.4">
      <c r="A53" s="21">
        <v>2000</v>
      </c>
      <c r="B53" s="22" cm="1">
        <f t="array" ref="B53">(Tabella333[Boltzmann k]*A53)/101325</f>
        <v>2.7251892425363931E-25</v>
      </c>
      <c r="C53" s="22" cm="1">
        <f t="array" ref="C53">POWER((2*PI()*Tabella333[Massa '[kg']]*Tabella333[Boltzmann k]*A53)/(POWER(Tabella333[Planck h],2)),1.5)*B53</f>
        <v>323514200.8511799</v>
      </c>
      <c r="D53" s="23">
        <f t="shared" si="0"/>
        <v>0.32340561165172416</v>
      </c>
      <c r="E53" s="22" cm="1">
        <f t="array" ref="E53">((SQRT(PI())/Tabella636[Simmetria]))*(SQRT(POWER(A53,3)/PRODUCT($F$7,$G$7,$H$7)))</f>
        <v>21280.839040296694</v>
      </c>
      <c r="F53" s="9">
        <v>2</v>
      </c>
      <c r="I53" s="41">
        <f t="shared" si="1"/>
        <v>4453071240039.7969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2FE7-E473-450D-92E4-E8AD33BD3E0D}">
  <dimension ref="A1:H54"/>
  <sheetViews>
    <sheetView topLeftCell="A31" workbookViewId="0">
      <selection activeCell="G14" sqref="G14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11.81640625" bestFit="1" customWidth="1"/>
    <col min="4" max="4" width="8.54296875" bestFit="1" customWidth="1"/>
    <col min="5" max="5" width="12" bestFit="1" customWidth="1"/>
    <col min="6" max="6" width="11.1796875" bestFit="1" customWidth="1"/>
    <col min="7" max="7" width="13.7265625" bestFit="1" customWidth="1"/>
    <col min="8" max="8" width="12.453125" bestFit="1" customWidth="1"/>
  </cols>
  <sheetData>
    <row r="1" spans="1:8" x14ac:dyDescent="0.35">
      <c r="A1" s="13" t="s">
        <v>15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20" t="s">
        <v>22</v>
      </c>
    </row>
    <row r="2" spans="1:8" x14ac:dyDescent="0.35">
      <c r="A2">
        <f>PI()</f>
        <v>3.1415926535897931</v>
      </c>
      <c r="B2" s="12">
        <f>1.66E-27*G2</f>
        <v>1.6729978E-27</v>
      </c>
      <c r="C2" s="12">
        <v>1.3806490000000001E-23</v>
      </c>
      <c r="D2" s="12">
        <v>6.6260687599999996E-34</v>
      </c>
      <c r="E2">
        <v>8.3144626180000003</v>
      </c>
      <c r="F2" s="12">
        <v>6.0221410000000001E+23</v>
      </c>
      <c r="G2" s="12">
        <v>1.00783</v>
      </c>
      <c r="H2">
        <v>1</v>
      </c>
    </row>
    <row r="3" spans="1:8" x14ac:dyDescent="0.35">
      <c r="H3" s="43"/>
    </row>
    <row r="6" spans="1:8" x14ac:dyDescent="0.35">
      <c r="A6" s="12"/>
      <c r="H6" s="43"/>
    </row>
    <row r="7" spans="1:8" x14ac:dyDescent="0.35">
      <c r="A7" t="s">
        <v>27</v>
      </c>
      <c r="B7" t="s">
        <v>28</v>
      </c>
      <c r="F7" s="12"/>
      <c r="G7" s="12"/>
      <c r="H7" s="12"/>
    </row>
    <row r="8" spans="1:8" x14ac:dyDescent="0.35">
      <c r="A8">
        <v>2</v>
      </c>
      <c r="B8">
        <v>0</v>
      </c>
      <c r="F8" s="12"/>
    </row>
    <row r="9" spans="1:8" x14ac:dyDescent="0.35">
      <c r="B9" t="s">
        <v>29</v>
      </c>
    </row>
    <row r="10" spans="1:8" x14ac:dyDescent="0.35">
      <c r="B10">
        <v>0</v>
      </c>
    </row>
    <row r="11" spans="1:8" x14ac:dyDescent="0.35">
      <c r="B11" t="s">
        <v>29</v>
      </c>
    </row>
    <row r="12" spans="1:8" x14ac:dyDescent="0.35">
      <c r="B12" cm="1">
        <f t="array" ref="B12">Tabella9314716[Frequenza1]*29979300000</f>
        <v>0</v>
      </c>
    </row>
    <row r="13" spans="1:8" x14ac:dyDescent="0.35">
      <c r="A13" t="s">
        <v>38</v>
      </c>
      <c r="B13" t="s">
        <v>39</v>
      </c>
      <c r="C13" s="18" t="s">
        <v>48</v>
      </c>
    </row>
    <row r="14" spans="1:8" x14ac:dyDescent="0.35">
      <c r="A14" s="9">
        <v>298.14999999999998</v>
      </c>
      <c r="B14" s="9">
        <v>1</v>
      </c>
      <c r="C14" s="9">
        <v>1</v>
      </c>
    </row>
    <row r="15" spans="1:8" x14ac:dyDescent="0.35">
      <c r="A15" s="9">
        <v>400</v>
      </c>
      <c r="B15" s="9">
        <v>1</v>
      </c>
      <c r="C15" s="9">
        <v>1</v>
      </c>
    </row>
    <row r="16" spans="1:8" x14ac:dyDescent="0.35">
      <c r="A16" s="9">
        <v>500</v>
      </c>
      <c r="B16" s="9">
        <v>1</v>
      </c>
      <c r="C16" s="9">
        <v>1</v>
      </c>
    </row>
    <row r="17" spans="1:7" x14ac:dyDescent="0.35">
      <c r="A17" s="9">
        <v>600</v>
      </c>
      <c r="B17" s="9">
        <v>1</v>
      </c>
      <c r="C17" s="9">
        <v>1</v>
      </c>
    </row>
    <row r="18" spans="1:7" x14ac:dyDescent="0.35">
      <c r="A18" s="9">
        <v>700</v>
      </c>
      <c r="B18" s="9">
        <v>1</v>
      </c>
      <c r="C18" s="9">
        <v>1</v>
      </c>
    </row>
    <row r="19" spans="1:7" x14ac:dyDescent="0.35">
      <c r="A19" s="9">
        <v>800</v>
      </c>
      <c r="B19" s="9">
        <v>1</v>
      </c>
      <c r="C19" s="9">
        <v>1</v>
      </c>
    </row>
    <row r="20" spans="1:7" x14ac:dyDescent="0.35">
      <c r="A20" s="9">
        <v>900</v>
      </c>
      <c r="B20" s="9">
        <v>1</v>
      </c>
      <c r="C20" s="9">
        <v>1</v>
      </c>
    </row>
    <row r="21" spans="1:7" x14ac:dyDescent="0.35">
      <c r="A21" s="9">
        <v>1000</v>
      </c>
      <c r="B21" s="9">
        <v>1</v>
      </c>
      <c r="C21" s="9">
        <v>1</v>
      </c>
    </row>
    <row r="22" spans="1:7" x14ac:dyDescent="0.35">
      <c r="A22" s="9">
        <v>1100</v>
      </c>
      <c r="B22" s="9">
        <v>1</v>
      </c>
      <c r="C22" s="9">
        <v>1</v>
      </c>
    </row>
    <row r="23" spans="1:7" x14ac:dyDescent="0.35">
      <c r="A23" s="9">
        <v>1200</v>
      </c>
      <c r="B23" s="9">
        <v>1</v>
      </c>
      <c r="C23" s="9">
        <v>1</v>
      </c>
    </row>
    <row r="24" spans="1:7" x14ac:dyDescent="0.35">
      <c r="A24" s="9">
        <v>1300</v>
      </c>
      <c r="B24" s="9">
        <v>1</v>
      </c>
      <c r="C24" s="9">
        <v>1</v>
      </c>
    </row>
    <row r="25" spans="1:7" x14ac:dyDescent="0.35">
      <c r="A25" s="9">
        <v>1400</v>
      </c>
      <c r="B25" s="9">
        <v>1</v>
      </c>
      <c r="C25" s="9">
        <v>1</v>
      </c>
    </row>
    <row r="26" spans="1:7" x14ac:dyDescent="0.35">
      <c r="A26" s="9">
        <v>1500</v>
      </c>
      <c r="B26" s="9">
        <v>1</v>
      </c>
      <c r="C26" s="9">
        <v>1</v>
      </c>
    </row>
    <row r="27" spans="1:7" x14ac:dyDescent="0.35">
      <c r="A27" s="9">
        <v>1600</v>
      </c>
      <c r="B27" s="9">
        <v>1</v>
      </c>
      <c r="C27" s="9">
        <v>1</v>
      </c>
    </row>
    <row r="28" spans="1:7" x14ac:dyDescent="0.35">
      <c r="A28" s="9">
        <v>1700</v>
      </c>
      <c r="B28" s="9">
        <v>1</v>
      </c>
      <c r="C28" s="9">
        <v>1</v>
      </c>
    </row>
    <row r="29" spans="1:7" x14ac:dyDescent="0.35">
      <c r="A29" s="9">
        <v>1800</v>
      </c>
      <c r="B29" s="9">
        <v>1</v>
      </c>
      <c r="C29" s="9">
        <v>1</v>
      </c>
    </row>
    <row r="30" spans="1:7" x14ac:dyDescent="0.35">
      <c r="A30" s="9">
        <v>1900</v>
      </c>
      <c r="B30" s="9">
        <v>1</v>
      </c>
      <c r="C30" s="9">
        <v>1</v>
      </c>
    </row>
    <row r="31" spans="1:7" x14ac:dyDescent="0.35">
      <c r="A31" s="9">
        <v>2000</v>
      </c>
      <c r="B31" s="9">
        <v>1</v>
      </c>
      <c r="C31" s="9">
        <v>1</v>
      </c>
    </row>
    <row r="32" spans="1:7" x14ac:dyDescent="0.35">
      <c r="A32" s="44"/>
      <c r="B32" s="44"/>
      <c r="C32" s="44"/>
      <c r="D32" s="44"/>
      <c r="E32" s="44"/>
      <c r="F32" s="44"/>
      <c r="G32" s="44"/>
    </row>
    <row r="33" spans="1:7" ht="15" thickBot="1" x14ac:dyDescent="0.4"/>
    <row r="34" spans="1:7" ht="15" thickBot="1" x14ac:dyDescent="0.4">
      <c r="A34" s="50" t="s">
        <v>38</v>
      </c>
      <c r="B34" s="50" t="s">
        <v>55</v>
      </c>
      <c r="C34" s="50" t="s">
        <v>56</v>
      </c>
      <c r="D34" s="50" t="s">
        <v>57</v>
      </c>
      <c r="E34" s="50" t="s">
        <v>58</v>
      </c>
      <c r="F34" s="50" t="s">
        <v>59</v>
      </c>
      <c r="G34" s="50" t="s">
        <v>48</v>
      </c>
    </row>
    <row r="35" spans="1:7" x14ac:dyDescent="0.35">
      <c r="A35" s="48">
        <v>298.14999999999998</v>
      </c>
      <c r="B35" s="49">
        <f>($C$2*A35)/101325</f>
        <v>4.0625758633111278E-26</v>
      </c>
      <c r="C35" s="49">
        <f>POWER((2*PI()*$B$2*$C$2*A35)/(POWER($D$2,2)),1.5)*B35</f>
        <v>39748.767858155887</v>
      </c>
      <c r="D35" s="49">
        <f t="shared" ref="D35:D52" si="0">C14</f>
        <v>1</v>
      </c>
      <c r="E35" s="49">
        <v>1</v>
      </c>
      <c r="F35" s="49">
        <v>2</v>
      </c>
      <c r="G35" s="51">
        <f>PRODUCT(C35:F35)</f>
        <v>79497.535716311773</v>
      </c>
    </row>
    <row r="36" spans="1:7" x14ac:dyDescent="0.35">
      <c r="A36" s="1">
        <v>400</v>
      </c>
      <c r="B36" s="49">
        <f t="shared" ref="B36:B52" si="1">($C$2*A36)/101325</f>
        <v>5.4503784850727862E-26</v>
      </c>
      <c r="C36" s="49">
        <f t="shared" ref="C36:C52" si="2">POWER((2*PI()*$B$2*$C$2*A36)/(POWER($D$2,2)),1.5)*B36</f>
        <v>82867.95374345631</v>
      </c>
      <c r="D36" s="46">
        <f t="shared" si="0"/>
        <v>1</v>
      </c>
      <c r="E36" s="46">
        <v>1</v>
      </c>
      <c r="F36" s="46">
        <v>2</v>
      </c>
      <c r="G36" s="52">
        <f t="shared" ref="G36:G52" si="3">PRODUCT(C36:F36)</f>
        <v>165735.90748691262</v>
      </c>
    </row>
    <row r="37" spans="1:7" x14ac:dyDescent="0.35">
      <c r="A37" s="1">
        <v>500</v>
      </c>
      <c r="B37" s="49">
        <f t="shared" si="1"/>
        <v>6.8129731063409828E-26</v>
      </c>
      <c r="C37" s="49">
        <f t="shared" si="2"/>
        <v>144764.35759896474</v>
      </c>
      <c r="D37" s="46">
        <f t="shared" si="0"/>
        <v>1</v>
      </c>
      <c r="E37" s="46">
        <v>1</v>
      </c>
      <c r="F37" s="46">
        <v>2</v>
      </c>
      <c r="G37" s="52">
        <f t="shared" si="3"/>
        <v>289528.71519792947</v>
      </c>
    </row>
    <row r="38" spans="1:7" x14ac:dyDescent="0.35">
      <c r="A38" s="1">
        <v>600</v>
      </c>
      <c r="B38" s="49">
        <f t="shared" si="1"/>
        <v>8.1755677276091782E-26</v>
      </c>
      <c r="C38" s="49">
        <f t="shared" si="2"/>
        <v>228357.22803752901</v>
      </c>
      <c r="D38" s="46">
        <f t="shared" si="0"/>
        <v>1</v>
      </c>
      <c r="E38" s="46">
        <v>1</v>
      </c>
      <c r="F38" s="46">
        <v>2</v>
      </c>
      <c r="G38" s="52">
        <f t="shared" si="3"/>
        <v>456714.45607505803</v>
      </c>
    </row>
    <row r="39" spans="1:7" x14ac:dyDescent="0.35">
      <c r="A39" s="1">
        <v>700</v>
      </c>
      <c r="B39" s="49">
        <f t="shared" si="1"/>
        <v>9.5381623488773759E-26</v>
      </c>
      <c r="C39" s="49">
        <f t="shared" si="2"/>
        <v>335723.49580741907</v>
      </c>
      <c r="D39" s="46">
        <f t="shared" si="0"/>
        <v>1</v>
      </c>
      <c r="E39" s="46">
        <v>1</v>
      </c>
      <c r="F39" s="46">
        <v>2</v>
      </c>
      <c r="G39" s="52">
        <f t="shared" si="3"/>
        <v>671446.99161483813</v>
      </c>
    </row>
    <row r="40" spans="1:7" x14ac:dyDescent="0.35">
      <c r="A40" s="1">
        <v>800</v>
      </c>
      <c r="B40" s="49">
        <f t="shared" si="1"/>
        <v>1.0900756970145572E-25</v>
      </c>
      <c r="C40" s="49">
        <f t="shared" si="2"/>
        <v>468771.9362804101</v>
      </c>
      <c r="D40" s="46">
        <f t="shared" si="0"/>
        <v>1</v>
      </c>
      <c r="E40" s="46">
        <v>1</v>
      </c>
      <c r="F40" s="46">
        <v>2</v>
      </c>
      <c r="G40" s="52">
        <f t="shared" si="3"/>
        <v>937543.87256082019</v>
      </c>
    </row>
    <row r="41" spans="1:7" x14ac:dyDescent="0.35">
      <c r="A41" s="1">
        <v>900</v>
      </c>
      <c r="B41" s="49">
        <f t="shared" si="1"/>
        <v>1.2263351591413768E-25</v>
      </c>
      <c r="C41" s="49">
        <f t="shared" si="2"/>
        <v>629278.5237393633</v>
      </c>
      <c r="D41" s="46">
        <f t="shared" si="0"/>
        <v>1</v>
      </c>
      <c r="E41" s="46">
        <v>1</v>
      </c>
      <c r="F41" s="46">
        <v>2</v>
      </c>
      <c r="G41" s="52">
        <f t="shared" si="3"/>
        <v>1258557.0474787266</v>
      </c>
    </row>
    <row r="42" spans="1:7" x14ac:dyDescent="0.35">
      <c r="A42" s="1">
        <v>1000</v>
      </c>
      <c r="B42" s="49">
        <f t="shared" si="1"/>
        <v>1.3625946212681966E-25</v>
      </c>
      <c r="C42" s="49">
        <f t="shared" si="2"/>
        <v>818910.87145874056</v>
      </c>
      <c r="D42" s="46">
        <f t="shared" si="0"/>
        <v>1</v>
      </c>
      <c r="E42" s="46">
        <v>1</v>
      </c>
      <c r="F42" s="46">
        <v>2</v>
      </c>
      <c r="G42" s="52">
        <f t="shared" si="3"/>
        <v>1637821.7429174811</v>
      </c>
    </row>
    <row r="43" spans="1:7" x14ac:dyDescent="0.35">
      <c r="A43" s="1">
        <v>1100</v>
      </c>
      <c r="B43" s="49">
        <f t="shared" si="1"/>
        <v>1.4988540833950161E-25</v>
      </c>
      <c r="C43" s="49">
        <f t="shared" si="2"/>
        <v>1039245.9710968665</v>
      </c>
      <c r="D43" s="46">
        <f t="shared" si="0"/>
        <v>1</v>
      </c>
      <c r="E43" s="46">
        <v>1</v>
      </c>
      <c r="F43" s="46">
        <v>2</v>
      </c>
      <c r="G43" s="52">
        <f t="shared" si="3"/>
        <v>2078491.9421937331</v>
      </c>
    </row>
    <row r="44" spans="1:7" x14ac:dyDescent="0.35">
      <c r="A44" s="1">
        <v>1200</v>
      </c>
      <c r="B44" s="49">
        <f t="shared" si="1"/>
        <v>1.6351135455218356E-25</v>
      </c>
      <c r="C44" s="49">
        <f t="shared" si="2"/>
        <v>1291783.5558263999</v>
      </c>
      <c r="D44" s="46">
        <f t="shared" si="0"/>
        <v>1</v>
      </c>
      <c r="E44" s="46">
        <v>1</v>
      </c>
      <c r="F44" s="46">
        <v>2</v>
      </c>
      <c r="G44" s="52">
        <f t="shared" si="3"/>
        <v>2583567.1116527999</v>
      </c>
    </row>
    <row r="45" spans="1:7" x14ac:dyDescent="0.35">
      <c r="A45" s="1">
        <v>1300</v>
      </c>
      <c r="B45" s="49">
        <f t="shared" si="1"/>
        <v>1.7713730076486554E-25</v>
      </c>
      <c r="C45" s="49">
        <f t="shared" si="2"/>
        <v>1577956.4661625621</v>
      </c>
      <c r="D45" s="46">
        <f t="shared" si="0"/>
        <v>1</v>
      </c>
      <c r="E45" s="46">
        <v>1</v>
      </c>
      <c r="F45" s="46">
        <v>2</v>
      </c>
      <c r="G45" s="52">
        <f t="shared" si="3"/>
        <v>3155912.9323251243</v>
      </c>
    </row>
    <row r="46" spans="1:7" x14ac:dyDescent="0.35">
      <c r="A46" s="1">
        <v>1400</v>
      </c>
      <c r="B46" s="49">
        <f t="shared" si="1"/>
        <v>1.9076324697754752E-25</v>
      </c>
      <c r="C46" s="49">
        <f t="shared" si="2"/>
        <v>1899138.8839126413</v>
      </c>
      <c r="D46" s="46">
        <f t="shared" si="0"/>
        <v>1</v>
      </c>
      <c r="E46" s="46">
        <v>1</v>
      </c>
      <c r="F46" s="46">
        <v>2</v>
      </c>
      <c r="G46" s="52">
        <f t="shared" si="3"/>
        <v>3798277.7678252826</v>
      </c>
    </row>
    <row r="47" spans="1:7" x14ac:dyDescent="0.35">
      <c r="A47" s="1">
        <v>1500</v>
      </c>
      <c r="B47" s="49">
        <f t="shared" si="1"/>
        <v>2.0438919319022949E-25</v>
      </c>
      <c r="C47" s="49">
        <f t="shared" si="2"/>
        <v>2256653.0023782821</v>
      </c>
      <c r="D47" s="46">
        <f t="shared" si="0"/>
        <v>1</v>
      </c>
      <c r="E47" s="46">
        <v>1</v>
      </c>
      <c r="F47" s="46">
        <v>2</v>
      </c>
      <c r="G47" s="52">
        <f t="shared" si="3"/>
        <v>4513306.0047565643</v>
      </c>
    </row>
    <row r="48" spans="1:7" x14ac:dyDescent="0.35">
      <c r="A48" s="1">
        <v>1600</v>
      </c>
      <c r="B48" s="49">
        <f t="shared" si="1"/>
        <v>2.1801513940291145E-25</v>
      </c>
      <c r="C48" s="49">
        <f t="shared" si="2"/>
        <v>2651774.5197905786</v>
      </c>
      <c r="D48" s="46">
        <f t="shared" si="0"/>
        <v>1</v>
      </c>
      <c r="E48" s="46">
        <v>1</v>
      </c>
      <c r="F48" s="46">
        <v>2</v>
      </c>
      <c r="G48" s="52">
        <f t="shared" si="3"/>
        <v>5303549.0395811573</v>
      </c>
    </row>
    <row r="49" spans="1:7" x14ac:dyDescent="0.35">
      <c r="A49" s="1">
        <v>1700</v>
      </c>
      <c r="B49" s="49">
        <f t="shared" si="1"/>
        <v>2.316410856155934E-25</v>
      </c>
      <c r="C49" s="49">
        <f t="shared" si="2"/>
        <v>3085737.2278133347</v>
      </c>
      <c r="D49" s="46">
        <f t="shared" si="0"/>
        <v>1</v>
      </c>
      <c r="E49" s="46">
        <v>1</v>
      </c>
      <c r="F49" s="46">
        <v>2</v>
      </c>
      <c r="G49" s="52">
        <f t="shared" si="3"/>
        <v>6171474.4556266693</v>
      </c>
    </row>
    <row r="50" spans="1:7" x14ac:dyDescent="0.35">
      <c r="A50" s="1">
        <v>1800</v>
      </c>
      <c r="B50" s="49">
        <f t="shared" si="1"/>
        <v>2.4526703182827536E-25</v>
      </c>
      <c r="C50" s="49">
        <f t="shared" si="2"/>
        <v>3559736.8911293191</v>
      </c>
      <c r="D50" s="46">
        <f t="shared" si="0"/>
        <v>1</v>
      </c>
      <c r="E50" s="46">
        <v>1</v>
      </c>
      <c r="F50" s="46">
        <v>2</v>
      </c>
      <c r="G50" s="52">
        <f t="shared" si="3"/>
        <v>7119473.7822586382</v>
      </c>
    </row>
    <row r="51" spans="1:7" x14ac:dyDescent="0.35">
      <c r="A51" s="1">
        <v>1900</v>
      </c>
      <c r="B51" s="49">
        <f t="shared" si="1"/>
        <v>2.5889297804095731E-25</v>
      </c>
      <c r="C51" s="49">
        <f t="shared" si="2"/>
        <v>4074934.5626652278</v>
      </c>
      <c r="D51" s="46">
        <f t="shared" si="0"/>
        <v>1</v>
      </c>
      <c r="E51" s="46">
        <v>1</v>
      </c>
      <c r="F51" s="46">
        <v>2</v>
      </c>
      <c r="G51" s="52">
        <f t="shared" si="3"/>
        <v>8149869.1253304556</v>
      </c>
    </row>
    <row r="52" spans="1:7" ht="15" thickBot="1" x14ac:dyDescent="0.4">
      <c r="A52" s="2">
        <v>2000</v>
      </c>
      <c r="B52" s="49">
        <f t="shared" si="1"/>
        <v>2.7251892425363931E-25</v>
      </c>
      <c r="C52" s="49">
        <f t="shared" si="2"/>
        <v>4632459.4431668324</v>
      </c>
      <c r="D52" s="47">
        <f t="shared" si="0"/>
        <v>1</v>
      </c>
      <c r="E52" s="47">
        <v>1</v>
      </c>
      <c r="F52" s="47">
        <v>2</v>
      </c>
      <c r="G52" s="53">
        <f t="shared" si="3"/>
        <v>9264918.8863336649</v>
      </c>
    </row>
    <row r="54" spans="1:7" x14ac:dyDescent="0.35">
      <c r="D54" s="44"/>
      <c r="E54" s="44"/>
      <c r="F54" s="44"/>
      <c r="G54" s="4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3C58-2795-4EF5-BC6F-18E1A60B9B99}">
  <dimension ref="A1:M98"/>
  <sheetViews>
    <sheetView topLeftCell="A53" zoomScale="85" zoomScaleNormal="85" workbookViewId="0">
      <selection activeCell="G77" sqref="G77"/>
    </sheetView>
  </sheetViews>
  <sheetFormatPr defaultColWidth="9.1796875" defaultRowHeight="14.5" x14ac:dyDescent="0.35"/>
  <cols>
    <col min="1" max="1" width="22" style="9" bestFit="1" customWidth="1"/>
    <col min="2" max="2" width="13.7265625" style="9" bestFit="1" customWidth="1"/>
    <col min="3" max="3" width="12" style="9" bestFit="1" customWidth="1"/>
    <col min="4" max="4" width="18" style="9" customWidth="1"/>
    <col min="5" max="5" width="26.7265625" style="9" bestFit="1" customWidth="1"/>
    <col min="6" max="6" width="19.26953125" style="9" customWidth="1"/>
    <col min="7" max="7" width="21.08984375" style="9" bestFit="1" customWidth="1"/>
    <col min="8" max="8" width="23.54296875" style="9" bestFit="1" customWidth="1"/>
    <col min="9" max="9" width="24.7265625" style="9" bestFit="1" customWidth="1"/>
    <col min="10" max="10" width="20" style="9" bestFit="1" customWidth="1"/>
    <col min="11" max="11" width="18.36328125" style="9" bestFit="1" customWidth="1"/>
    <col min="12" max="12" width="19.6328125" style="9" bestFit="1" customWidth="1"/>
    <col min="13" max="13" width="20" style="9" bestFit="1" customWidth="1"/>
    <col min="14" max="14" width="19" style="9" bestFit="1" customWidth="1"/>
    <col min="15" max="16384" width="9.1796875" style="9"/>
  </cols>
  <sheetData>
    <row r="1" spans="1:12" x14ac:dyDescent="0.35">
      <c r="A1" s="61" t="s">
        <v>14</v>
      </c>
      <c r="B1" s="61" t="s">
        <v>17</v>
      </c>
      <c r="C1" s="61" t="s">
        <v>18</v>
      </c>
    </row>
    <row r="2" spans="1:12" x14ac:dyDescent="0.35">
      <c r="A2" s="4">
        <v>8.3144626180000003</v>
      </c>
      <c r="B2" s="54">
        <v>1.3806490000000001E-23</v>
      </c>
      <c r="C2" s="54">
        <v>6.6260687599999996E-34</v>
      </c>
    </row>
    <row r="3" spans="1:12" ht="15" thickBot="1" x14ac:dyDescent="0.4"/>
    <row r="4" spans="1:12" ht="15" thickBot="1" x14ac:dyDescent="0.4">
      <c r="B4" s="63" t="s">
        <v>4</v>
      </c>
      <c r="C4" s="63" t="s">
        <v>5</v>
      </c>
      <c r="D4" s="63" t="s">
        <v>6</v>
      </c>
      <c r="E4" s="63" t="s">
        <v>7</v>
      </c>
      <c r="F4" s="64" t="s">
        <v>8</v>
      </c>
      <c r="H4" s="65" t="s">
        <v>10</v>
      </c>
      <c r="I4" s="66" t="s">
        <v>61</v>
      </c>
      <c r="K4" s="67" t="s">
        <v>11</v>
      </c>
      <c r="L4" s="68" t="s">
        <v>91</v>
      </c>
    </row>
    <row r="5" spans="1:12" ht="15" thickBot="1" x14ac:dyDescent="0.4">
      <c r="A5" s="62" t="s">
        <v>3</v>
      </c>
      <c r="B5" s="4">
        <v>-40.526138247299997</v>
      </c>
      <c r="C5" s="4">
        <v>-0.50027299999999997</v>
      </c>
      <c r="D5" s="4">
        <v>-39.8473348956</v>
      </c>
      <c r="E5" s="4">
        <v>-1.1785393361200001</v>
      </c>
      <c r="F5" s="74">
        <v>-41.011797089300003</v>
      </c>
      <c r="H5" s="69">
        <f>F5+F7-(B5+C5+B7)</f>
        <v>1.2675157999993303E-2</v>
      </c>
      <c r="I5" s="75">
        <f>H5*627.5</f>
        <v>7.9536616449957975</v>
      </c>
      <c r="K5" s="69">
        <f>F5+F7-(D5+E5+D7+E7)</f>
        <v>1.6919142419986599E-2</v>
      </c>
      <c r="L5" s="76">
        <f>627.5*K5</f>
        <v>10.616761868541591</v>
      </c>
    </row>
    <row r="6" spans="1:12" x14ac:dyDescent="0.35">
      <c r="B6" s="71" t="s">
        <v>4</v>
      </c>
      <c r="C6" s="71" t="s">
        <v>5</v>
      </c>
      <c r="D6" s="71" t="s">
        <v>6</v>
      </c>
      <c r="E6" s="71" t="s">
        <v>7</v>
      </c>
      <c r="F6" s="72" t="s">
        <v>8</v>
      </c>
      <c r="I6" s="65" t="s">
        <v>12</v>
      </c>
      <c r="L6" s="65" t="s">
        <v>13</v>
      </c>
    </row>
    <row r="7" spans="1:12" ht="15" thickBot="1" x14ac:dyDescent="0.4">
      <c r="A7" s="70" t="s">
        <v>9</v>
      </c>
      <c r="B7" s="6">
        <v>4.4774000000000001E-2</v>
      </c>
      <c r="C7" s="6">
        <v>0</v>
      </c>
      <c r="D7" s="6">
        <v>2.9819999999999999E-2</v>
      </c>
      <c r="E7" s="6">
        <v>1.0173E-2</v>
      </c>
      <c r="F7" s="73">
        <v>4.2834999999999998E-2</v>
      </c>
      <c r="H7" s="7"/>
      <c r="I7" s="11">
        <f>I5*4.184</f>
        <v>33.278120322662417</v>
      </c>
      <c r="L7" s="11">
        <f>L5*4.184</f>
        <v>44.420531657978017</v>
      </c>
    </row>
    <row r="9" spans="1:12" ht="21" x14ac:dyDescent="0.45">
      <c r="A9" s="79" t="s">
        <v>86</v>
      </c>
      <c r="D9" s="131" t="s">
        <v>85</v>
      </c>
      <c r="H9" t="s">
        <v>87</v>
      </c>
    </row>
    <row r="10" spans="1:12" ht="15" thickBot="1" x14ac:dyDescent="0.4">
      <c r="E10" s="9" t="s">
        <v>75</v>
      </c>
      <c r="F10" s="80"/>
    </row>
    <row r="11" spans="1:12" ht="15" thickBot="1" x14ac:dyDescent="0.4">
      <c r="A11" s="59" t="s">
        <v>2</v>
      </c>
      <c r="B11" s="60" t="s">
        <v>0</v>
      </c>
      <c r="C11" s="60" t="s">
        <v>1</v>
      </c>
      <c r="D11" s="118" t="s">
        <v>60</v>
      </c>
      <c r="E11" s="10" t="s">
        <v>84</v>
      </c>
      <c r="F11" s="10" t="s">
        <v>88</v>
      </c>
      <c r="G11" s="135" t="s">
        <v>90</v>
      </c>
      <c r="H11" s="10" t="s">
        <v>89</v>
      </c>
      <c r="I11" s="10" t="s">
        <v>72</v>
      </c>
    </row>
    <row r="12" spans="1:12" x14ac:dyDescent="0.35">
      <c r="A12" s="56">
        <v>298.14999999999998</v>
      </c>
      <c r="B12" s="57">
        <v>9.4457487044347829E-13</v>
      </c>
      <c r="C12" s="57">
        <v>79497.535716311773</v>
      </c>
      <c r="D12" s="119">
        <v>9.6775436374025866E-12</v>
      </c>
      <c r="E12" s="122">
        <f>H12*EXP(-$I$7*1000/($A$2*A12))</f>
        <v>1.4307321353614842E-18</v>
      </c>
      <c r="F12" s="132">
        <f>G12*EXP(-$L$7*1000/($A$2*A12))</f>
        <v>1.1344424995692049E-21</v>
      </c>
      <c r="G12" s="136">
        <f>0.0000000000000686*(A12/298)^2.74</f>
        <v>6.8694654189587424E-14</v>
      </c>
      <c r="H12" s="133">
        <f>0.000000000000966*POWER((A12/298),3)</f>
        <v>9.6745945921287764E-13</v>
      </c>
      <c r="I12" s="123">
        <v>4.4078869999999997</v>
      </c>
    </row>
    <row r="13" spans="1:12" x14ac:dyDescent="0.35">
      <c r="A13" s="3">
        <v>400</v>
      </c>
      <c r="B13" s="4">
        <v>5.5035455714338104E-7</v>
      </c>
      <c r="C13" s="4">
        <v>165735.90748691262</v>
      </c>
      <c r="D13" s="120">
        <v>8.2118295112869874E-6</v>
      </c>
      <c r="E13" s="122">
        <f>H13*EXP(-$I$7*1000/($A$2*A13))</f>
        <v>1.0541843630475941E-16</v>
      </c>
      <c r="F13" s="132">
        <f t="shared" ref="F13:F29" si="0">G13*EXP(-$L$7*1000/($A$2*A13))</f>
        <v>2.4322207420376702E-19</v>
      </c>
      <c r="G13" s="137">
        <f t="shared" ref="G13:G29" si="1">0.0000000000000686*(A13/298)^2.74</f>
        <v>1.5367949628736284E-13</v>
      </c>
      <c r="H13" s="133">
        <f>0.000000000000966*POWER((A13/298),3)</f>
        <v>2.336190793751657E-12</v>
      </c>
      <c r="I13" s="123">
        <v>2.226019</v>
      </c>
    </row>
    <row r="14" spans="1:12" x14ac:dyDescent="0.35">
      <c r="A14" s="3">
        <v>500</v>
      </c>
      <c r="B14" s="4">
        <v>1.6678416284677388E-3</v>
      </c>
      <c r="C14" s="4">
        <v>289528.71519792947</v>
      </c>
      <c r="D14" s="120">
        <v>3.4568402010532073E-2</v>
      </c>
      <c r="E14" s="122">
        <f>H14*EXP(-$I$7*1000/($A$2*A14))</f>
        <v>1.5232281483209366E-15</v>
      </c>
      <c r="F14" s="132">
        <f t="shared" si="0"/>
        <v>6.4812535495441941E-18</v>
      </c>
      <c r="G14" s="137">
        <f t="shared" si="1"/>
        <v>2.8323659451273147E-13</v>
      </c>
      <c r="H14" s="133">
        <f>0.000000000000966*POWER((A14/298),3)</f>
        <v>4.562872644046205E-12</v>
      </c>
      <c r="I14" s="123">
        <v>1.6652340000000001</v>
      </c>
    </row>
    <row r="15" spans="1:12" x14ac:dyDescent="0.35">
      <c r="A15" s="3">
        <v>600</v>
      </c>
      <c r="B15" s="4">
        <v>0.41939102566724634</v>
      </c>
      <c r="C15" s="4">
        <v>456714.45607505803</v>
      </c>
      <c r="D15" s="120">
        <v>11.807018880119504</v>
      </c>
      <c r="E15" s="122">
        <f>H15*EXP(-$I$7*1000/($A$2*A15))</f>
        <v>9.9935761597508952E-15</v>
      </c>
      <c r="F15" s="132">
        <f t="shared" si="0"/>
        <v>6.3391449804805506E-17</v>
      </c>
      <c r="G15" s="137">
        <f t="shared" si="1"/>
        <v>4.6677327020407892E-13</v>
      </c>
      <c r="H15" s="133">
        <f>0.000000000000966*POWER((A15/298),3)</f>
        <v>7.884643928911843E-12</v>
      </c>
      <c r="I15" s="123">
        <v>1.4293450000000001</v>
      </c>
    </row>
    <row r="16" spans="1:12" x14ac:dyDescent="0.35">
      <c r="A16" s="3">
        <v>700</v>
      </c>
      <c r="B16" s="4">
        <v>25.177830088094307</v>
      </c>
      <c r="C16" s="4">
        <v>671446.99161483813</v>
      </c>
      <c r="D16" s="120">
        <v>945.42267222270539</v>
      </c>
      <c r="E16" s="122">
        <f>H16*EXP(-$I$7*1000/($A$2*A16))</f>
        <v>4.1155432994371389E-14</v>
      </c>
      <c r="F16" s="132">
        <f t="shared" si="0"/>
        <v>3.4506762579916184E-16</v>
      </c>
      <c r="G16" s="137">
        <f t="shared" si="1"/>
        <v>7.120986817174655E-13</v>
      </c>
      <c r="H16" s="133">
        <f>0.000000000000966*POWER((A16/298),3)</f>
        <v>1.2520522535262784E-11</v>
      </c>
      <c r="I16" s="123">
        <v>1.304854</v>
      </c>
    </row>
    <row r="17" spans="1:13" x14ac:dyDescent="0.35">
      <c r="A17" s="3">
        <v>800</v>
      </c>
      <c r="B17" s="4">
        <v>613.33052729509018</v>
      </c>
      <c r="C17" s="4">
        <v>937543.87256082019</v>
      </c>
      <c r="D17" s="120">
        <v>30205.696066109678</v>
      </c>
      <c r="E17" s="122">
        <f>H17*EXP(-$I$7*1000/($A$2*A17))</f>
        <v>1.2554586868853935E-13</v>
      </c>
      <c r="F17" s="132">
        <f t="shared" si="0"/>
        <v>1.2916107358862753E-15</v>
      </c>
      <c r="G17" s="137">
        <f t="shared" si="1"/>
        <v>1.0266871265073092E-12</v>
      </c>
      <c r="H17" s="133">
        <f>0.000000000000966*POWER((A17/298),3)</f>
        <v>1.8689526350013256E-11</v>
      </c>
      <c r="I17" s="123">
        <v>1.2300040000000001</v>
      </c>
    </row>
    <row r="18" spans="1:13" x14ac:dyDescent="0.35">
      <c r="A18" s="3">
        <v>900</v>
      </c>
      <c r="B18" s="4">
        <v>8146.8336679981694</v>
      </c>
      <c r="C18" s="4">
        <v>1258557.0474787266</v>
      </c>
      <c r="D18" s="120">
        <v>517937.69602631917</v>
      </c>
      <c r="E18" s="122">
        <f>H18*EXP(-$I$7*1000/($A$2*A18))</f>
        <v>3.1166049537046307E-13</v>
      </c>
      <c r="F18" s="132">
        <f t="shared" si="0"/>
        <v>3.7458107544501907E-15</v>
      </c>
      <c r="G18" s="137">
        <f t="shared" si="1"/>
        <v>1.4177381566217831E-12</v>
      </c>
      <c r="H18" s="133">
        <f>0.000000000000966*POWER((A18/298),3)</f>
        <v>2.6610673260077462E-11</v>
      </c>
      <c r="I18" s="123">
        <v>1.181012</v>
      </c>
    </row>
    <row r="19" spans="1:13" x14ac:dyDescent="0.35">
      <c r="A19" s="3">
        <v>1000</v>
      </c>
      <c r="B19" s="4">
        <v>70486.434632813456</v>
      </c>
      <c r="C19" s="4">
        <v>1637821.7429174811</v>
      </c>
      <c r="D19" s="120">
        <v>5699173.6703385869</v>
      </c>
      <c r="E19" s="122">
        <f>H19*EXP(-$I$7*1000/($A$2*A19))</f>
        <v>6.6694748452284042E-13</v>
      </c>
      <c r="F19" s="132">
        <f t="shared" si="0"/>
        <v>9.0516213038634746E-15</v>
      </c>
      <c r="G19" s="137">
        <f t="shared" si="1"/>
        <v>1.8922196673409093E-12</v>
      </c>
      <c r="H19" s="133">
        <f>0.000000000000966*POWER((A19/298),3)</f>
        <v>3.650298115236964E-11</v>
      </c>
      <c r="I19" s="123">
        <v>1.1469659999999999</v>
      </c>
    </row>
    <row r="20" spans="1:13" x14ac:dyDescent="0.35">
      <c r="A20" s="3">
        <v>1100</v>
      </c>
      <c r="B20" s="4">
        <v>444935.84343085141</v>
      </c>
      <c r="C20" s="4">
        <v>2078491.9421937331</v>
      </c>
      <c r="D20" s="120">
        <v>45122011.032609589</v>
      </c>
      <c r="E20" s="122">
        <f>H20*EXP(-$I$7*1000/($A$2*A20))</f>
        <v>1.2772949999981241E-12</v>
      </c>
      <c r="F20" s="132">
        <f t="shared" si="0"/>
        <v>1.9101774459378868E-14</v>
      </c>
      <c r="G20" s="137">
        <f t="shared" si="1"/>
        <v>2.4569001649310328E-12</v>
      </c>
      <c r="H20" s="133">
        <f>0.000000000000966*POWER((A20/298),3)</f>
        <v>4.8585467913803979E-11</v>
      </c>
      <c r="I20" s="123">
        <v>1.1222240000000001</v>
      </c>
    </row>
    <row r="21" spans="1:13" x14ac:dyDescent="0.35">
      <c r="A21" s="3">
        <v>1200</v>
      </c>
      <c r="B21" s="4">
        <v>2210469.6338691753</v>
      </c>
      <c r="C21" s="4">
        <v>2583567.1116527999</v>
      </c>
      <c r="D21" s="120">
        <v>277575746.8887803</v>
      </c>
      <c r="E21" s="122">
        <f>H21*EXP(-$I$7*1000/($A$2*A21))</f>
        <v>2.2456470190460195E-12</v>
      </c>
      <c r="F21" s="132">
        <f t="shared" si="0"/>
        <v>3.6340468294343527E-14</v>
      </c>
      <c r="G21" s="137">
        <f t="shared" si="1"/>
        <v>3.1183737524760031E-12</v>
      </c>
      <c r="H21" s="133">
        <f>0.000000000000966*POWER((A21/298),3)</f>
        <v>6.3077151431294744E-11</v>
      </c>
      <c r="I21" s="123">
        <v>1.10361</v>
      </c>
    </row>
    <row r="22" spans="1:13" x14ac:dyDescent="0.35">
      <c r="A22" s="3">
        <v>1300</v>
      </c>
      <c r="B22" s="4">
        <v>9110117.0639377795</v>
      </c>
      <c r="C22" s="4">
        <v>3155912.9323251243</v>
      </c>
      <c r="D22" s="120">
        <v>1399887842.882756</v>
      </c>
      <c r="E22" s="122">
        <f>H22*EXP(-$I$7*1000/($A$2*A22))</f>
        <v>3.6902283491990832E-12</v>
      </c>
      <c r="F22" s="132">
        <f t="shared" si="0"/>
        <v>6.3734173128453247E-14</v>
      </c>
      <c r="G22" s="137">
        <f t="shared" si="1"/>
        <v>3.8830799946131669E-12</v>
      </c>
      <c r="H22" s="133">
        <f>0.000000000000966*POWER((A22/298),3)</f>
        <v>8.0197049591756106E-11</v>
      </c>
      <c r="I22" s="123">
        <v>1.0892109999999999</v>
      </c>
    </row>
    <row r="23" spans="1:13" x14ac:dyDescent="0.35">
      <c r="A23" s="3">
        <v>1400</v>
      </c>
      <c r="B23" s="4">
        <v>32344312.460540276</v>
      </c>
      <c r="C23" s="4">
        <v>3798277.7678252826</v>
      </c>
      <c r="D23" s="120">
        <v>6016291795.7989969</v>
      </c>
      <c r="E23" s="122">
        <f>H23*EXP(-$I$7*1000/($A$2*A23))</f>
        <v>5.7426824464086089E-12</v>
      </c>
      <c r="F23" s="132">
        <f t="shared" si="0"/>
        <v>1.04723557484736E-13</v>
      </c>
      <c r="G23" s="137">
        <f t="shared" si="1"/>
        <v>4.7573200523449849E-12</v>
      </c>
      <c r="H23" s="133">
        <f>0.000000000000966*POWER((A23/298),3)</f>
        <v>1.0016418028210227E-10</v>
      </c>
      <c r="I23" s="123">
        <v>1.077817</v>
      </c>
    </row>
    <row r="24" spans="1:13" x14ac:dyDescent="0.35">
      <c r="A24" s="3">
        <v>1500</v>
      </c>
      <c r="B24" s="4">
        <v>101711465.26230919</v>
      </c>
      <c r="C24" s="4">
        <v>4513306.0047565643</v>
      </c>
      <c r="D24" s="120">
        <v>22674896922.998348</v>
      </c>
      <c r="E24" s="122">
        <f>H24*EXP(-$I$7*1000/($A$2*A24))</f>
        <v>8.5462904377214907E-12</v>
      </c>
      <c r="F24" s="132">
        <f t="shared" si="0"/>
        <v>1.6316668284133043E-13</v>
      </c>
      <c r="G24" s="137">
        <f t="shared" si="1"/>
        <v>5.7472700223954284E-12</v>
      </c>
      <c r="H24" s="133">
        <f>0.000000000000966*POWER((A24/298),3)</f>
        <v>1.231975613892475E-10</v>
      </c>
      <c r="I24" s="123">
        <v>1.068627</v>
      </c>
    </row>
    <row r="25" spans="1:13" x14ac:dyDescent="0.35">
      <c r="A25" s="3">
        <v>1600</v>
      </c>
      <c r="B25" s="4">
        <v>289289548.44649947</v>
      </c>
      <c r="C25" s="4">
        <v>5303549.0395811573</v>
      </c>
      <c r="D25" s="120">
        <v>76594258475.002014</v>
      </c>
      <c r="E25" s="122">
        <f>H25*EXP(-$I$7*1000/($A$2*A25))</f>
        <v>1.2254351902215989E-11</v>
      </c>
      <c r="F25" s="132">
        <f t="shared" si="0"/>
        <v>2.4328037102634012E-13</v>
      </c>
      <c r="G25" s="137">
        <f t="shared" si="1"/>
        <v>6.8589921310310393E-12</v>
      </c>
      <c r="H25" s="133">
        <f>0.000000000000966*POWER((A25/298),3)</f>
        <v>1.4951621080010605E-10</v>
      </c>
      <c r="I25" s="123">
        <v>1.061094</v>
      </c>
    </row>
    <row r="26" spans="1:13" x14ac:dyDescent="0.35">
      <c r="A26" s="3">
        <v>1700</v>
      </c>
      <c r="B26" s="4">
        <v>756277378.55116487</v>
      </c>
      <c r="C26" s="4">
        <v>6171474.4556266693</v>
      </c>
      <c r="D26" s="120">
        <v>235832881118.21393</v>
      </c>
      <c r="E26" s="122">
        <f>H26*EXP(-$I$7*1000/($A$2*A26))</f>
        <v>1.7028756077237881E-11</v>
      </c>
      <c r="F26" s="132">
        <f t="shared" si="0"/>
        <v>3.4958395631241838E-13</v>
      </c>
      <c r="G26" s="137">
        <f t="shared" si="1"/>
        <v>8.0984442477044171E-12</v>
      </c>
      <c r="H26" s="133">
        <f>0.000000000000966*POWER((A26/298),3)</f>
        <v>1.7933914640159201E-10</v>
      </c>
      <c r="I26" s="123">
        <v>1.0548329999999999</v>
      </c>
    </row>
    <row r="27" spans="1:13" x14ac:dyDescent="0.35">
      <c r="A27" s="3">
        <v>1800</v>
      </c>
      <c r="B27" s="4">
        <v>1840318838.7006774</v>
      </c>
      <c r="C27" s="4">
        <v>7119473.7822586382</v>
      </c>
      <c r="D27" s="120">
        <v>670724999520.63464</v>
      </c>
      <c r="E27" s="122">
        <f>H27*EXP(-$I$7*1000/($A$2*A27))</f>
        <v>2.3038743869059914E-11</v>
      </c>
      <c r="F27" s="132">
        <f t="shared" si="0"/>
        <v>4.8684769506600222E-13</v>
      </c>
      <c r="G27" s="137">
        <f t="shared" si="1"/>
        <v>9.4714880600599672E-12</v>
      </c>
      <c r="H27" s="133">
        <f>0.000000000000966*POWER((A27/298),3)</f>
        <v>2.128853860806197E-10</v>
      </c>
      <c r="I27" s="123">
        <v>1.049566</v>
      </c>
    </row>
    <row r="28" spans="1:13" x14ac:dyDescent="0.35">
      <c r="A28" s="3">
        <v>1900</v>
      </c>
      <c r="B28" s="4">
        <v>4210442428.0286798</v>
      </c>
      <c r="C28" s="4">
        <v>8149869.1253304556</v>
      </c>
      <c r="D28" s="120">
        <v>1780915060906.2229</v>
      </c>
      <c r="E28" s="122">
        <f>H28*EXP(-$I$7*1000/($A$2*A28))</f>
        <v>3.0459847065130081E-11</v>
      </c>
      <c r="F28" s="132">
        <f t="shared" si="0"/>
        <v>6.600468261063277E-13</v>
      </c>
      <c r="G28" s="137">
        <f t="shared" si="1"/>
        <v>1.0983896166351327E-11</v>
      </c>
      <c r="H28" s="133">
        <f>0.000000000000966*POWER((A28/298),3)</f>
        <v>2.5037394772410338E-10</v>
      </c>
      <c r="I28" s="123">
        <v>1.0450870000000001</v>
      </c>
    </row>
    <row r="29" spans="1:13" ht="15" thickBot="1" x14ac:dyDescent="0.4">
      <c r="A29" s="5">
        <v>2000</v>
      </c>
      <c r="B29" s="6">
        <v>9130686730.2751408</v>
      </c>
      <c r="C29" s="6">
        <v>9264918.8863336649</v>
      </c>
      <c r="D29" s="121">
        <v>4453071240039.7969</v>
      </c>
      <c r="E29" s="122">
        <f>H29*EXP(-$I$7*1000/($A$2*A29))</f>
        <v>3.9472985360345949E-11</v>
      </c>
      <c r="F29" s="132">
        <f t="shared" si="0"/>
        <v>8.7432148814391195E-13</v>
      </c>
      <c r="G29" s="138">
        <f t="shared" si="1"/>
        <v>1.264135828080929E-11</v>
      </c>
      <c r="H29" s="134">
        <f>0.000000000000966*POWER((A29/298),3)</f>
        <v>2.9202384921895712E-10</v>
      </c>
      <c r="I29" s="11">
        <v>1.0412440000000001</v>
      </c>
    </row>
    <row r="31" spans="1:13" ht="87.5" thickBot="1" x14ac:dyDescent="0.4">
      <c r="M31" s="141" t="s">
        <v>95</v>
      </c>
    </row>
    <row r="32" spans="1:13" ht="19" thickBot="1" x14ac:dyDescent="0.5">
      <c r="A32" s="89" t="s">
        <v>64</v>
      </c>
      <c r="B32" s="90" t="s">
        <v>65</v>
      </c>
    </row>
    <row r="33" spans="1:2" ht="18.5" x14ac:dyDescent="0.45">
      <c r="A33" s="87">
        <v>1.1299999999999999</v>
      </c>
      <c r="B33" s="88">
        <v>-41.026856899800002</v>
      </c>
    </row>
    <row r="34" spans="1:2" ht="18.5" x14ac:dyDescent="0.45">
      <c r="A34" s="83">
        <v>1.2</v>
      </c>
      <c r="B34" s="84">
        <v>-41.021173940600001</v>
      </c>
    </row>
    <row r="35" spans="1:2" ht="18.5" x14ac:dyDescent="0.45">
      <c r="A35" s="83">
        <v>1.3</v>
      </c>
      <c r="B35" s="125">
        <v>-41.013199601799997</v>
      </c>
    </row>
    <row r="36" spans="1:2" ht="18.5" x14ac:dyDescent="0.45">
      <c r="A36" s="83">
        <v>1.5</v>
      </c>
      <c r="B36" s="84">
        <v>-41.012461177600002</v>
      </c>
    </row>
    <row r="37" spans="1:2" ht="19" thickBot="1" x14ac:dyDescent="0.5">
      <c r="A37" s="85">
        <v>2</v>
      </c>
      <c r="B37" s="86">
        <v>-41.021546732600001</v>
      </c>
    </row>
    <row r="51" spans="1:9" ht="26" x14ac:dyDescent="0.6">
      <c r="A51" s="82" t="s">
        <v>62</v>
      </c>
      <c r="I51" s="82" t="s">
        <v>63</v>
      </c>
    </row>
    <row r="67" spans="1:10" ht="15" thickBot="1" x14ac:dyDescent="0.4"/>
    <row r="68" spans="1:10" ht="44" thickBot="1" x14ac:dyDescent="0.4">
      <c r="F68" s="126" t="s">
        <v>81</v>
      </c>
      <c r="G68" s="127" t="s">
        <v>83</v>
      </c>
    </row>
    <row r="70" spans="1:10" x14ac:dyDescent="0.35">
      <c r="F70" s="9" t="s">
        <v>96</v>
      </c>
    </row>
    <row r="77" spans="1:10" ht="72.5" x14ac:dyDescent="0.35">
      <c r="I77" s="124" t="s">
        <v>73</v>
      </c>
      <c r="J77" s="45" t="s">
        <v>74</v>
      </c>
    </row>
    <row r="79" spans="1:10" ht="15" thickBot="1" x14ac:dyDescent="0.4">
      <c r="A79" s="9" t="s">
        <v>77</v>
      </c>
    </row>
    <row r="80" spans="1:10" ht="15" thickBot="1" x14ac:dyDescent="0.4">
      <c r="A80" s="129" t="s">
        <v>2</v>
      </c>
      <c r="B80" s="129" t="s">
        <v>76</v>
      </c>
      <c r="C80" s="129" t="s">
        <v>1</v>
      </c>
      <c r="D80" s="129" t="s">
        <v>78</v>
      </c>
      <c r="E80" s="129" t="s">
        <v>80</v>
      </c>
      <c r="F80" s="130" t="s">
        <v>79</v>
      </c>
    </row>
    <row r="81" spans="1:6" x14ac:dyDescent="0.35">
      <c r="A81" s="102">
        <v>298.14999999999998</v>
      </c>
      <c r="B81" s="150">
        <v>9.4457487044347829E-13</v>
      </c>
      <c r="C81" s="150">
        <v>79497.535716311773</v>
      </c>
      <c r="D81" s="151">
        <f>B81*C81</f>
        <v>7.5091374499810982E-8</v>
      </c>
      <c r="E81" s="106">
        <f t="shared" ref="E81:E98" si="2">D12/D81</f>
        <v>1.2887690100048637E-4</v>
      </c>
      <c r="F81" s="106">
        <f>($B$2*A81/$C$2)*E81</f>
        <v>800639923.97387576</v>
      </c>
    </row>
    <row r="82" spans="1:6" x14ac:dyDescent="0.35">
      <c r="A82" s="3">
        <v>400</v>
      </c>
      <c r="B82" s="4">
        <v>5.5035455714338104E-7</v>
      </c>
      <c r="C82" s="4">
        <v>165735.90748691262</v>
      </c>
      <c r="D82" s="148">
        <f t="shared" ref="D82:D98" si="3">B82*C82</f>
        <v>9.1213511967716168E-2</v>
      </c>
      <c r="E82" s="107">
        <f t="shared" si="2"/>
        <v>9.0028651831687584E-5</v>
      </c>
      <c r="F82" s="152">
        <f t="shared" ref="F82:F98" si="4">($B$2*A82/$C$2)*E82</f>
        <v>750357248.76943564</v>
      </c>
    </row>
    <row r="83" spans="1:6" x14ac:dyDescent="0.35">
      <c r="A83" s="3">
        <v>500</v>
      </c>
      <c r="B83" s="4">
        <v>1.667841628467739E-3</v>
      </c>
      <c r="C83" s="4">
        <v>289528.71519792947</v>
      </c>
      <c r="D83" s="148">
        <f t="shared" si="3"/>
        <v>482.88804384388692</v>
      </c>
      <c r="E83" s="107">
        <f t="shared" si="2"/>
        <v>7.1586783833703092E-5</v>
      </c>
      <c r="F83" s="152">
        <f t="shared" si="4"/>
        <v>745813430.95825601</v>
      </c>
    </row>
    <row r="84" spans="1:6" x14ac:dyDescent="0.35">
      <c r="A84" s="3">
        <v>600</v>
      </c>
      <c r="B84" s="4">
        <v>0.41939102566724634</v>
      </c>
      <c r="C84" s="4">
        <v>456714.45607505803</v>
      </c>
      <c r="D84" s="148">
        <f t="shared" si="3"/>
        <v>191541.9441703771</v>
      </c>
      <c r="E84" s="107">
        <f t="shared" si="2"/>
        <v>6.1641949658906704E-5</v>
      </c>
      <c r="F84" s="152">
        <f t="shared" si="4"/>
        <v>770646057.90133595</v>
      </c>
    </row>
    <row r="85" spans="1:6" x14ac:dyDescent="0.35">
      <c r="A85" s="3">
        <v>700</v>
      </c>
      <c r="B85" s="4">
        <v>25.177830088094307</v>
      </c>
      <c r="C85" s="4">
        <v>671446.99161483813</v>
      </c>
      <c r="D85" s="148">
        <f t="shared" si="3"/>
        <v>16905578.268040478</v>
      </c>
      <c r="E85" s="107">
        <f t="shared" si="2"/>
        <v>5.5923710933331424E-5</v>
      </c>
      <c r="F85" s="152">
        <f t="shared" si="4"/>
        <v>815682916.38849783</v>
      </c>
    </row>
    <row r="86" spans="1:6" x14ac:dyDescent="0.35">
      <c r="A86" s="3">
        <v>800</v>
      </c>
      <c r="B86" s="4">
        <v>613.33052729509018</v>
      </c>
      <c r="C86" s="4">
        <v>937543.87256082019</v>
      </c>
      <c r="D86" s="148">
        <f t="shared" si="3"/>
        <v>575024277.72000873</v>
      </c>
      <c r="E86" s="107">
        <f t="shared" si="2"/>
        <v>5.2529427428484091E-5</v>
      </c>
      <c r="F86" s="152">
        <f t="shared" si="4"/>
        <v>875628721.36218691</v>
      </c>
    </row>
    <row r="87" spans="1:6" x14ac:dyDescent="0.35">
      <c r="A87" s="3">
        <v>900</v>
      </c>
      <c r="B87" s="4">
        <v>8146.8336679981694</v>
      </c>
      <c r="C87" s="4">
        <v>1258557.0474787266</v>
      </c>
      <c r="D87" s="148">
        <f t="shared" si="3"/>
        <v>10253254927.496061</v>
      </c>
      <c r="E87" s="107">
        <f t="shared" si="2"/>
        <v>5.0514465863651778E-5</v>
      </c>
      <c r="F87" s="152">
        <f t="shared" si="4"/>
        <v>947295815.59860659</v>
      </c>
    </row>
    <row r="88" spans="1:6" x14ac:dyDescent="0.35">
      <c r="A88" s="3">
        <v>1000</v>
      </c>
      <c r="B88" s="4">
        <v>70486.434632813471</v>
      </c>
      <c r="C88" s="4">
        <v>1637821.7429174811</v>
      </c>
      <c r="D88" s="148">
        <f t="shared" si="3"/>
        <v>115444215222.35367</v>
      </c>
      <c r="E88" s="107">
        <f t="shared" si="2"/>
        <v>4.9367338669690623E-5</v>
      </c>
      <c r="F88" s="152">
        <f t="shared" si="4"/>
        <v>1028648648.7799395</v>
      </c>
    </row>
    <row r="89" spans="1:6" x14ac:dyDescent="0.35">
      <c r="A89" s="3">
        <v>1100</v>
      </c>
      <c r="B89" s="4">
        <v>444935.84343085141</v>
      </c>
      <c r="C89" s="4">
        <v>2078491.9421937331</v>
      </c>
      <c r="D89" s="148">
        <f t="shared" si="3"/>
        <v>924795565364.19702</v>
      </c>
      <c r="E89" s="107">
        <f t="shared" si="2"/>
        <v>4.8791335861174824E-5</v>
      </c>
      <c r="F89" s="152">
        <f t="shared" si="4"/>
        <v>1118311364.6399088</v>
      </c>
    </row>
    <row r="90" spans="1:6" x14ac:dyDescent="0.35">
      <c r="A90" s="3">
        <v>1200</v>
      </c>
      <c r="B90" s="4">
        <v>2210469.6338691753</v>
      </c>
      <c r="C90" s="4">
        <v>2583567.1116527999</v>
      </c>
      <c r="D90" s="148">
        <f t="shared" si="3"/>
        <v>5710896647371.6074</v>
      </c>
      <c r="E90" s="107">
        <f t="shared" si="2"/>
        <v>4.8604582437423768E-5</v>
      </c>
      <c r="F90" s="152">
        <f t="shared" si="4"/>
        <v>1215306461.220243</v>
      </c>
    </row>
    <row r="91" spans="1:6" x14ac:dyDescent="0.35">
      <c r="A91" s="3">
        <v>1300</v>
      </c>
      <c r="B91" s="4">
        <v>9110117.0639377795</v>
      </c>
      <c r="C91" s="4">
        <v>3155912.9323251243</v>
      </c>
      <c r="D91" s="148">
        <f t="shared" si="3"/>
        <v>28750736257077.031</v>
      </c>
      <c r="E91" s="107">
        <f t="shared" si="2"/>
        <v>4.8690504144504188E-5</v>
      </c>
      <c r="F91" s="152">
        <f t="shared" si="4"/>
        <v>1318909413.393821</v>
      </c>
    </row>
    <row r="92" spans="1:6" x14ac:dyDescent="0.35">
      <c r="A92" s="3">
        <v>1400</v>
      </c>
      <c r="B92" s="4">
        <v>32344312.460540276</v>
      </c>
      <c r="C92" s="4">
        <v>3798277.7678252826</v>
      </c>
      <c r="D92" s="148">
        <f t="shared" si="3"/>
        <v>122852682934464.39</v>
      </c>
      <c r="E92" s="107">
        <f t="shared" si="2"/>
        <v>4.8971594694503985E-5</v>
      </c>
      <c r="F92" s="152">
        <f t="shared" si="4"/>
        <v>1428563752.7963283</v>
      </c>
    </row>
    <row r="93" spans="1:6" x14ac:dyDescent="0.35">
      <c r="A93" s="3">
        <v>1500</v>
      </c>
      <c r="B93" s="4">
        <v>101711465.26230919</v>
      </c>
      <c r="C93" s="4">
        <v>4513306.0047565643</v>
      </c>
      <c r="D93" s="148">
        <f t="shared" si="3"/>
        <v>459054966920968.75</v>
      </c>
      <c r="E93" s="107">
        <f t="shared" si="2"/>
        <v>4.9394731692124521E-5</v>
      </c>
      <c r="F93" s="152">
        <f t="shared" si="4"/>
        <v>1543829140.3121519</v>
      </c>
    </row>
    <row r="94" spans="1:6" x14ac:dyDescent="0.35">
      <c r="A94" s="3">
        <v>1600</v>
      </c>
      <c r="B94" s="4">
        <v>289289548.44649947</v>
      </c>
      <c r="C94" s="4">
        <v>5303549.0395811573</v>
      </c>
      <c r="D94" s="148">
        <f t="shared" si="3"/>
        <v>1534261306824299</v>
      </c>
      <c r="E94" s="107">
        <f t="shared" si="2"/>
        <v>4.9922564125364769E-5</v>
      </c>
      <c r="F94" s="152">
        <f t="shared" si="4"/>
        <v>1664348276.0869086</v>
      </c>
    </row>
    <row r="95" spans="1:6" x14ac:dyDescent="0.35">
      <c r="A95" s="3">
        <v>1700</v>
      </c>
      <c r="B95" s="4">
        <v>756277378.55116487</v>
      </c>
      <c r="C95" s="4">
        <v>6171474.4556266693</v>
      </c>
      <c r="D95" s="148">
        <f t="shared" si="3"/>
        <v>4667346523096815</v>
      </c>
      <c r="E95" s="107">
        <f t="shared" si="2"/>
        <v>5.0528256248207015E-5</v>
      </c>
      <c r="F95" s="152">
        <f t="shared" si="4"/>
        <v>1789825027.16154</v>
      </c>
    </row>
    <row r="96" spans="1:6" x14ac:dyDescent="0.35">
      <c r="A96" s="3">
        <v>1800</v>
      </c>
      <c r="B96" s="4">
        <v>1840318838.7006776</v>
      </c>
      <c r="C96" s="4">
        <v>7119473.7822586382</v>
      </c>
      <c r="D96" s="148">
        <f t="shared" si="3"/>
        <v>1.3102101723126138E+16</v>
      </c>
      <c r="E96" s="107">
        <f t="shared" si="2"/>
        <v>5.1192168531004263E-5</v>
      </c>
      <c r="F96" s="152">
        <f t="shared" si="4"/>
        <v>1920009494.7745838</v>
      </c>
    </row>
    <row r="97" spans="1:6" x14ac:dyDescent="0.35">
      <c r="A97" s="3">
        <v>1900</v>
      </c>
      <c r="B97" s="4">
        <v>4210442428.0286794</v>
      </c>
      <c r="C97" s="4">
        <v>8149869.1253304556</v>
      </c>
      <c r="D97" s="148">
        <f t="shared" si="3"/>
        <v>3.4314554748172332E+16</v>
      </c>
      <c r="E97" s="107">
        <f t="shared" si="2"/>
        <v>5.1899698946292701E-5</v>
      </c>
      <c r="F97" s="152">
        <f t="shared" si="4"/>
        <v>2054687524.1896851</v>
      </c>
    </row>
    <row r="98" spans="1:6" ht="15" thickBot="1" x14ac:dyDescent="0.4">
      <c r="A98" s="5">
        <v>2000</v>
      </c>
      <c r="B98" s="6">
        <v>9130686730.2751408</v>
      </c>
      <c r="C98" s="6">
        <v>9264918.8863336649</v>
      </c>
      <c r="D98" s="149">
        <f t="shared" si="3"/>
        <v>8.4595071932522336E+16</v>
      </c>
      <c r="E98" s="108">
        <f t="shared" si="2"/>
        <v>5.2639842230902176E-5</v>
      </c>
      <c r="F98" s="153">
        <f t="shared" si="4"/>
        <v>2193673146.7378511</v>
      </c>
    </row>
  </sheetData>
  <phoneticPr fontId="3" type="noConversion"/>
  <hyperlinks>
    <hyperlink ref="A9" r:id="rId1" display="https://kinetics.nist.gov/kinetics/Detail?id=1984WAR197C:14" xr:uid="{59449029-F910-40E9-98C4-DE56E6D9FCDD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F9EB-EB74-417C-AF3E-0E6AA10B19C5}">
  <dimension ref="A1:O53"/>
  <sheetViews>
    <sheetView topLeftCell="A4" workbookViewId="0">
      <selection activeCell="B15" sqref="B15"/>
    </sheetView>
  </sheetViews>
  <sheetFormatPr defaultColWidth="9.1796875" defaultRowHeight="14.5" x14ac:dyDescent="0.35"/>
  <cols>
    <col min="1" max="1" width="14.7265625" style="9" bestFit="1" customWidth="1"/>
    <col min="2" max="2" width="13.54296875" style="9" bestFit="1" customWidth="1"/>
    <col min="3" max="3" width="14.1796875" style="9" bestFit="1" customWidth="1"/>
    <col min="4" max="5" width="13.54296875" style="9" bestFit="1" customWidth="1"/>
    <col min="6" max="7" width="24.81640625" style="9" bestFit="1" customWidth="1"/>
    <col min="8" max="8" width="24.7265625" style="9" bestFit="1" customWidth="1"/>
    <col min="9" max="10" width="13.54296875" style="9" bestFit="1" customWidth="1"/>
    <col min="11" max="13" width="14.54296875" style="9" bestFit="1" customWidth="1"/>
    <col min="14" max="14" width="10.26953125" style="9" customWidth="1"/>
    <col min="15" max="16384" width="9.1796875" style="9"/>
  </cols>
  <sheetData>
    <row r="1" spans="1:15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15" x14ac:dyDescent="0.35">
      <c r="A2" s="9">
        <f>PI()</f>
        <v>3.1415926535897931</v>
      </c>
      <c r="B2" s="22">
        <f>1.66E-27*Tabella33317[[#This Row],[Massa '[g/mol']]]</f>
        <v>2.9937054199999994E-26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18.034369999999999</v>
      </c>
      <c r="H2" s="9">
        <v>5</v>
      </c>
    </row>
    <row r="5" spans="1:15" x14ac:dyDescent="0.35">
      <c r="A5" s="8"/>
    </row>
    <row r="6" spans="1:15" ht="15" thickBot="1" x14ac:dyDescent="0.4">
      <c r="A6" s="8"/>
      <c r="F6" s="24" t="s">
        <v>24</v>
      </c>
      <c r="G6" s="24" t="s">
        <v>25</v>
      </c>
      <c r="H6" s="24" t="s">
        <v>26</v>
      </c>
    </row>
    <row r="7" spans="1:15" ht="15" thickBot="1" x14ac:dyDescent="0.4">
      <c r="A7" s="22"/>
      <c r="F7" s="25">
        <v>11.69031</v>
      </c>
      <c r="G7" s="14">
        <v>3.5428700000000002</v>
      </c>
      <c r="H7" s="15">
        <v>3.2853400000000001</v>
      </c>
    </row>
    <row r="8" spans="1:15" x14ac:dyDescent="0.35">
      <c r="A8" s="9" t="s">
        <v>23</v>
      </c>
      <c r="B8" s="9" t="s">
        <v>27</v>
      </c>
      <c r="C8" s="9" t="s">
        <v>28</v>
      </c>
      <c r="G8" s="22"/>
      <c r="H8" s="22"/>
      <c r="I8" s="22"/>
    </row>
    <row r="9" spans="1:15" x14ac:dyDescent="0.35">
      <c r="A9" s="9">
        <v>1</v>
      </c>
      <c r="B9" s="9">
        <v>2</v>
      </c>
      <c r="C9" s="9">
        <v>0</v>
      </c>
      <c r="G9" s="22"/>
    </row>
    <row r="10" spans="1:15" x14ac:dyDescent="0.3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</row>
    <row r="11" spans="1:15" ht="15" thickBot="1" x14ac:dyDescent="0.4">
      <c r="B11" s="81">
        <v>-1002.6978</v>
      </c>
      <c r="C11" s="16">
        <v>680.34659999999997</v>
      </c>
      <c r="D11" s="16">
        <v>702.22500000000002</v>
      </c>
      <c r="E11" s="16">
        <v>1097.5346999999999</v>
      </c>
      <c r="F11" s="16">
        <v>1218.0272</v>
      </c>
      <c r="G11" s="16">
        <v>1565.2659000000001</v>
      </c>
      <c r="H11" s="16">
        <v>2198.9353999999998</v>
      </c>
      <c r="I11" s="16">
        <v>3337.3471</v>
      </c>
      <c r="J11" s="17">
        <v>3427.0091000000002</v>
      </c>
    </row>
    <row r="12" spans="1:15" x14ac:dyDescent="0.3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</row>
    <row r="13" spans="1:15" ht="15" thickBot="1" x14ac:dyDescent="0.4">
      <c r="B13" s="9" cm="1">
        <f t="array" ref="B13">Tabella9314721[Frequenza1]*29979300000</f>
        <v>-30060178155540</v>
      </c>
      <c r="C13" s="9" cm="1">
        <f t="array" ref="C13">Tabella9314721[Frequenza2]*29979300000</f>
        <v>20396314825380</v>
      </c>
      <c r="D13" s="9" cm="1">
        <f t="array" ref="D13">Tabella9314721[Frequenza3]*29979300000</f>
        <v>21052213942500</v>
      </c>
      <c r="E13" s="9" cm="1">
        <f t="array" ref="E13">Tabella9314721[Frequenza4]*29979300000</f>
        <v>32903322031709.996</v>
      </c>
      <c r="F13" s="9" cm="1">
        <f t="array" ref="F13">Tabella9314721[Frequenza5]*29979300000</f>
        <v>36515602836960</v>
      </c>
      <c r="G13" s="9" cm="1">
        <f t="array" ref="G13">Tabella9314721[Frequenza6]*29979300000</f>
        <v>46925575995870</v>
      </c>
      <c r="H13" s="9" cm="1">
        <f t="array" ref="H13">Tabella9314721[Frequenza7]*29979300000</f>
        <v>65922544037219.992</v>
      </c>
      <c r="I13" s="9" cm="1">
        <f t="array" ref="I13">Tabella9314721[Frequenza8]*29979300000</f>
        <v>100051329915030</v>
      </c>
      <c r="J13" s="9" cm="1">
        <f t="array" ref="J13">Tabella9314721[Frequenza9]*29979300000</f>
        <v>102739333911630</v>
      </c>
    </row>
    <row r="14" spans="1:15" x14ac:dyDescent="0.35">
      <c r="A14" s="31" t="s">
        <v>38</v>
      </c>
      <c r="B14" s="32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32" t="s">
        <v>46</v>
      </c>
      <c r="J14" s="32" t="s">
        <v>47</v>
      </c>
      <c r="K14" s="33" t="s">
        <v>48</v>
      </c>
    </row>
    <row r="15" spans="1:15" x14ac:dyDescent="0.35">
      <c r="A15" s="34">
        <v>298.14999999999998</v>
      </c>
      <c r="B15" s="22" cm="1">
        <f t="array" ref="B15">EXP(-(Tabella33317[Planck h]*Tabella93820[Frequenza1])/(Tabella33317[Boltzmann k]*2*Tabella83719[[#This Row],[Temperatura]]))/(1-EXP(-(Tabella33317[Planck h]*Tabella93820[Frequenza1])/(Tabella33317[Boltzmann k]*Tabella83719[[#This Row],[Temperatura]])))</f>
        <v>-8.9689184813547859E-2</v>
      </c>
      <c r="C15" s="22" cm="1">
        <f t="array" ref="C15">EXP(-(Tabella33317[Planck h]*Tabella93820[Frequenza2])/(Tabella33317[Boltzmann k]*2*Tabella83719[[#This Row],[Temperatura]]))/(1-EXP(-(Tabella33317[Planck h]*Tabella93820[Frequenza2])/(Tabella33317[Boltzmann k]*Tabella83719[[#This Row],[Temperatura]])))</f>
        <v>0.20122357138008423</v>
      </c>
      <c r="D15" s="22" cm="1">
        <f t="array" ref="D15">EXP(-(Tabella33317[Planck h]*Tabella93820[Frequenza3])/(Tabella33317[Boltzmann k]*2*Tabella83719[[#This Row],[Temperatura]]))/(1-EXP(-(Tabella33317[Planck h]*Tabella93820[Frequenza3])/(Tabella33317[Boltzmann k]*Tabella83719[[#This Row],[Temperatura]])))</f>
        <v>0.19013420451554414</v>
      </c>
      <c r="E15" s="22" cm="1">
        <f t="array" ref="E15">EXP(-(Tabella33317[Planck h]*Tabella93820[Frequenza4])/(Tabella33317[Boltzmann k]*2*Tabella83719[[#This Row],[Temperatura]]))/(1-EXP(-(Tabella33317[Planck h]*Tabella93820[Frequenza4])/(Tabella33317[Boltzmann k]*Tabella83719[[#This Row],[Temperatura]])))</f>
        <v>7.1136252942518699E-2</v>
      </c>
      <c r="F15" s="22" cm="1">
        <f t="array" ref="F15">EXP(-(Tabella33317[Planck h]*Tabella93820[Frequenza5])/(Tabella33317[Boltzmann k]*2*Tabella83719[[#This Row],[Temperatura]]))/(1-EXP(-(Tabella33317[Planck h]*Tabella93820[Frequenza5])/(Tabella33317[Boltzmann k]*Tabella83719[[#This Row],[Temperatura]])))</f>
        <v>5.3072019974171492E-2</v>
      </c>
      <c r="G15" s="22" cm="1">
        <f t="array" ref="G15">EXP(-(Tabella33317[Planck h]*Tabella93820[Frequenza6])/(Tabella33317[Boltzmann k]*2*Tabella83719[[#This Row],[Temperatura]]))/(1-EXP(-(Tabella33317[Planck h]*Tabella93820[Frequenza6])/(Tabella33317[Boltzmann k]*Tabella83719[[#This Row],[Temperatura]])))</f>
        <v>2.2909151823893529E-2</v>
      </c>
      <c r="H15" s="22" cm="1">
        <f t="array" ref="H15">EXP(-(Tabella33317[Planck h]*Tabella93820[Frequenza7])/(Tabella33317[Boltzmann k]*2*Tabella83719[[#This Row],[Temperatura]]))/(1-EXP(-(Tabella33317[Planck h]*Tabella93820[Frequenza7])/(Tabella33317[Boltzmann k]*Tabella83719[[#This Row],[Temperatura]])))</f>
        <v>4.9633986711782865E-3</v>
      </c>
      <c r="I15" s="22" cm="1">
        <f t="array" ref="I15">EXP(-(Tabella33317[Planck h]*Tabella93820[Frequenza8])/(Tabella33317[Boltzmann k]*2*Tabella83719[[#This Row],[Temperatura]]))/(1-EXP(-(Tabella33317[Planck h]*Tabella93820[Frequenza8])/(Tabella33317[Boltzmann k]*Tabella83719[[#This Row],[Temperatura]])))</f>
        <v>3.1830532254897007E-4</v>
      </c>
      <c r="J15" s="22" cm="1">
        <f t="array" ref="J15">EXP(-(Tabella33317[Planck h]*Tabella93820[Frequenza9])/(Tabella33317[Boltzmann k]*2*Tabella83719[[#This Row],[Temperatura]]))/(1-EXP(-(Tabella33317[Planck h]*Tabella93820[Frequenza9])/(Tabella33317[Boltzmann k]*Tabella83719[[#This Row],[Temperatura]])))</f>
        <v>2.5638252219949376E-4</v>
      </c>
      <c r="K15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1.2021433857767818E-16</v>
      </c>
      <c r="O15" s="22"/>
    </row>
    <row r="16" spans="1:15" x14ac:dyDescent="0.35">
      <c r="A16" s="34">
        <v>400</v>
      </c>
      <c r="B16" s="22" cm="1">
        <f t="array" ref="B16">EXP(-(Tabella33317[Planck h]*Tabella93820[Frequenza1])/(Tabella33317[Boltzmann k]*2*Tabella83719[[#This Row],[Temperatura]]))/(1-EXP(-(Tabella33317[Planck h]*Tabella93820[Frequenza1])/(Tabella33317[Boltzmann k]*Tabella83719[[#This Row],[Temperatura]])))</f>
        <v>-0.16934653570679706</v>
      </c>
      <c r="C16" s="22" cm="1">
        <f t="array" ref="C16">EXP(-(Tabella33317[Planck h]*Tabella93820[Frequenza2])/(Tabella33317[Boltzmann k]*2*Tabella83719[[#This Row],[Temperatura]]))/(1-EXP(-(Tabella33317[Planck h]*Tabella93820[Frequenza2])/(Tabella33317[Boltzmann k]*Tabella83719[[#This Row],[Temperatura]])))</f>
        <v>0.32204238368039528</v>
      </c>
      <c r="D16" s="22" cm="1">
        <f t="array" ref="D16">EXP(-(Tabella33317[Planck h]*Tabella93820[Frequenza3])/(Tabella33317[Boltzmann k]*2*Tabella83719[[#This Row],[Temperatura]]))/(1-EXP(-(Tabella33317[Planck h]*Tabella93820[Frequenza3])/(Tabella33317[Boltzmann k]*Tabella83719[[#This Row],[Temperatura]])))</f>
        <v>0.30741280733619591</v>
      </c>
      <c r="E16" s="22" cm="1">
        <f t="array" ref="E16">EXP(-(Tabella33317[Planck h]*Tabella93820[Frequenza4])/(Tabella33317[Boltzmann k]*2*Tabella83719[[#This Row],[Temperatura]]))/(1-EXP(-(Tabella33317[Planck h]*Tabella93820[Frequenza4])/(Tabella33317[Boltzmann k]*Tabella83719[[#This Row],[Temperatura]])))</f>
        <v>0.14164924631083686</v>
      </c>
      <c r="F16" s="22" cm="1">
        <f t="array" ref="F16">EXP(-(Tabella33317[Planck h]*Tabella93820[Frequenza5])/(Tabella33317[Boltzmann k]*2*Tabella83719[[#This Row],[Temperatura]]))/(1-EXP(-(Tabella33317[Planck h]*Tabella93820[Frequenza5])/(Tabella33317[Boltzmann k]*Tabella83719[[#This Row],[Temperatura]])))</f>
        <v>0.11326775871863992</v>
      </c>
      <c r="G16" s="22" cm="1">
        <f t="array" ref="G16">EXP(-(Tabella33317[Planck h]*Tabella93820[Frequenza6])/(Tabella33317[Boltzmann k]*2*Tabella83719[[#This Row],[Temperatura]]))/(1-EXP(-(Tabella33317[Planck h]*Tabella93820[Frequenza6])/(Tabella33317[Boltzmann k]*Tabella83719[[#This Row],[Temperatura]])))</f>
        <v>6.0115017266458591E-2</v>
      </c>
      <c r="H16" s="22" cm="1">
        <f t="array" ref="H16">EXP(-(Tabella33317[Planck h]*Tabella93820[Frequenza7])/(Tabella33317[Boltzmann k]*2*Tabella83719[[#This Row],[Temperatura]]))/(1-EXP(-(Tabella33317[Planck h]*Tabella93820[Frequenza7])/(Tabella33317[Boltzmann k]*Tabella83719[[#This Row],[Temperatura]])))</f>
        <v>1.9170919465639983E-2</v>
      </c>
      <c r="I16" s="22" cm="1">
        <f t="array" ref="I16">EXP(-(Tabella33317[Planck h]*Tabella93820[Frequenza8])/(Tabella33317[Boltzmann k]*2*Tabella83719[[#This Row],[Temperatura]]))/(1-EXP(-(Tabella33317[Planck h]*Tabella93820[Frequenza8])/(Tabella33317[Boltzmann k]*Tabella83719[[#This Row],[Temperatura]])))</f>
        <v>2.4734885070339307E-3</v>
      </c>
      <c r="J16" s="22" cm="1">
        <f t="array" ref="J16">EXP(-(Tabella33317[Planck h]*Tabella93820[Frequenza9])/(Tabella33317[Boltzmann k]*2*Tabella83719[[#This Row],[Temperatura]]))/(1-EXP(-(Tabella33317[Planck h]*Tabella93820[Frequenza9])/(Tabella33317[Boltzmann k]*Tabella83719[[#This Row],[Temperatura]])))</f>
        <v>2.1051212058587152E-3</v>
      </c>
      <c r="K16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1.6141533925174977E-12</v>
      </c>
    </row>
    <row r="17" spans="1:11" x14ac:dyDescent="0.35">
      <c r="A17" s="34">
        <v>500</v>
      </c>
      <c r="B17" s="22" cm="1">
        <f t="array" ref="B17">EXP(-(Tabella33317[Planck h]*Tabella93820[Frequenza1])/(Tabella33317[Boltzmann k]*2*Tabella83719[[#This Row],[Temperatura]]))/(1-EXP(-(Tabella33317[Planck h]*Tabella93820[Frequenza1])/(Tabella33317[Boltzmann k]*Tabella83719[[#This Row],[Temperatura]])))</f>
        <v>-0.25027263192178778</v>
      </c>
      <c r="C17" s="22" cm="1">
        <f t="array" ref="C17">EXP(-(Tabella33317[Planck h]*Tabella93820[Frequenza2])/(Tabella33317[Boltzmann k]*2*Tabella83719[[#This Row],[Temperatura]]))/(1-EXP(-(Tabella33317[Planck h]*Tabella93820[Frequenza2])/(Tabella33317[Boltzmann k]*Tabella83719[[#This Row],[Temperatura]])))</f>
        <v>0.43750136100596171</v>
      </c>
      <c r="D17" s="22" cm="1">
        <f t="array" ref="D17">EXP(-(Tabella33317[Planck h]*Tabella93820[Frequenza3])/(Tabella33317[Boltzmann k]*2*Tabella83719[[#This Row],[Temperatura]]))/(1-EXP(-(Tabella33317[Planck h]*Tabella93820[Frequenza3])/(Tabella33317[Boltzmann k]*Tabella83719[[#This Row],[Temperatura]])))</f>
        <v>0.41973415796889557</v>
      </c>
      <c r="E17" s="22" cm="1">
        <f t="array" ref="E17">EXP(-(Tabella33317[Planck h]*Tabella93820[Frequenza4])/(Tabella33317[Boltzmann k]*2*Tabella83719[[#This Row],[Temperatura]]))/(1-EXP(-(Tabella33317[Planck h]*Tabella93820[Frequenza4])/(Tabella33317[Boltzmann k]*Tabella83719[[#This Row],[Temperatura]])))</f>
        <v>0.21530941718827845</v>
      </c>
      <c r="F17" s="22" cm="1">
        <f t="array" ref="F17">EXP(-(Tabella33317[Planck h]*Tabella93820[Frequenza5])/(Tabella33317[Boltzmann k]*2*Tabella83719[[#This Row],[Temperatura]]))/(1-EXP(-(Tabella33317[Planck h]*Tabella93820[Frequenza5])/(Tabella33317[Boltzmann k]*Tabella83719[[#This Row],[Temperatura]])))</f>
        <v>0.17871498235482666</v>
      </c>
      <c r="G17" s="22" cm="1">
        <f t="array" ref="G17">EXP(-(Tabella33317[Planck h]*Tabella93820[Frequenza6])/(Tabella33317[Boltzmann k]*2*Tabella83719[[#This Row],[Temperatura]]))/(1-EXP(-(Tabella33317[Planck h]*Tabella93820[Frequenza6])/(Tabella33317[Boltzmann k]*Tabella83719[[#This Row],[Temperatura]])))</f>
        <v>0.10635770654504571</v>
      </c>
      <c r="H17" s="22" cm="1">
        <f t="array" ref="H17">EXP(-(Tabella33317[Planck h]*Tabella93820[Frequenza7])/(Tabella33317[Boltzmann k]*2*Tabella83719[[#This Row],[Temperatura]]))/(1-EXP(-(Tabella33317[Planck h]*Tabella93820[Frequenza7])/(Tabella33317[Boltzmann k]*Tabella83719[[#This Row],[Temperatura]])))</f>
        <v>4.2341207739633568E-2</v>
      </c>
      <c r="I17" s="22" cm="1">
        <f t="array" ref="I17">EXP(-(Tabella33317[Planck h]*Tabella93820[Frequenza8])/(Tabella33317[Boltzmann k]*2*Tabella83719[[#This Row],[Temperatura]]))/(1-EXP(-(Tabella33317[Planck h]*Tabella93820[Frequenza8])/(Tabella33317[Boltzmann k]*Tabella83719[[#This Row],[Temperatura]])))</f>
        <v>8.2162776502083985E-3</v>
      </c>
      <c r="J17" s="22" cm="1">
        <f t="array" ref="J17">EXP(-(Tabella33317[Planck h]*Tabella93820[Frequenza9])/(Tabella33317[Boltzmann k]*2*Tabella83719[[#This Row],[Temperatura]]))/(1-EXP(-(Tabella33317[Planck h]*Tabella93820[Frequenza9])/(Tabella33317[Boltzmann k]*Tabella83719[[#This Row],[Temperatura]])))</f>
        <v>7.2217557111575173E-3</v>
      </c>
      <c r="K17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4.725428284870911E-10</v>
      </c>
    </row>
    <row r="18" spans="1:11" x14ac:dyDescent="0.35">
      <c r="A18" s="34">
        <v>600</v>
      </c>
      <c r="B18" s="22" cm="1">
        <f t="array" ref="B18">EXP(-(Tabella33317[Planck h]*Tabella93820[Frequenza1])/(Tabella33317[Boltzmann k]*2*Tabella83719[[#This Row],[Temperatura]]))/(1-EXP(-(Tabella33317[Planck h]*Tabella93820[Frequenza1])/(Tabella33317[Boltzmann k]*Tabella83719[[#This Row],[Temperatura]])))</f>
        <v>-0.33036450863627226</v>
      </c>
      <c r="C18" s="22" cm="1">
        <f t="array" ref="C18">EXP(-(Tabella33317[Planck h]*Tabella93820[Frequenza2])/(Tabella33317[Boltzmann k]*2*Tabella83719[[#This Row],[Temperatura]]))/(1-EXP(-(Tabella33317[Planck h]*Tabella93820[Frequenza2])/(Tabella33317[Boltzmann k]*Tabella83719[[#This Row],[Temperatura]])))</f>
        <v>0.54990609312761285</v>
      </c>
      <c r="D18" s="22" cm="1">
        <f t="array" ref="D18">EXP(-(Tabella33317[Planck h]*Tabella93820[Frequenza3])/(Tabella33317[Boltzmann k]*2*Tabella83719[[#This Row],[Temperatura]]))/(1-EXP(-(Tabella33317[Planck h]*Tabella93820[Frequenza3])/(Tabella33317[Boltzmann k]*Tabella83719[[#This Row],[Temperatura]])))</f>
        <v>0.52909096284599089</v>
      </c>
      <c r="E18" s="22" cm="1">
        <f t="array" ref="E18">EXP(-(Tabella33317[Planck h]*Tabella93820[Frequenza4])/(Tabella33317[Boltzmann k]*2*Tabella83719[[#This Row],[Temperatura]]))/(1-EXP(-(Tabella33317[Planck h]*Tabella93820[Frequenza4])/(Tabella33317[Boltzmann k]*Tabella83719[[#This Row],[Temperatura]])))</f>
        <v>0.28901967030395653</v>
      </c>
      <c r="F18" s="22" cm="1">
        <f t="array" ref="F18">EXP(-(Tabella33317[Planck h]*Tabella93820[Frequenza5])/(Tabella33317[Boltzmann k]*2*Tabella83719[[#This Row],[Temperatura]]))/(1-EXP(-(Tabella33317[Planck h]*Tabella93820[Frequenza5])/(Tabella33317[Boltzmann k]*Tabella83719[[#This Row],[Temperatura]])))</f>
        <v>0.24536810987960195</v>
      </c>
      <c r="G18" s="22" cm="1">
        <f t="array" ref="G18">EXP(-(Tabella33317[Planck h]*Tabella93820[Frequenza6])/(Tabella33317[Boltzmann k]*2*Tabella83719[[#This Row],[Temperatura]]))/(1-EXP(-(Tabella33317[Planck h]*Tabella93820[Frequenza6])/(Tabella33317[Boltzmann k]*Tabella83719[[#This Row],[Temperatura]])))</f>
        <v>0.15676444134143314</v>
      </c>
      <c r="H18" s="22" cm="1">
        <f t="array" ref="H18">EXP(-(Tabella33317[Planck h]*Tabella93820[Frequenza7])/(Tabella33317[Boltzmann k]*2*Tabella83719[[#This Row],[Temperatura]]))/(1-EXP(-(Tabella33317[Planck h]*Tabella93820[Frequenza7])/(Tabella33317[Boltzmann k]*Tabella83719[[#This Row],[Temperatura]])))</f>
        <v>7.1981665411079296E-2</v>
      </c>
      <c r="I18" s="22" cm="1">
        <f t="array" ref="I18">EXP(-(Tabella33317[Planck h]*Tabella93820[Frequenza8])/(Tabella33317[Boltzmann k]*2*Tabella83719[[#This Row],[Temperatura]]))/(1-EXP(-(Tabella33317[Planck h]*Tabella93820[Frequenza8])/(Tabella33317[Boltzmann k]*Tabella83719[[#This Row],[Temperatura]])))</f>
        <v>1.829574618905673E-2</v>
      </c>
      <c r="J18" s="22" cm="1">
        <f t="array" ref="J18">EXP(-(Tabella33317[Planck h]*Tabella93820[Frequenza9])/(Tabella33317[Boltzmann k]*2*Tabella83719[[#This Row],[Temperatura]]))/(1-EXP(-(Tabella33317[Planck h]*Tabella93820[Frequenza9])/(Tabella33317[Boltzmann k]*Tabella83719[[#This Row],[Temperatura]])))</f>
        <v>1.6429864203005042E-2</v>
      </c>
      <c r="K18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2.3121251036434222E-8</v>
      </c>
    </row>
    <row r="19" spans="1:11" x14ac:dyDescent="0.35">
      <c r="A19" s="34">
        <v>700</v>
      </c>
      <c r="B19" s="22" cm="1">
        <f t="array" ref="B19">EXP(-(Tabella33317[Planck h]*Tabella93820[Frequenza1])/(Tabella33317[Boltzmann k]*2*Tabella83719[[#This Row],[Temperatura]]))/(1-EXP(-(Tabella33317[Planck h]*Tabella93820[Frequenza1])/(Tabella33317[Boltzmann k]*Tabella83719[[#This Row],[Temperatura]])))</f>
        <v>-0.40890604468248715</v>
      </c>
      <c r="C19" s="22" cm="1">
        <f t="array" ref="C19">EXP(-(Tabella33317[Planck h]*Tabella93820[Frequenza2])/(Tabella33317[Boltzmann k]*2*Tabella83719[[#This Row],[Temperatura]]))/(1-EXP(-(Tabella33317[Planck h]*Tabella93820[Frequenza2])/(Tabella33317[Boltzmann k]*Tabella83719[[#This Row],[Temperatura]])))</f>
        <v>0.66000543169078119</v>
      </c>
      <c r="D19" s="22" cm="1">
        <f t="array" ref="D19">EXP(-(Tabella33317[Planck h]*Tabella93820[Frequenza3])/(Tabella33317[Boltzmann k]*2*Tabella83719[[#This Row],[Temperatura]]))/(1-EXP(-(Tabella33317[Planck h]*Tabella93820[Frequenza3])/(Tabella33317[Boltzmann k]*Tabella83719[[#This Row],[Temperatura]])))</f>
        <v>0.63615548582598624</v>
      </c>
      <c r="E19" s="22" cm="1">
        <f t="array" ref="E19">EXP(-(Tabella33317[Planck h]*Tabella93820[Frequenza4])/(Tabella33317[Boltzmann k]*2*Tabella83719[[#This Row],[Temperatura]]))/(1-EXP(-(Tabella33317[Planck h]*Tabella93820[Frequenza4])/(Tabella33317[Boltzmann k]*Tabella83719[[#This Row],[Temperatura]])))</f>
        <v>0.36158882812660614</v>
      </c>
      <c r="F19" s="22" cm="1">
        <f t="array" ref="F19">EXP(-(Tabella33317[Planck h]*Tabella93820[Frequenza5])/(Tabella33317[Boltzmann k]*2*Tabella83719[[#This Row],[Temperatura]]))/(1-EXP(-(Tabella33317[Planck h]*Tabella93820[Frequenza5])/(Tabella33317[Boltzmann k]*Tabella83719[[#This Row],[Temperatura]])))</f>
        <v>0.31147675430260902</v>
      </c>
      <c r="G19" s="22" cm="1">
        <f t="array" ref="G19">EXP(-(Tabella33317[Planck h]*Tabella93820[Frequenza6])/(Tabella33317[Boltzmann k]*2*Tabella83719[[#This Row],[Temperatura]]))/(1-EXP(-(Tabella33317[Planck h]*Tabella93820[Frequenza6])/(Tabella33317[Boltzmann k]*Tabella83719[[#This Row],[Temperatura]])))</f>
        <v>0.20851738276667833</v>
      </c>
      <c r="H19" s="22" cm="1">
        <f t="array" ref="H19">EXP(-(Tabella33317[Planck h]*Tabella93820[Frequenza7])/(Tabella33317[Boltzmann k]*2*Tabella83719[[#This Row],[Temperatura]]))/(1-EXP(-(Tabella33317[Planck h]*Tabella93820[Frequenza7])/(Tabella33317[Boltzmann k]*Tabella83719[[#This Row],[Temperatura]])))</f>
        <v>0.10551602382556766</v>
      </c>
      <c r="I19" s="22" cm="1">
        <f t="array" ref="I19">EXP(-(Tabella33317[Planck h]*Tabella93820[Frequenza8])/(Tabella33317[Boltzmann k]*2*Tabella83719[[#This Row],[Temperatura]]))/(1-EXP(-(Tabella33317[Planck h]*Tabella93820[Frequenza8])/(Tabella33317[Boltzmann k]*Tabella83719[[#This Row],[Temperatura]])))</f>
        <v>3.2427782267351282E-2</v>
      </c>
      <c r="J19" s="22" cm="1">
        <f t="array" ref="J19">EXP(-(Tabella33317[Planck h]*Tabella93820[Frequenza9])/(Tabella33317[Boltzmann k]*2*Tabella83719[[#This Row],[Temperatura]]))/(1-EXP(-(Tabella33317[Planck h]*Tabella93820[Frequenza9])/(Tabella33317[Boltzmann k]*Tabella83719[[#This Row],[Temperatura]])))</f>
        <v>2.9568013882603009E-2</v>
      </c>
      <c r="K19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4.0792004369423415E-7</v>
      </c>
    </row>
    <row r="20" spans="1:11" x14ac:dyDescent="0.35">
      <c r="A20" s="34">
        <v>800</v>
      </c>
      <c r="B20" s="22" cm="1">
        <f t="array" ref="B20">EXP(-(Tabella33317[Planck h]*Tabella93820[Frequenza1])/(Tabella33317[Boltzmann k]*2*Tabella83719[[#This Row],[Temperatura]]))/(1-EXP(-(Tabella33317[Planck h]*Tabella93820[Frequenza1])/(Tabella33317[Boltzmann k]*Tabella83719[[#This Row],[Temperatura]])))</f>
        <v>-0.48595526451863813</v>
      </c>
      <c r="C20" s="22" cm="1">
        <f t="array" ref="C20">EXP(-(Tabella33317[Planck h]*Tabella93820[Frequenza2])/(Tabella33317[Boltzmann k]*2*Tabella83719[[#This Row],[Temperatura]]))/(1-EXP(-(Tabella33317[Planck h]*Tabella93820[Frequenza2])/(Tabella33317[Boltzmann k]*Tabella83719[[#This Row],[Temperatura]])))</f>
        <v>0.76842904788480848</v>
      </c>
      <c r="D20" s="22" cm="1">
        <f t="array" ref="D20">EXP(-(Tabella33317[Planck h]*Tabella93820[Frequenza3])/(Tabella33317[Boltzmann k]*2*Tabella83719[[#This Row],[Temperatura]]))/(1-EXP(-(Tabella33317[Planck h]*Tabella93820[Frequenza3])/(Tabella33317[Boltzmann k]*Tabella83719[[#This Row],[Temperatura]])))</f>
        <v>0.74153431913210655</v>
      </c>
      <c r="E20" s="22" cm="1">
        <f t="array" ref="E20">EXP(-(Tabella33317[Planck h]*Tabella93820[Frequenza4])/(Tabella33317[Boltzmann k]*2*Tabella83719[[#This Row],[Temperatura]]))/(1-EXP(-(Tabella33317[Planck h]*Tabella93820[Frequenza4])/(Tabella33317[Boltzmann k]*Tabella83719[[#This Row],[Temperatura]])))</f>
        <v>0.43284271647074846</v>
      </c>
      <c r="F20" s="22" cm="1">
        <f t="array" ref="F20">EXP(-(Tabella33317[Planck h]*Tabella93820[Frequenza5])/(Tabella33317[Boltzmann k]*2*Tabella83719[[#This Row],[Temperatura]]))/(1-EXP(-(Tabella33317[Planck h]*Tabella93820[Frequenza5])/(Tabella33317[Boltzmann k]*Tabella83719[[#This Row],[Temperatura]])))</f>
        <v>0.37655932540404219</v>
      </c>
      <c r="G20" s="22" cm="1">
        <f t="array" ref="G20">EXP(-(Tabella33317[Planck h]*Tabella93820[Frequenza6])/(Tabella33317[Boltzmann k]*2*Tabella83719[[#This Row],[Temperatura]]))/(1-EXP(-(Tabella33317[Planck h]*Tabella93820[Frequenza6])/(Tabella33317[Boltzmann k]*Tabella83719[[#This Row],[Temperatura]])))</f>
        <v>0.26033743121253755</v>
      </c>
      <c r="H20" s="22" cm="1">
        <f t="array" ref="H20">EXP(-(Tabella33317[Planck h]*Tabella93820[Frequenza7])/(Tabella33317[Boltzmann k]*2*Tabella83719[[#This Row],[Temperatura]]))/(1-EXP(-(Tabella33317[Planck h]*Tabella93820[Frequenza7])/(Tabella33317[Boltzmann k]*Tabella83719[[#This Row],[Temperatura]])))</f>
        <v>0.14113842194334422</v>
      </c>
      <c r="I20" s="22" cm="1">
        <f t="array" ref="I20">EXP(-(Tabella33317[Planck h]*Tabella93820[Frequenza8])/(Tabella33317[Boltzmann k]*2*Tabella83719[[#This Row],[Temperatura]]))/(1-EXP(-(Tabella33317[Planck h]*Tabella93820[Frequenza8])/(Tabella33317[Boltzmann k]*Tabella83719[[#This Row],[Temperatura]])))</f>
        <v>4.9857347141241397E-2</v>
      </c>
      <c r="J20" s="22" cm="1">
        <f t="array" ref="J20">EXP(-(Tabella33317[Planck h]*Tabella93820[Frequenza9])/(Tabella33317[Boltzmann k]*2*Tabella83719[[#This Row],[Temperatura]]))/(1-EXP(-(Tabella33317[Planck h]*Tabella93820[Frequenza9])/(Tabella33317[Boltzmann k]*Tabella83719[[#This Row],[Temperatura]])))</f>
        <v>4.5978287638803794E-2</v>
      </c>
      <c r="K20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3.8015322009812312E-6</v>
      </c>
    </row>
    <row r="21" spans="1:11" x14ac:dyDescent="0.35">
      <c r="A21" s="34">
        <v>900</v>
      </c>
      <c r="B21" s="22" cm="1">
        <f t="array" ref="B21">EXP(-(Tabella33317[Planck h]*Tabella93820[Frequenza1])/(Tabella33317[Boltzmann k]*2*Tabella83719[[#This Row],[Temperatura]]))/(1-EXP(-(Tabella33317[Planck h]*Tabella93820[Frequenza1])/(Tabella33317[Boltzmann k]*Tabella83719[[#This Row],[Temperatura]])))</f>
        <v>-0.56174478702031727</v>
      </c>
      <c r="C21" s="22" cm="1">
        <f t="array" ref="C21">EXP(-(Tabella33317[Planck h]*Tabella93820[Frequenza2])/(Tabella33317[Boltzmann k]*2*Tabella83719[[#This Row],[Temperatura]]))/(1-EXP(-(Tabella33317[Planck h]*Tabella93820[Frequenza2])/(Tabella33317[Boltzmann k]*Tabella83719[[#This Row],[Temperatura]])))</f>
        <v>0.87562716522531669</v>
      </c>
      <c r="D21" s="22" cm="1">
        <f t="array" ref="D21">EXP(-(Tabella33317[Planck h]*Tabella93820[Frequenza3])/(Tabella33317[Boltzmann k]*2*Tabella83719[[#This Row],[Temperatura]]))/(1-EXP(-(Tabella33317[Planck h]*Tabella93820[Frequenza3])/(Tabella33317[Boltzmann k]*Tabella83719[[#This Row],[Temperatura]])))</f>
        <v>0.84567201365858224</v>
      </c>
      <c r="E21" s="22" cm="1">
        <f t="array" ref="E21">EXP(-(Tabella33317[Planck h]*Tabella93820[Frequenza4])/(Tabella33317[Boltzmann k]*2*Tabella83719[[#This Row],[Temperatura]]))/(1-EXP(-(Tabella33317[Planck h]*Tabella93820[Frequenza4])/(Tabella33317[Boltzmann k]*Tabella83719[[#This Row],[Temperatura]])))</f>
        <v>0.50290482183434504</v>
      </c>
      <c r="F21" s="22" cm="1">
        <f t="array" ref="F21">EXP(-(Tabella33317[Planck h]*Tabella93820[Frequenza5])/(Tabella33317[Boltzmann k]*2*Tabella83719[[#This Row],[Temperatura]]))/(1-EXP(-(Tabella33317[Planck h]*Tabella93820[Frequenza5])/(Tabella33317[Boltzmann k]*Tabella83719[[#This Row],[Temperatura]])))</f>
        <v>0.44058215919978649</v>
      </c>
      <c r="G21" s="22" cm="1">
        <f t="array" ref="G21">EXP(-(Tabella33317[Planck h]*Tabella93820[Frequenza6])/(Tabella33317[Boltzmann k]*2*Tabella83719[[#This Row],[Temperatura]]))/(1-EXP(-(Tabella33317[Planck h]*Tabella93820[Frequenza6])/(Tabella33317[Boltzmann k]*Tabella83719[[#This Row],[Temperatura]])))</f>
        <v>0.31170244886357223</v>
      </c>
      <c r="H21" s="22" cm="1">
        <f t="array" ref="H21">EXP(-(Tabella33317[Planck h]*Tabella93820[Frequenza7])/(Tabella33317[Boltzmann k]*2*Tabella83719[[#This Row],[Temperatura]]))/(1-EXP(-(Tabella33317[Planck h]*Tabella93820[Frequenza7])/(Tabella33317[Boltzmann k]*Tabella83719[[#This Row],[Temperatura]])))</f>
        <v>0.17773398699197165</v>
      </c>
      <c r="I21" s="22" cm="1">
        <f t="array" ref="I21">EXP(-(Tabella33317[Planck h]*Tabella93820[Frequenza8])/(Tabella33317[Boltzmann k]*2*Tabella83719[[#This Row],[Temperatura]]))/(1-EXP(-(Tabella33317[Planck h]*Tabella93820[Frequenza8])/(Tabella33317[Boltzmann k]*Tabella83719[[#This Row],[Temperatura]])))</f>
        <v>6.9753776482235172E-2</v>
      </c>
      <c r="J21" s="22" cm="1">
        <f t="array" ref="J21">EXP(-(Tabella33317[Planck h]*Tabella93820[Frequenza9])/(Tabella33317[Boltzmann k]*2*Tabella83719[[#This Row],[Temperatura]]))/(1-EXP(-(Tabella33317[Planck h]*Tabella93820[Frequenza9])/(Tabella33317[Boltzmann k]*Tabella83719[[#This Row],[Temperatura]])))</f>
        <v>6.4887588874709939E-2</v>
      </c>
      <c r="K21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2.311069478978391E-5</v>
      </c>
    </row>
    <row r="22" spans="1:11" x14ac:dyDescent="0.35">
      <c r="A22" s="34">
        <v>1000</v>
      </c>
      <c r="B22" s="22" cm="1">
        <f t="array" ref="B22">EXP(-(Tabella33317[Planck h]*Tabella93820[Frequenza1])/(Tabella33317[Boltzmann k]*2*Tabella83719[[#This Row],[Temperatura]]))/(1-EXP(-(Tabella33317[Planck h]*Tabella93820[Frequenza1])/(Tabella33317[Boltzmann k]*Tabella83719[[#This Row],[Temperatura]])))</f>
        <v>-0.63651170057457807</v>
      </c>
      <c r="C22" s="22" cm="1">
        <f t="array" ref="C22">EXP(-(Tabella33317[Planck h]*Tabella93820[Frequenza2])/(Tabella33317[Boltzmann k]*2*Tabella83719[[#This Row],[Temperatura]]))/(1-EXP(-(Tabella33317[Planck h]*Tabella93820[Frequenza2])/(Tabella33317[Boltzmann k]*Tabella83719[[#This Row],[Temperatura]])))</f>
        <v>0.98191322099398504</v>
      </c>
      <c r="D22" s="22" cm="1">
        <f t="array" ref="D22">EXP(-(Tabella33317[Planck h]*Tabella93820[Frequenza3])/(Tabella33317[Boltzmann k]*2*Tabella83719[[#This Row],[Temperatura]]))/(1-EXP(-(Tabella33317[Planck h]*Tabella93820[Frequenza3])/(Tabella33317[Boltzmann k]*Tabella83719[[#This Row],[Temperatura]])))</f>
        <v>0.94888199480492885</v>
      </c>
      <c r="E22" s="22" cm="1">
        <f t="array" ref="E22">EXP(-(Tabella33317[Planck h]*Tabella93820[Frequenza4])/(Tabella33317[Boltzmann k]*2*Tabella83719[[#This Row],[Temperatura]]))/(1-EXP(-(Tabella33317[Planck h]*Tabella93820[Frequenza4])/(Tabella33317[Boltzmann k]*Tabella83719[[#This Row],[Temperatura]])))</f>
        <v>0.57196149973066179</v>
      </c>
      <c r="F22" s="22" cm="1">
        <f t="array" ref="F22">EXP(-(Tabella33317[Planck h]*Tabella93820[Frequenza5])/(Tabella33317[Boltzmann k]*2*Tabella83719[[#This Row],[Temperatura]]))/(1-EXP(-(Tabella33317[Planck h]*Tabella93820[Frequenza5])/(Tabella33317[Boltzmann k]*Tabella83719[[#This Row],[Temperatura]])))</f>
        <v>0.50365266968785327</v>
      </c>
      <c r="G22" s="22" cm="1">
        <f t="array" ref="G22">EXP(-(Tabella33317[Planck h]*Tabella93820[Frequenza6])/(Tabella33317[Boltzmann k]*2*Tabella83719[[#This Row],[Temperatura]]))/(1-EXP(-(Tabella33317[Planck h]*Tabella93820[Frequenza6])/(Tabella33317[Boltzmann k]*Tabella83719[[#This Row],[Temperatura]])))</f>
        <v>0.36243790971657702</v>
      </c>
      <c r="H22" s="22" cm="1">
        <f t="array" ref="H22">EXP(-(Tabella33317[Planck h]*Tabella93820[Frequenza7])/(Tabella33317[Boltzmann k]*2*Tabella83719[[#This Row],[Temperatura]]))/(1-EXP(-(Tabella33317[Planck h]*Tabella93820[Frequenza7])/(Tabella33317[Boltzmann k]*Tabella83719[[#This Row],[Temperatura]])))</f>
        <v>0.21465858716538383</v>
      </c>
      <c r="I22" s="22" cm="1">
        <f t="array" ref="I22">EXP(-(Tabella33317[Planck h]*Tabella93820[Frequenza8])/(Tabella33317[Boltzmann k]*2*Tabella83719[[#This Row],[Temperatura]]))/(1-EXP(-(Tabella33317[Planck h]*Tabella93820[Frequenza8])/(Tabella33317[Boltzmann k]*Tabella83719[[#This Row],[Temperatura]])))</f>
        <v>9.1391472951705077E-2</v>
      </c>
      <c r="J22" s="22" cm="1">
        <f t="array" ref="J22">EXP(-(Tabella33317[Planck h]*Tabella93820[Frequenza9])/(Tabella33317[Boltzmann k]*2*Tabella83719[[#This Row],[Temperatura]]))/(1-EXP(-(Tabella33317[Planck h]*Tabella93820[Frequenza9])/(Tabella33317[Boltzmann k]*Tabella83719[[#This Row],[Temperatura]])))</f>
        <v>8.5596825094990295E-2</v>
      </c>
      <c r="K22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1.0397641957882253E-4</v>
      </c>
    </row>
    <row r="23" spans="1:11" x14ac:dyDescent="0.35">
      <c r="A23" s="34">
        <v>1100</v>
      </c>
      <c r="B23" s="22" cm="1">
        <f t="array" ref="B23">EXP(-(Tabella33317[Planck h]*Tabella93820[Frequenza1])/(Tabella33317[Boltzmann k]*2*Tabella83719[[#This Row],[Temperatura]]))/(1-EXP(-(Tabella33317[Planck h]*Tabella93820[Frequenza1])/(Tabella33317[Boltzmann k]*Tabella83719[[#This Row],[Temperatura]])))</f>
        <v>-0.71045625332611173</v>
      </c>
      <c r="C23" s="22" cm="1">
        <f t="array" ref="C23">EXP(-(Tabella33317[Planck h]*Tabella93820[Frequenza2])/(Tabella33317[Boltzmann k]*2*Tabella83719[[#This Row],[Temperatura]]))/(1-EXP(-(Tabella33317[Planck h]*Tabella93820[Frequenza2])/(Tabella33317[Boltzmann k]*Tabella83719[[#This Row],[Temperatura]])))</f>
        <v>1.0875069373460735</v>
      </c>
      <c r="D23" s="22" cm="1">
        <f t="array" ref="D23">EXP(-(Tabella33317[Planck h]*Tabella93820[Frequenza3])/(Tabella33317[Boltzmann k]*2*Tabella83719[[#This Row],[Temperatura]]))/(1-EXP(-(Tabella33317[Planck h]*Tabella93820[Frequenza3])/(Tabella33317[Boltzmann k]*Tabella83719[[#This Row],[Temperatura]])))</f>
        <v>1.0513856596663484</v>
      </c>
      <c r="E23" s="22" cm="1">
        <f t="array" ref="E23">EXP(-(Tabella33317[Planck h]*Tabella93820[Frequenza4])/(Tabella33317[Boltzmann k]*2*Tabella83719[[#This Row],[Temperatura]]))/(1-EXP(-(Tabella33317[Planck h]*Tabella93820[Frequenza4])/(Tabella33317[Boltzmann k]*Tabella83719[[#This Row],[Temperatura]])))</f>
        <v>0.64018988801814947</v>
      </c>
      <c r="F23" s="22" cm="1">
        <f t="array" ref="F23">EXP(-(Tabella33317[Planck h]*Tabella93820[Frequenza5])/(Tabella33317[Boltzmann k]*2*Tabella83719[[#This Row],[Temperatura]]))/(1-EXP(-(Tabella33317[Planck h]*Tabella93820[Frequenza5])/(Tabella33317[Boltzmann k]*Tabella83719[[#This Row],[Temperatura]])))</f>
        <v>0.5659086545292441</v>
      </c>
      <c r="G23" s="22" cm="1">
        <f t="array" ref="G23">EXP(-(Tabella33317[Planck h]*Tabella93820[Frequenza6])/(Tabella33317[Boltzmann k]*2*Tabella83719[[#This Row],[Temperatura]]))/(1-EXP(-(Tabella33317[Planck h]*Tabella93820[Frequenza6])/(Tabella33317[Boltzmann k]*Tabella83719[[#This Row],[Temperatura]])))</f>
        <v>0.41252181516028463</v>
      </c>
      <c r="H23" s="22" cm="1">
        <f t="array" ref="H23">EXP(-(Tabella33317[Planck h]*Tabella93820[Frequenza7])/(Tabella33317[Boltzmann k]*2*Tabella83719[[#This Row],[Temperatura]]))/(1-EXP(-(Tabella33317[Planck h]*Tabella93820[Frequenza7])/(Tabella33317[Boltzmann k]*Tabella83719[[#This Row],[Temperatura]])))</f>
        <v>0.25155778193040845</v>
      </c>
      <c r="I23" s="22" cm="1">
        <f t="array" ref="I23">EXP(-(Tabella33317[Planck h]*Tabella93820[Frequenza8])/(Tabella33317[Boltzmann k]*2*Tabella83719[[#This Row],[Temperatura]]))/(1-EXP(-(Tabella33317[Planck h]*Tabella93820[Frequenza8])/(Tabella33317[Boltzmann k]*Tabella83719[[#This Row],[Temperatura]])))</f>
        <v>0.1142004954992524</v>
      </c>
      <c r="J23" s="22" cm="1">
        <f t="array" ref="J23">EXP(-(Tabella33317[Planck h]*Tabella93820[Frequenza9])/(Tabella33317[Boltzmann k]*2*Tabella83719[[#This Row],[Temperatura]]))/(1-EXP(-(Tabella33317[Planck h]*Tabella93820[Frequenza9])/(Tabella33317[Boltzmann k]*Tabella83719[[#This Row],[Temperatura]])))</f>
        <v>0.10754331436428342</v>
      </c>
      <c r="K23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3.7507891762489723E-4</v>
      </c>
    </row>
    <row r="24" spans="1:11" x14ac:dyDescent="0.35">
      <c r="A24" s="34">
        <v>1200</v>
      </c>
      <c r="B24" s="22" cm="1">
        <f t="array" ref="B24">EXP(-(Tabella33317[Planck h]*Tabella93820[Frequenza1])/(Tabella33317[Boltzmann k]*2*Tabella83719[[#This Row],[Temperatura]]))/(1-EXP(-(Tabella33317[Planck h]*Tabella93820[Frequenza1])/(Tabella33317[Boltzmann k]*Tabella83719[[#This Row],[Temperatura]])))</f>
        <v>-0.7837381019871168</v>
      </c>
      <c r="C24" s="22" cm="1">
        <f t="array" ref="C24">EXP(-(Tabella33317[Planck h]*Tabella93820[Frequenza2])/(Tabella33317[Boltzmann k]*2*Tabella83719[[#This Row],[Temperatura]]))/(1-EXP(-(Tabella33317[Planck h]*Tabella93820[Frequenza2])/(Tabella33317[Boltzmann k]*Tabella83719[[#This Row],[Temperatura]])))</f>
        <v>1.1925649596634136</v>
      </c>
      <c r="D24" s="22" cm="1">
        <f t="array" ref="D24">EXP(-(Tabella33317[Planck h]*Tabella93820[Frequenza3])/(Tabella33317[Boltzmann k]*2*Tabella83719[[#This Row],[Temperatura]]))/(1-EXP(-(Tabella33317[Planck h]*Tabella93820[Frequenza3])/(Tabella33317[Boltzmann k]*Tabella83719[[#This Row],[Temperatura]])))</f>
        <v>1.153341647660229</v>
      </c>
      <c r="E24" s="22" cm="1">
        <f t="array" ref="E24">EXP(-(Tabella33317[Planck h]*Tabella93820[Frequenza4])/(Tabella33317[Boltzmann k]*2*Tabella83719[[#This Row],[Temperatura]]))/(1-EXP(-(Tabella33317[Planck h]*Tabella93820[Frequenza4])/(Tabella33317[Boltzmann k]*Tabella83719[[#This Row],[Temperatura]])))</f>
        <v>0.70773973372886478</v>
      </c>
      <c r="F24" s="22" cm="1">
        <f t="array" ref="F24">EXP(-(Tabella33317[Planck h]*Tabella93820[Frequenza5])/(Tabella33317[Boltzmann k]*2*Tabella83719[[#This Row],[Temperatura]]))/(1-EXP(-(Tabella33317[Planck h]*Tabella93820[Frequenza5])/(Tabella33317[Boltzmann k]*Tabella83719[[#This Row],[Temperatura]])))</f>
        <v>0.62748062443610508</v>
      </c>
      <c r="G24" s="22" cm="1">
        <f t="array" ref="G24">EXP(-(Tabella33317[Planck h]*Tabella93820[Frequenza6])/(Tabella33317[Boltzmann k]*2*Tabella83719[[#This Row],[Temperatura]]))/(1-EXP(-(Tabella33317[Planck h]*Tabella93820[Frequenza6])/(Tabella33317[Boltzmann k]*Tabella83719[[#This Row],[Temperatura]])))</f>
        <v>0.46199463464509943</v>
      </c>
      <c r="H24" s="22" cm="1">
        <f t="array" ref="H24">EXP(-(Tabella33317[Planck h]*Tabella93820[Frequenza7])/(Tabella33317[Boltzmann k]*2*Tabella83719[[#This Row],[Temperatura]]))/(1-EXP(-(Tabella33317[Planck h]*Tabella93820[Frequenza7])/(Tabella33317[Boltzmann k]*Tabella83719[[#This Row],[Temperatura]])))</f>
        <v>0.288247265758027</v>
      </c>
      <c r="I24" s="22" cm="1">
        <f t="array" ref="I24">EXP(-(Tabella33317[Planck h]*Tabella93820[Frequenza8])/(Tabella33317[Boltzmann k]*2*Tabella83719[[#This Row],[Temperatura]]))/(1-EXP(-(Tabella33317[Planck h]*Tabella93820[Frequenza8])/(Tabella33317[Boltzmann k]*Tabella83719[[#This Row],[Temperatura]])))</f>
        <v>0.137758699099885</v>
      </c>
      <c r="J24" s="22" cm="1">
        <f t="array" ref="J24">EXP(-(Tabella33317[Planck h]*Tabella93820[Frequenza9])/(Tabella33317[Boltzmann k]*2*Tabella83719[[#This Row],[Temperatura]]))/(1-EXP(-(Tabella33317[Planck h]*Tabella93820[Frequenza9])/(Tabella33317[Boltzmann k]*Tabella83719[[#This Row],[Temperatura]])))</f>
        <v>0.13030200633454342</v>
      </c>
      <c r="K24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1.1443454384600764E-3</v>
      </c>
    </row>
    <row r="25" spans="1:11" x14ac:dyDescent="0.35">
      <c r="A25" s="34">
        <v>1300</v>
      </c>
      <c r="B25" s="22" cm="1">
        <f t="array" ref="B25">EXP(-(Tabella33317[Planck h]*Tabella93820[Frequenza1])/(Tabella33317[Boltzmann k]*2*Tabella83719[[#This Row],[Temperatura]]))/(1-EXP(-(Tabella33317[Planck h]*Tabella93820[Frequenza1])/(Tabella33317[Boltzmann k]*Tabella83719[[#This Row],[Temperatura]])))</f>
        <v>-0.85648225914216203</v>
      </c>
      <c r="C25" s="22" cm="1">
        <f t="array" ref="C25">EXP(-(Tabella33317[Planck h]*Tabella93820[Frequenza2])/(Tabella33317[Boltzmann k]*2*Tabella83719[[#This Row],[Temperatura]]))/(1-EXP(-(Tabella33317[Planck h]*Tabella93820[Frequenza2])/(Tabella33317[Boltzmann k]*Tabella83719[[#This Row],[Temperatura]])))</f>
        <v>1.2972011433939246</v>
      </c>
      <c r="D25" s="22" cm="1">
        <f t="array" ref="D25">EXP(-(Tabella33317[Planck h]*Tabella93820[Frequenza3])/(Tabella33317[Boltzmann k]*2*Tabella83719[[#This Row],[Temperatura]]))/(1-EXP(-(Tabella33317[Planck h]*Tabella93820[Frequenza3])/(Tabella33317[Boltzmann k]*Tabella83719[[#This Row],[Temperatura]])))</f>
        <v>1.2548656745519224</v>
      </c>
      <c r="E25" s="22" cm="1">
        <f t="array" ref="E25">EXP(-(Tabella33317[Planck h]*Tabella93820[Frequenza4])/(Tabella33317[Boltzmann k]*2*Tabella83719[[#This Row],[Temperatura]]))/(1-EXP(-(Tabella33317[Planck h]*Tabella93820[Frequenza4])/(Tabella33317[Boltzmann k]*Tabella83719[[#This Row],[Temperatura]])))</f>
        <v>0.77473249039681436</v>
      </c>
      <c r="F25" s="22" cm="1">
        <f t="array" ref="F25">EXP(-(Tabella33317[Planck h]*Tabella93820[Frequenza5])/(Tabella33317[Boltzmann k]*2*Tabella83719[[#This Row],[Temperatura]]))/(1-EXP(-(Tabella33317[Planck h]*Tabella93820[Frequenza5])/(Tabella33317[Boltzmann k]*Tabella83719[[#This Row],[Temperatura]])))</f>
        <v>0.68848109594127582</v>
      </c>
      <c r="G25" s="22" cm="1">
        <f t="array" ref="G25">EXP(-(Tabella33317[Planck h]*Tabella93820[Frequenza6])/(Tabella33317[Boltzmann k]*2*Tabella83719[[#This Row],[Temperatura]]))/(1-EXP(-(Tabella33317[Planck h]*Tabella93820[Frequenza6])/(Tabella33317[Boltzmann k]*Tabella83719[[#This Row],[Temperatura]])))</f>
        <v>0.51091844740071135</v>
      </c>
      <c r="H25" s="22" cm="1">
        <f t="array" ref="H25">EXP(-(Tabella33317[Planck h]*Tabella93820[Frequenza7])/(Tabella33317[Boltzmann k]*2*Tabella83719[[#This Row],[Temperatura]]))/(1-EXP(-(Tabella33317[Planck h]*Tabella93820[Frequenza7])/(Tabella33317[Boltzmann k]*Tabella83719[[#This Row],[Temperatura]])))</f>
        <v>0.32464008059500216</v>
      </c>
      <c r="I25" s="22" cm="1">
        <f t="array" ref="I25">EXP(-(Tabella33317[Planck h]*Tabella93820[Frequenza8])/(Tabella33317[Boltzmann k]*2*Tabella83719[[#This Row],[Temperatura]]))/(1-EXP(-(Tabella33317[Planck h]*Tabella93820[Frequenza8])/(Tabella33317[Boltzmann k]*Tabella83719[[#This Row],[Temperatura]])))</f>
        <v>0.16176457316911111</v>
      </c>
      <c r="J25" s="22" cm="1">
        <f t="array" ref="J25">EXP(-(Tabella33317[Planck h]*Tabella93820[Frequenza9])/(Tabella33317[Boltzmann k]*2*Tabella83719[[#This Row],[Temperatura]]))/(1-EXP(-(Tabella33317[Planck h]*Tabella93820[Frequenza9])/(Tabella33317[Boltzmann k]*Tabella83719[[#This Row],[Temperatura]])))</f>
        <v>0.15356401870919309</v>
      </c>
      <c r="K25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3.0640322366207481E-3</v>
      </c>
    </row>
    <row r="26" spans="1:11" x14ac:dyDescent="0.35">
      <c r="A26" s="34">
        <v>1400</v>
      </c>
      <c r="B26" s="22" cm="1">
        <f t="array" ref="B26">EXP(-(Tabella33317[Planck h]*Tabella93820[Frequenza1])/(Tabella33317[Boltzmann k]*2*Tabella83719[[#This Row],[Temperatura]]))/(1-EXP(-(Tabella33317[Planck h]*Tabella93820[Frequenza1])/(Tabella33317[Boltzmann k]*Tabella83719[[#This Row],[Temperatura]])))</f>
        <v>-0.92878636666316072</v>
      </c>
      <c r="C26" s="22" cm="1">
        <f t="array" ref="C26">EXP(-(Tabella33317[Planck h]*Tabella93820[Frequenza2])/(Tabella33317[Boltzmann k]*2*Tabella83719[[#This Row],[Temperatura]]))/(1-EXP(-(Tabella33317[Planck h]*Tabella93820[Frequenza2])/(Tabella33317[Boltzmann k]*Tabella83719[[#This Row],[Temperatura]])))</f>
        <v>1.4014998406452306</v>
      </c>
      <c r="D26" s="22" cm="1">
        <f t="array" ref="D26">EXP(-(Tabella33317[Planck h]*Tabella93820[Frequenza3])/(Tabella33317[Boltzmann k]*2*Tabella83719[[#This Row],[Temperatura]]))/(1-EXP(-(Tabella33317[Planck h]*Tabella93820[Frequenza3])/(Tabella33317[Boltzmann k]*Tabella83719[[#This Row],[Temperatura]])))</f>
        <v>1.356043695199229</v>
      </c>
      <c r="E26" s="22" cm="1">
        <f t="array" ref="E26">EXP(-(Tabella33317[Planck h]*Tabella93820[Frequenza4])/(Tabella33317[Boltzmann k]*2*Tabella83719[[#This Row],[Temperatura]]))/(1-EXP(-(Tabella33317[Planck h]*Tabella93820[Frequenza4])/(Tabella33317[Boltzmann k]*Tabella83719[[#This Row],[Temperatura]])))</f>
        <v>0.84126527328474909</v>
      </c>
      <c r="F26" s="22" cm="1">
        <f t="array" ref="F26">EXP(-(Tabella33317[Planck h]*Tabella93820[Frequenza5])/(Tabella33317[Boltzmann k]*2*Tabella83719[[#This Row],[Temperatura]]))/(1-EXP(-(Tabella33317[Planck h]*Tabella93820[Frequenza5])/(Tabella33317[Boltzmann k]*Tabella83719[[#This Row],[Temperatura]])))</f>
        <v>0.74900355362075011</v>
      </c>
      <c r="G26" s="22" cm="1">
        <f t="array" ref="G26">EXP(-(Tabella33317[Planck h]*Tabella93820[Frequenza6])/(Tabella33317[Boltzmann k]*2*Tabella83719[[#This Row],[Temperatura]]))/(1-EXP(-(Tabella33317[Planck h]*Tabella93820[Frequenza6])/(Tabella33317[Boltzmann k]*Tabella83719[[#This Row],[Temperatura]])))</f>
        <v>0.55935888428670011</v>
      </c>
      <c r="H26" s="22" cm="1">
        <f t="array" ref="H26">EXP(-(Tabella33317[Planck h]*Tabella93820[Frequenza7])/(Tabella33317[Boltzmann k]*2*Tabella83719[[#This Row],[Temperatura]]))/(1-EXP(-(Tabella33317[Planck h]*Tabella93820[Frequenza7])/(Tabella33317[Boltzmann k]*Tabella83719[[#This Row],[Temperatura]])))</f>
        <v>0.3607038218689641</v>
      </c>
      <c r="I26" s="22" cm="1">
        <f t="array" ref="I26">EXP(-(Tabella33317[Planck h]*Tabella93820[Frequenza8])/(Tabella33317[Boltzmann k]*2*Tabella83719[[#This Row],[Temperatura]]))/(1-EXP(-(Tabella33317[Planck h]*Tabella93820[Frequenza8])/(Tabella33317[Boltzmann k]*Tabella83719[[#This Row],[Temperatura]])))</f>
        <v>0.1860081514710597</v>
      </c>
      <c r="J26" s="22" cm="1">
        <f t="array" ref="J26">EXP(-(Tabella33317[Planck h]*Tabella93820[Frequenza9])/(Tabella33317[Boltzmann k]*2*Tabella83719[[#This Row],[Temperatura]]))/(1-EXP(-(Tabella33317[Planck h]*Tabella93820[Frequenza9])/(Tabella33317[Boltzmann k]*Tabella83719[[#This Row],[Temperatura]])))</f>
        <v>0.17711071214086876</v>
      </c>
      <c r="K26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7.3929454051975168E-3</v>
      </c>
    </row>
    <row r="27" spans="1:11" x14ac:dyDescent="0.35">
      <c r="A27" s="34">
        <v>1500</v>
      </c>
      <c r="B27" s="22" cm="1">
        <f t="array" ref="B27">EXP(-(Tabella33317[Planck h]*Tabella93820[Frequenza1])/(Tabella33317[Boltzmann k]*2*Tabella83719[[#This Row],[Temperatura]]))/(1-EXP(-(Tabella33317[Planck h]*Tabella93820[Frequenza1])/(Tabella33317[Boltzmann k]*Tabella83719[[#This Row],[Temperatura]])))</f>
        <v>-1.0007270184900885</v>
      </c>
      <c r="C27" s="22" cm="1">
        <f t="array" ref="C27">EXP(-(Tabella33317[Planck h]*Tabella93820[Frequenza2])/(Tabella33317[Boltzmann k]*2*Tabella83719[[#This Row],[Temperatura]]))/(1-EXP(-(Tabella33317[Planck h]*Tabella93820[Frequenza2])/(Tabella33317[Boltzmann k]*Tabella83719[[#This Row],[Temperatura]])))</f>
        <v>1.5055246783528113</v>
      </c>
      <c r="D27" s="22" cm="1">
        <f t="array" ref="D27">EXP(-(Tabella33317[Planck h]*Tabella93820[Frequenza3])/(Tabella33317[Boltzmann k]*2*Tabella83719[[#This Row],[Temperatura]]))/(1-EXP(-(Tabella33317[Planck h]*Tabella93820[Frequenza3])/(Tabella33317[Boltzmann k]*Tabella83719[[#This Row],[Temperatura]])))</f>
        <v>1.4569406744168472</v>
      </c>
      <c r="E27" s="22" cm="1">
        <f t="array" ref="E27">EXP(-(Tabella33317[Planck h]*Tabella93820[Frequenza4])/(Tabella33317[Boltzmann k]*2*Tabella83719[[#This Row],[Temperatura]]))/(1-EXP(-(Tabella33317[Planck h]*Tabella93820[Frequenza4])/(Tabella33317[Boltzmann k]*Tabella83719[[#This Row],[Temperatura]])))</f>
        <v>0.90741554716845907</v>
      </c>
      <c r="F27" s="22" cm="1">
        <f t="array" ref="F27">EXP(-(Tabella33317[Planck h]*Tabella93820[Frequenza5])/(Tabella33317[Boltzmann k]*2*Tabella83719[[#This Row],[Temperatura]]))/(1-EXP(-(Tabella33317[Planck h]*Tabella93820[Frequenza5])/(Tabella33317[Boltzmann k]*Tabella83719[[#This Row],[Temperatura]])))</f>
        <v>0.80912455295785779</v>
      </c>
      <c r="G27" s="22" cm="1">
        <f t="array" ref="G27">EXP(-(Tabella33317[Planck h]*Tabella93820[Frequenza6])/(Tabella33317[Boltzmann k]*2*Tabella83719[[#This Row],[Temperatura]]))/(1-EXP(-(Tabella33317[Planck h]*Tabella93820[Frequenza6])/(Tabella33317[Boltzmann k]*Tabella83719[[#This Row],[Temperatura]])))</f>
        <v>0.60737761019734338</v>
      </c>
      <c r="H27" s="22" cm="1">
        <f t="array" ref="H27">EXP(-(Tabella33317[Planck h]*Tabella93820[Frequenza7])/(Tabella33317[Boltzmann k]*2*Tabella83719[[#This Row],[Temperatura]]))/(1-EXP(-(Tabella33317[Planck h]*Tabella93820[Frequenza7])/(Tabella33317[Boltzmann k]*Tabella83719[[#This Row],[Temperatura]])))</f>
        <v>0.39643587572234634</v>
      </c>
      <c r="I27" s="22" cm="1">
        <f t="array" ref="I27">EXP(-(Tabella33317[Planck h]*Tabella93820[Frequenza8])/(Tabella33317[Boltzmann k]*2*Tabella83719[[#This Row],[Temperatura]]))/(1-EXP(-(Tabella33317[Planck h]*Tabella93820[Frequenza8])/(Tabella33317[Boltzmann k]*Tabella83719[[#This Row],[Temperatura]])))</f>
        <v>0.21034620299687498</v>
      </c>
      <c r="J27" s="22" cm="1">
        <f t="array" ref="J27">EXP(-(Tabella33317[Planck h]*Tabella93820[Frequenza9])/(Tabella33317[Boltzmann k]*2*Tabella83719[[#This Row],[Temperatura]]))/(1-EXP(-(Tabella33317[Planck h]*Tabella93820[Frequenza9])/(Tabella33317[Boltzmann k]*Tabella83719[[#This Row],[Temperatura]])))</f>
        <v>0.20079045602901041</v>
      </c>
      <c r="K27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1.6389905101106605E-2</v>
      </c>
    </row>
    <row r="28" spans="1:11" x14ac:dyDescent="0.35">
      <c r="A28" s="34">
        <v>1600</v>
      </c>
      <c r="B28" s="22" cm="1">
        <f t="array" ref="B28">EXP(-(Tabella33317[Planck h]*Tabella93820[Frequenza1])/(Tabella33317[Boltzmann k]*2*Tabella83719[[#This Row],[Temperatura]]))/(1-EXP(-(Tabella33317[Planck h]*Tabella93820[Frequenza1])/(Tabella33317[Boltzmann k]*Tabella83719[[#This Row],[Temperatura]])))</f>
        <v>-1.0723647418443201</v>
      </c>
      <c r="C28" s="22" cm="1">
        <f t="array" ref="C28">EXP(-(Tabella33317[Planck h]*Tabella93820[Frequenza2])/(Tabella33317[Boltzmann k]*2*Tabella83719[[#This Row],[Temperatura]]))/(1-EXP(-(Tabella33317[Planck h]*Tabella93820[Frequenza2])/(Tabella33317[Boltzmann k]*Tabella83719[[#This Row],[Temperatura]])))</f>
        <v>1.6093244497371499</v>
      </c>
      <c r="D28" s="22" cm="1">
        <f t="array" ref="D28">EXP(-(Tabella33317[Planck h]*Tabella93820[Frequenza3])/(Tabella33317[Boltzmann k]*2*Tabella83719[[#This Row],[Temperatura]]))/(1-EXP(-(Tabella33317[Planck h]*Tabella93820[Frequenza3])/(Tabella33317[Boltzmann k]*Tabella83719[[#This Row],[Temperatura]])))</f>
        <v>1.5576065086017503</v>
      </c>
      <c r="E28" s="22" cm="1">
        <f t="array" ref="E28">EXP(-(Tabella33317[Planck h]*Tabella93820[Frequenza4])/(Tabella33317[Boltzmann k]*2*Tabella83719[[#This Row],[Temperatura]]))/(1-EXP(-(Tabella33317[Planck h]*Tabella93820[Frequenza4])/(Tabella33317[Boltzmann k]*Tabella83719[[#This Row],[Temperatura]])))</f>
        <v>0.97324529418906358</v>
      </c>
      <c r="F28" s="22" cm="1">
        <f t="array" ref="F28">EXP(-(Tabella33317[Planck h]*Tabella93820[Frequenza5])/(Tabella33317[Boltzmann k]*2*Tabella83719[[#This Row],[Temperatura]]))/(1-EXP(-(Tabella33317[Planck h]*Tabella93820[Frequenza5])/(Tabella33317[Boltzmann k]*Tabella83719[[#This Row],[Temperatura]])))</f>
        <v>0.86890653021699005</v>
      </c>
      <c r="G28" s="22" cm="1">
        <f t="array" ref="G28">EXP(-(Tabella33317[Planck h]*Tabella93820[Frequenza6])/(Tabella33317[Boltzmann k]*2*Tabella83719[[#This Row],[Temperatura]]))/(1-EXP(-(Tabella33317[Planck h]*Tabella93820[Frequenza6])/(Tabella33317[Boltzmann k]*Tabella83719[[#This Row],[Temperatura]])))</f>
        <v>0.65502964619373982</v>
      </c>
      <c r="H28" s="22" cm="1">
        <f t="array" ref="H28">EXP(-(Tabella33317[Planck h]*Tabella93820[Frequenza7])/(Tabella33317[Boltzmann k]*2*Tabella83719[[#This Row],[Temperatura]]))/(1-EXP(-(Tabella33317[Planck h]*Tabella93820[Frequenza7])/(Tabella33317[Boltzmann k]*Tabella83719[[#This Row],[Temperatura]])))</f>
        <v>0.43184921250312425</v>
      </c>
      <c r="I28" s="22" cm="1">
        <f t="array" ref="I28">EXP(-(Tabella33317[Planck h]*Tabella93820[Frequenza8])/(Tabella33317[Boltzmann k]*2*Tabella83719[[#This Row],[Temperatura]]))/(1-EXP(-(Tabella33317[Planck h]*Tabella93820[Frequenza8])/(Tabella33317[Boltzmann k]*Tabella83719[[#This Row],[Temperatura]])))</f>
        <v>0.23468299999088379</v>
      </c>
      <c r="J28" s="22" cm="1">
        <f t="array" ref="J28">EXP(-(Tabella33317[Planck h]*Tabella93820[Frequenza9])/(Tabella33317[Boltzmann k]*2*Tabella83719[[#This Row],[Temperatura]]))/(1-EXP(-(Tabella33317[Planck h]*Tabella93820[Frequenza9])/(Tabella33317[Boltzmann k]*Tabella83719[[#This Row],[Temperatura]])))</f>
        <v>0.22450006848737203</v>
      </c>
      <c r="K28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3.3878990420653406E-2</v>
      </c>
    </row>
    <row r="29" spans="1:11" x14ac:dyDescent="0.35">
      <c r="A29" s="34">
        <v>1700</v>
      </c>
      <c r="B29" s="22" cm="1">
        <f t="array" ref="B29">EXP(-(Tabella33317[Planck h]*Tabella93820[Frequenza1])/(Tabella33317[Boltzmann k]*2*Tabella83719[[#This Row],[Temperatura]]))/(1-EXP(-(Tabella33317[Planck h]*Tabella93820[Frequenza1])/(Tabella33317[Boltzmann k]*Tabella83719[[#This Row],[Temperatura]])))</f>
        <v>-1.1437477818409711</v>
      </c>
      <c r="C29" s="22" cm="1">
        <f t="array" ref="C29">EXP(-(Tabella33317[Planck h]*Tabella93820[Frequenza2])/(Tabella33317[Boltzmann k]*2*Tabella83719[[#This Row],[Temperatura]]))/(1-EXP(-(Tabella33317[Planck h]*Tabella93820[Frequenza2])/(Tabella33317[Boltzmann k]*Tabella83719[[#This Row],[Temperatura]])))</f>
        <v>1.7129371398665376</v>
      </c>
      <c r="D29" s="22" cm="1">
        <f t="array" ref="D29">EXP(-(Tabella33317[Planck h]*Tabella93820[Frequenza3])/(Tabella33317[Boltzmann k]*2*Tabella83719[[#This Row],[Temperatura]]))/(1-EXP(-(Tabella33317[Planck h]*Tabella93820[Frequenza3])/(Tabella33317[Boltzmann k]*Tabella83719[[#This Row],[Temperatura]])))</f>
        <v>1.6580800895514392</v>
      </c>
      <c r="E29" s="22" cm="1">
        <f t="array" ref="E29">EXP(-(Tabella33317[Planck h]*Tabella93820[Frequenza4])/(Tabella33317[Boltzmann k]*2*Tabella83719[[#This Row],[Temperatura]]))/(1-EXP(-(Tabella33317[Planck h]*Tabella93820[Frequenza4])/(Tabella33317[Boltzmann k]*Tabella83719[[#This Row],[Temperatura]])))</f>
        <v>1.0388043949096344</v>
      </c>
      <c r="F29" s="22" cm="1">
        <f t="array" ref="F29">EXP(-(Tabella33317[Planck h]*Tabella93820[Frequenza5])/(Tabella33317[Boltzmann k]*2*Tabella83719[[#This Row],[Temperatura]]))/(1-EXP(-(Tabella33317[Planck h]*Tabella93820[Frequenza5])/(Tabella33317[Boltzmann k]*Tabella83719[[#This Row],[Temperatura]])))</f>
        <v>0.92840046323494518</v>
      </c>
      <c r="G29" s="22" cm="1">
        <f t="array" ref="G29">EXP(-(Tabella33317[Planck h]*Tabella93820[Frequenza6])/(Tabella33317[Boltzmann k]*2*Tabella83719[[#This Row],[Temperatura]]))/(1-EXP(-(Tabella33317[Planck h]*Tabella93820[Frequenza6])/(Tabella33317[Boltzmann k]*Tabella83719[[#This Row],[Temperatura]])))</f>
        <v>0.70236286395872494</v>
      </c>
      <c r="H29" s="22" cm="1">
        <f t="array" ref="H29">EXP(-(Tabella33317[Planck h]*Tabella93820[Frequenza7])/(Tabella33317[Boltzmann k]*2*Tabella83719[[#This Row],[Temperatura]]))/(1-EXP(-(Tabella33317[Planck h]*Tabella93820[Frequenza7])/(Tabella33317[Boltzmann k]*Tabella83719[[#This Row],[Temperatura]])))</f>
        <v>0.46696429889137908</v>
      </c>
      <c r="I29" s="22" cm="1">
        <f t="array" ref="I29">EXP(-(Tabella33317[Planck h]*Tabella93820[Frequenza8])/(Tabella33317[Boltzmann k]*2*Tabella83719[[#This Row],[Temperatura]]))/(1-EXP(-(Tabella33317[Planck h]*Tabella93820[Frequenza8])/(Tabella33317[Boltzmann k]*Tabella83719[[#This Row],[Temperatura]])))</f>
        <v>0.25895612001174134</v>
      </c>
      <c r="J29" s="22" cm="1">
        <f t="array" ref="J29">EXP(-(Tabella33317[Planck h]*Tabella93820[Frequenza9])/(Tabella33317[Boltzmann k]*2*Tabella83719[[#This Row],[Temperatura]]))/(1-EXP(-(Tabella33317[Planck h]*Tabella93820[Frequenza9])/(Tabella33317[Boltzmann k]*Tabella83719[[#This Row],[Temperatura]])))</f>
        <v>0.24817081645007422</v>
      </c>
      <c r="K29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6.6034125386743511E-2</v>
      </c>
    </row>
    <row r="30" spans="1:11" x14ac:dyDescent="0.35">
      <c r="A30" s="34">
        <v>1800</v>
      </c>
      <c r="B30" s="22" cm="1">
        <f t="array" ref="B30">EXP(-(Tabella33317[Planck h]*Tabella93820[Frequenza1])/(Tabella33317[Boltzmann k]*2*Tabella83719[[#This Row],[Temperatura]]))/(1-EXP(-(Tabella33317[Planck h]*Tabella93820[Frequenza1])/(Tabella33317[Boltzmann k]*Tabella83719[[#This Row],[Temperatura]])))</f>
        <v>-1.2149149414586931</v>
      </c>
      <c r="C30" s="22" cm="1">
        <f t="array" ref="C30">EXP(-(Tabella33317[Planck h]*Tabella93820[Frequenza2])/(Tabella33317[Boltzmann k]*2*Tabella83719[[#This Row],[Temperatura]]))/(1-EXP(-(Tabella33317[Planck h]*Tabella93820[Frequenza2])/(Tabella33317[Boltzmann k]*Tabella83719[[#This Row],[Temperatura]])))</f>
        <v>1.8163927266048674</v>
      </c>
      <c r="D30" s="22" cm="1">
        <f t="array" ref="D30">EXP(-(Tabella33317[Planck h]*Tabella93820[Frequenza3])/(Tabella33317[Boltzmann k]*2*Tabella83719[[#This Row],[Temperatura]]))/(1-EXP(-(Tabella33317[Planck h]*Tabella93820[Frequenza3])/(Tabella33317[Boltzmann k]*Tabella83719[[#This Row],[Temperatura]])))</f>
        <v>1.7583921413948371</v>
      </c>
      <c r="E30" s="22" cm="1">
        <f t="array" ref="E30">EXP(-(Tabella33317[Planck h]*Tabella93820[Frequenza4])/(Tabella33317[Boltzmann k]*2*Tabella83719[[#This Row],[Temperatura]]))/(1-EXP(-(Tabella33317[Planck h]*Tabella93820[Frequenza4])/(Tabella33317[Boltzmann k]*Tabella83719[[#This Row],[Temperatura]])))</f>
        <v>1.1041332725358954</v>
      </c>
      <c r="F30" s="22" cm="1">
        <f t="array" ref="F30">EXP(-(Tabella33317[Planck h]*Tabella93820[Frequenza5])/(Tabella33317[Boltzmann k]*2*Tabella83719[[#This Row],[Temperatura]]))/(1-EXP(-(Tabella33317[Planck h]*Tabella93820[Frequenza5])/(Tabella33317[Boltzmann k]*Tabella83719[[#This Row],[Temperatura]])))</f>
        <v>0.98764813302407695</v>
      </c>
      <c r="G30" s="22" cm="1">
        <f t="array" ref="G30">EXP(-(Tabella33317[Planck h]*Tabella93820[Frequenza6])/(Tabella33317[Boltzmann k]*2*Tabella83719[[#This Row],[Temperatura]]))/(1-EXP(-(Tabella33317[Planck h]*Tabella93820[Frequenza6])/(Tabella33317[Boltzmann k]*Tabella83719[[#This Row],[Temperatura]])))</f>
        <v>0.74941840041320451</v>
      </c>
      <c r="H30" s="22" cm="1">
        <f t="array" ref="H30">EXP(-(Tabella33317[Planck h]*Tabella93820[Frequenza7])/(Tabella33317[Boltzmann k]*2*Tabella83719[[#This Row],[Temperatura]]))/(1-EXP(-(Tabella33317[Planck h]*Tabella93820[Frequenza7])/(Tabella33317[Boltzmann k]*Tabella83719[[#This Row],[Temperatura]])))</f>
        <v>0.50180454672987596</v>
      </c>
      <c r="I30" s="22" cm="1">
        <f t="array" ref="I30">EXP(-(Tabella33317[Planck h]*Tabella93820[Frequenza8])/(Tabella33317[Boltzmann k]*2*Tabella83719[[#This Row],[Temperatura]]))/(1-EXP(-(Tabella33317[Planck h]*Tabella93820[Frequenza8])/(Tabella33317[Boltzmann k]*Tabella83719[[#This Row],[Temperatura]])))</f>
        <v>0.28312624510670614</v>
      </c>
      <c r="J30" s="22" cm="1">
        <f t="array" ref="J30">EXP(-(Tabella33317[Planck h]*Tabella93820[Frequenza9])/(Tabella33317[Boltzmann k]*2*Tabella83719[[#This Row],[Temperatura]]))/(1-EXP(-(Tabella33317[Planck h]*Tabella93820[Frequenza9])/(Tabella33317[Boltzmann k]*Tabella83719[[#This Row],[Temperatura]])))</f>
        <v>0.27175818505557364</v>
      </c>
      <c r="K30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0.12243816518214697</v>
      </c>
    </row>
    <row r="31" spans="1:11" x14ac:dyDescent="0.35">
      <c r="A31" s="34">
        <v>1900</v>
      </c>
      <c r="B31" s="22" cm="1">
        <f t="array" ref="B31">EXP(-(Tabella33317[Planck h]*Tabella93820[Frequenza1])/(Tabella33317[Boltzmann k]*2*Tabella83719[[#This Row],[Temperatura]]))/(1-EXP(-(Tabella33317[Planck h]*Tabella93820[Frequenza1])/(Tabella33317[Boltzmann k]*Tabella83719[[#This Row],[Temperatura]])))</f>
        <v>-1.2858977092260466</v>
      </c>
      <c r="C31" s="22" cm="1">
        <f t="array" ref="C31">EXP(-(Tabella33317[Planck h]*Tabella93820[Frequenza2])/(Tabella33317[Boltzmann k]*2*Tabella83719[[#This Row],[Temperatura]]))/(1-EXP(-(Tabella33317[Planck h]*Tabella93820[Frequenza2])/(Tabella33317[Boltzmann k]*Tabella83719[[#This Row],[Temperatura]])))</f>
        <v>1.9197151638544914</v>
      </c>
      <c r="D31" s="22" cm="1">
        <f t="array" ref="D31">EXP(-(Tabella33317[Planck h]*Tabella93820[Frequenza3])/(Tabella33317[Boltzmann k]*2*Tabella83719[[#This Row],[Temperatura]]))/(1-EXP(-(Tabella33317[Planck h]*Tabella93820[Frequenza3])/(Tabella33317[Boltzmann k]*Tabella83719[[#This Row],[Temperatura]])))</f>
        <v>1.8585672345133115</v>
      </c>
      <c r="E31" s="22" cm="1">
        <f t="array" ref="E31">EXP(-(Tabella33317[Planck h]*Tabella93820[Frequenza4])/(Tabella33317[Boltzmann k]*2*Tabella83719[[#This Row],[Temperatura]]))/(1-EXP(-(Tabella33317[Planck h]*Tabella93820[Frequenza4])/(Tabella33317[Boltzmann k]*Tabella83719[[#This Row],[Temperatura]])))</f>
        <v>1.1692649312313617</v>
      </c>
      <c r="F31" s="22" cm="1">
        <f t="array" ref="F31">EXP(-(Tabella33317[Planck h]*Tabella93820[Frequenza5])/(Tabella33317[Boltzmann k]*2*Tabella83719[[#This Row],[Temperatura]]))/(1-EXP(-(Tabella33317[Planck h]*Tabella93820[Frequenza5])/(Tabella33317[Boltzmann k]*Tabella83719[[#This Row],[Temperatura]])))</f>
        <v>1.0466839609871907</v>
      </c>
      <c r="G31" s="22" cm="1">
        <f t="array" ref="G31">EXP(-(Tabella33317[Planck h]*Tabella93820[Frequenza6])/(Tabella33317[Boltzmann k]*2*Tabella83719[[#This Row],[Temperatura]]))/(1-EXP(-(Tabella33317[Planck h]*Tabella93820[Frequenza6])/(Tabella33317[Boltzmann k]*Tabella83719[[#This Row],[Temperatura]])))</f>
        <v>0.79623140809737747</v>
      </c>
      <c r="H31" s="22" cm="1">
        <f t="array" ref="H31">EXP(-(Tabella33317[Planck h]*Tabella93820[Frequenza7])/(Tabella33317[Boltzmann k]*2*Tabella83719[[#This Row],[Temperatura]]))/(1-EXP(-(Tabella33317[Planck h]*Tabella93820[Frequenza7])/(Tabella33317[Boltzmann k]*Tabella83719[[#This Row],[Temperatura]])))</f>
        <v>0.53639380537446801</v>
      </c>
      <c r="I31" s="22" cm="1">
        <f t="array" ref="I31">EXP(-(Tabella33317[Planck h]*Tabella93820[Frequenza8])/(Tabella33317[Boltzmann k]*2*Tabella83719[[#This Row],[Temperatura]]))/(1-EXP(-(Tabella33317[Planck h]*Tabella93820[Frequenza8])/(Tabella33317[Boltzmann k]*Tabella83719[[#This Row],[Temperatura]])))</f>
        <v>0.3071699465782195</v>
      </c>
      <c r="J31" s="22" cm="1">
        <f t="array" ref="J31">EXP(-(Tabella33317[Planck h]*Tabella93820[Frequenza9])/(Tabella33317[Boltzmann k]*2*Tabella83719[[#This Row],[Temperatura]]))/(1-EXP(-(Tabella33317[Planck h]*Tabella93820[Frequenza9])/(Tabella33317[Boltzmann k]*Tabella83719[[#This Row],[Temperatura]])))</f>
        <v>0.2952345374564837</v>
      </c>
      <c r="K31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0.2174798025935821</v>
      </c>
    </row>
    <row r="32" spans="1:11" ht="15" thickBot="1" x14ac:dyDescent="0.4">
      <c r="A32" s="36">
        <v>2000</v>
      </c>
      <c r="B32" s="37" cm="1">
        <f t="array" ref="B32">EXP(-(Tabella33317[Planck h]*Tabella93820[Frequenza1])/(Tabella33317[Boltzmann k]*2*Tabella83719[[#This Row],[Temperatura]]))/(1-EXP(-(Tabella33317[Planck h]*Tabella93820[Frequenza1])/(Tabella33317[Boltzmann k]*Tabella83719[[#This Row],[Temperatura]])))</f>
        <v>-1.356721859191985</v>
      </c>
      <c r="C32" s="37" cm="1">
        <f t="array" ref="C32">EXP(-(Tabella33317[Planck h]*Tabella93820[Frequenza2])/(Tabella33317[Boltzmann k]*2*Tabella83719[[#This Row],[Temperatura]]))/(1-EXP(-(Tabella33317[Planck h]*Tabella93820[Frequenza2])/(Tabella33317[Boltzmann k]*Tabella83719[[#This Row],[Temperatura]])))</f>
        <v>2.0229238091537729</v>
      </c>
      <c r="D32" s="37" cm="1">
        <f t="array" ref="D32">EXP(-(Tabella33317[Planck h]*Tabella93820[Frequenza3])/(Tabella33317[Boltzmann k]*2*Tabella83719[[#This Row],[Temperatura]]))/(1-EXP(-(Tabella33317[Planck h]*Tabella93820[Frequenza3])/(Tabella33317[Boltzmann k]*Tabella83719[[#This Row],[Temperatura]])))</f>
        <v>1.9586252382211293</v>
      </c>
      <c r="E32" s="37" cm="1">
        <f t="array" ref="E32">EXP(-(Tabella33317[Planck h]*Tabella93820[Frequenza4])/(Tabella33317[Boltzmann k]*2*Tabella83719[[#This Row],[Temperatura]]))/(1-EXP(-(Tabella33317[Planck h]*Tabella93820[Frequenza4])/(Tabella33317[Boltzmann k]*Tabella83719[[#This Row],[Temperatura]])))</f>
        <v>1.2342265211537864</v>
      </c>
      <c r="F32" s="37" cm="1">
        <f t="array" ref="F32">EXP(-(Tabella33317[Planck h]*Tabella93820[Frequenza5])/(Tabella33317[Boltzmann k]*2*Tabella83719[[#This Row],[Temperatura]]))/(1-EXP(-(Tabella33317[Planck h]*Tabella93820[Frequenza5])/(Tabella33317[Boltzmann k]*Tabella83719[[#This Row],[Temperatura]])))</f>
        <v>1.1055364714753193</v>
      </c>
      <c r="G32" s="37" cm="1">
        <f t="array" ref="G32">EXP(-(Tabella33317[Planck h]*Tabella93820[Frequenza6])/(Tabella33317[Boltzmann k]*2*Tabella83719[[#This Row],[Temperatura]]))/(1-EXP(-(Tabella33317[Planck h]*Tabella93820[Frequenza6])/(Tabella33317[Boltzmann k]*Tabella83719[[#This Row],[Temperatura]])))</f>
        <v>0.84283187483997479</v>
      </c>
      <c r="H32" s="37" cm="1">
        <f t="array" ref="H32">EXP(-(Tabella33317[Planck h]*Tabella93820[Frequenza7])/(Tabella33317[Boltzmann k]*2*Tabella83719[[#This Row],[Temperatura]]))/(1-EXP(-(Tabella33317[Planck h]*Tabella93820[Frequenza7])/(Tabella33317[Boltzmann k]*Tabella83719[[#This Row],[Temperatura]])))</f>
        <v>0.57075503355265078</v>
      </c>
      <c r="I32" s="37" cm="1">
        <f t="array" ref="I32">EXP(-(Tabella33317[Planck h]*Tabella93820[Frequenza8])/(Tabella33317[Boltzmann k]*2*Tabella83719[[#This Row],[Temperatura]]))/(1-EXP(-(Tabella33317[Planck h]*Tabella93820[Frequenza8])/(Tabella33317[Boltzmann k]*Tabella83719[[#This Row],[Temperatura]])))</f>
        <v>0.33107462810810201</v>
      </c>
      <c r="J32" s="37" cm="1">
        <f t="array" ref="J32">EXP(-(Tabella33317[Planck h]*Tabella93820[Frequenza9])/(Tabella33317[Boltzmann k]*2*Tabella83719[[#This Row],[Temperatura]]))/(1-EXP(-(Tabella33317[Planck h]*Tabella93820[Frequenza9])/(Tabella33317[Boltzmann k]*Tabella83719[[#This Row],[Temperatura]])))</f>
        <v>0.3185839052350759</v>
      </c>
      <c r="K32" s="39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0.37216032891795631</v>
      </c>
    </row>
    <row r="34" spans="1:9" ht="15" thickBot="1" x14ac:dyDescent="0.4"/>
    <row r="35" spans="1:9" ht="15" thickBot="1" x14ac:dyDescent="0.4">
      <c r="A35" s="28" t="s">
        <v>38</v>
      </c>
      <c r="B35" s="29" t="s">
        <v>55</v>
      </c>
      <c r="C35" s="29" t="s">
        <v>56</v>
      </c>
      <c r="D35" s="29" t="s">
        <v>57</v>
      </c>
      <c r="E35" s="29" t="s">
        <v>58</v>
      </c>
      <c r="F35" s="30" t="s">
        <v>59</v>
      </c>
      <c r="G35" s="30" t="s">
        <v>48</v>
      </c>
      <c r="I35" s="42" t="s">
        <v>60</v>
      </c>
    </row>
    <row r="36" spans="1:9" x14ac:dyDescent="0.35">
      <c r="A36" s="102">
        <v>298.14999999999998</v>
      </c>
      <c r="B36" s="103" cm="1">
        <f t="array" ref="B36">(Tabella33317[Boltzmann k]*A36)/101325</f>
        <v>4.0625758633111278E-26</v>
      </c>
      <c r="C36" s="103" cm="1">
        <f t="array" ref="C36">POWER((2*PI()*Tabella33317[Massa '[kg']]*Tabella33317[Boltzmann k]*A36)/(POWER(Tabella33317[Planck h],2)),1.5)*B36</f>
        <v>3008806.1732798032</v>
      </c>
      <c r="D36" s="103">
        <f t="shared" ref="D36:D53" si="0">K15</f>
        <v>1.2021433857767818E-16</v>
      </c>
      <c r="E36" s="103" cm="1">
        <f t="array" ref="E36">((SQRT(PI())/Tabella63618[Simmetria]))*(SQRT(POWER(A36,3)/PRODUCT($F$7,$G$7,$H$7)))</f>
        <v>782.25144460256433</v>
      </c>
      <c r="F36" s="104">
        <v>2</v>
      </c>
      <c r="G36" s="106">
        <f>C36*D36*E36*F36</f>
        <v>5.6588326711403247E-7</v>
      </c>
      <c r="I36" s="40">
        <f>F36*E36*D36*C36</f>
        <v>5.6588326711403247E-7</v>
      </c>
    </row>
    <row r="37" spans="1:9" x14ac:dyDescent="0.35">
      <c r="A37" s="3">
        <v>400</v>
      </c>
      <c r="B37" s="54" cm="1">
        <f t="array" ref="B37">(Tabella33317[Boltzmann k]*A37)/101325</f>
        <v>5.4503784850727862E-26</v>
      </c>
      <c r="C37" s="54" cm="1">
        <f t="array" ref="C37">POWER((2*PI()*Tabella33317[Massa '[kg']]*Tabella33317[Boltzmann k]*A37)/(POWER(Tabella33317[Planck h],2)),1.5)*B37</f>
        <v>6272738.1054960983</v>
      </c>
      <c r="D37" s="54">
        <f t="shared" si="0"/>
        <v>1.6141533925174977E-12</v>
      </c>
      <c r="E37" s="54" cm="1">
        <f t="array" ref="E37">((SQRT(PI())/Tabella63618[Simmetria]))*(SQRT(POWER(A37,3)/PRODUCT($F$7,$G$7,$H$7)))</f>
        <v>1215.5816634692333</v>
      </c>
      <c r="F37" s="77">
        <v>2</v>
      </c>
      <c r="G37" s="107">
        <f t="shared" ref="G37:G53" si="1">C37*D37*E37*F37</f>
        <v>2.4615921301987101E-2</v>
      </c>
      <c r="I37" s="40">
        <f t="shared" ref="I37:I53" si="2">F37*E37*D37*C37</f>
        <v>2.4615921301987101E-2</v>
      </c>
    </row>
    <row r="38" spans="1:9" x14ac:dyDescent="0.35">
      <c r="A38" s="3">
        <v>500</v>
      </c>
      <c r="B38" s="54" cm="1">
        <f t="array" ref="B38">(Tabella33317[Boltzmann k]*A38)/101325</f>
        <v>6.8129731063409828E-26</v>
      </c>
      <c r="C38" s="54" cm="1">
        <f t="array" ref="C38">POWER((2*PI()*Tabella33317[Massa '[kg']]*Tabella33317[Boltzmann k]*A38)/(POWER(Tabella33317[Planck h],2)),1.5)*B38</f>
        <v>10958022.506986409</v>
      </c>
      <c r="D38" s="54">
        <f t="shared" si="0"/>
        <v>4.725428284870911E-10</v>
      </c>
      <c r="E38" s="54" cm="1">
        <f t="array" ref="E38">((SQRT(PI())/Tabella63618[Simmetria]))*(SQRT(POWER(A38,3)/PRODUCT($F$7,$G$7,$H$7)))</f>
        <v>1698.8270198246742</v>
      </c>
      <c r="F38" s="77">
        <v>2</v>
      </c>
      <c r="G38" s="107">
        <f t="shared" si="1"/>
        <v>17.59351113097711</v>
      </c>
      <c r="I38" s="40">
        <f t="shared" si="2"/>
        <v>17.59351113097711</v>
      </c>
    </row>
    <row r="39" spans="1:9" x14ac:dyDescent="0.35">
      <c r="A39" s="3">
        <v>600</v>
      </c>
      <c r="B39" s="54" cm="1">
        <f t="array" ref="B39">(Tabella33317[Boltzmann k]*A39)/101325</f>
        <v>8.1755677276091782E-26</v>
      </c>
      <c r="C39" s="54" cm="1">
        <f t="array" ref="C39">POWER((2*PI()*Tabella33317[Massa '[kg']]*Tabella33317[Boltzmann k]*A39)/(POWER(Tabella33317[Planck h],2)),1.5)*B39</f>
        <v>17285633.604650248</v>
      </c>
      <c r="D39" s="54">
        <f t="shared" si="0"/>
        <v>2.3121251036434222E-8</v>
      </c>
      <c r="E39" s="54" cm="1">
        <f t="array" ref="E39">((SQRT(PI())/Tabella63618[Simmetria]))*(SQRT(POWER(A39,3)/PRODUCT($F$7,$G$7,$H$7)))</f>
        <v>2233.1661121374004</v>
      </c>
      <c r="F39" s="77">
        <v>2</v>
      </c>
      <c r="G39" s="107">
        <f t="shared" si="1"/>
        <v>1785.0387849959702</v>
      </c>
      <c r="I39" s="40">
        <f t="shared" si="2"/>
        <v>1785.0387849959702</v>
      </c>
    </row>
    <row r="40" spans="1:9" x14ac:dyDescent="0.35">
      <c r="A40" s="3">
        <v>700</v>
      </c>
      <c r="B40" s="54" cm="1">
        <f t="array" ref="B40">(Tabella33317[Boltzmann k]*A40)/101325</f>
        <v>9.5381623488773759E-26</v>
      </c>
      <c r="C40" s="54" cm="1">
        <f t="array" ref="C40">POWER((2*PI()*Tabella33317[Massa '[kg']]*Tabella33317[Boltzmann k]*A40)/(POWER(Tabella33317[Planck h],2)),1.5)*B40</f>
        <v>25412785.883202542</v>
      </c>
      <c r="D40" s="54">
        <f t="shared" si="0"/>
        <v>4.0792004369423415E-7</v>
      </c>
      <c r="E40" s="54" cm="1">
        <f t="array" ref="E40">((SQRT(PI())/Tabella63618[Simmetria]))*(SQRT(POWER(A40,3)/PRODUCT($F$7,$G$7,$H$7)))</f>
        <v>2814.110932351075</v>
      </c>
      <c r="F40" s="77">
        <v>2</v>
      </c>
      <c r="G40" s="107">
        <f t="shared" si="1"/>
        <v>58344.313183302234</v>
      </c>
      <c r="I40" s="40">
        <f t="shared" si="2"/>
        <v>58344.313183302234</v>
      </c>
    </row>
    <row r="41" spans="1:9" x14ac:dyDescent="0.35">
      <c r="A41" s="3">
        <v>800</v>
      </c>
      <c r="B41" s="54" cm="1">
        <f t="array" ref="B41">(Tabella33317[Boltzmann k]*A41)/101325</f>
        <v>1.0900756970145572E-25</v>
      </c>
      <c r="C41" s="54" cm="1">
        <f t="array" ref="C41">POWER((2*PI()*Tabella33317[Massa '[kg']]*Tabella33317[Boltzmann k]*A41)/(POWER(Tabella33317[Planck h],2)),1.5)*B41</f>
        <v>35483965.208028488</v>
      </c>
      <c r="D41" s="54">
        <f t="shared" si="0"/>
        <v>3.8015322009812312E-6</v>
      </c>
      <c r="E41" s="54" cm="1">
        <f t="array" ref="E41">((SQRT(PI())/Tabella63618[Simmetria]))*(SQRT(POWER(A41,3)/PRODUCT($F$7,$G$7,$H$7)))</f>
        <v>3438.1841493004745</v>
      </c>
      <c r="F41" s="77">
        <v>2</v>
      </c>
      <c r="G41" s="107">
        <f t="shared" si="1"/>
        <v>927576.94945336774</v>
      </c>
      <c r="I41" s="40">
        <f t="shared" si="2"/>
        <v>927576.94945336785</v>
      </c>
    </row>
    <row r="42" spans="1:9" x14ac:dyDescent="0.35">
      <c r="A42" s="3">
        <v>900</v>
      </c>
      <c r="B42" s="54" cm="1">
        <f t="array" ref="B42">(Tabella33317[Boltzmann k]*A42)/101325</f>
        <v>1.2263351591413768E-25</v>
      </c>
      <c r="C42" s="54" cm="1">
        <f t="array" ref="C42">POWER((2*PI()*Tabella33317[Massa '[kg']]*Tabella33317[Boltzmann k]*A42)/(POWER(Tabella33317[Planck h],2)),1.5)*B42</f>
        <v>47633604.988611072</v>
      </c>
      <c r="D42" s="54">
        <f t="shared" si="0"/>
        <v>2.311069478978391E-5</v>
      </c>
      <c r="E42" s="54" cm="1">
        <f t="array" ref="E42">((SQRT(PI())/Tabella63618[Simmetria]))*(SQRT(POWER(A42,3)/PRODUCT($F$7,$G$7,$H$7)))</f>
        <v>4102.5881142086628</v>
      </c>
      <c r="F42" s="77">
        <v>2</v>
      </c>
      <c r="G42" s="107">
        <f t="shared" si="1"/>
        <v>9032633.0231868774</v>
      </c>
      <c r="I42" s="40">
        <f t="shared" si="2"/>
        <v>9032633.0231868774</v>
      </c>
    </row>
    <row r="43" spans="1:9" x14ac:dyDescent="0.35">
      <c r="A43" s="3">
        <v>1000</v>
      </c>
      <c r="B43" s="54" cm="1">
        <f t="array" ref="B43">(Tabella33317[Boltzmann k]*A43)/101325</f>
        <v>1.3625946212681966E-25</v>
      </c>
      <c r="C43" s="54" cm="1">
        <f t="array" ref="C43">POWER((2*PI()*Tabella33317[Massa '[kg']]*Tabella33317[Boltzmann k]*A43)/(POWER(Tabella33317[Planck h],2)),1.5)*B43</f>
        <v>61987936.184679382</v>
      </c>
      <c r="D43" s="54">
        <f t="shared" si="0"/>
        <v>1.0397641957882253E-4</v>
      </c>
      <c r="E43" s="54" cm="1">
        <f t="array" ref="E43">((SQRT(PI())/Tabella63618[Simmetria]))*(SQRT(POWER(A43,3)/PRODUCT($F$7,$G$7,$H$7)))</f>
        <v>4805.0084231238425</v>
      </c>
      <c r="F43" s="77">
        <v>2</v>
      </c>
      <c r="G43" s="107">
        <f t="shared" si="1"/>
        <v>61939284.566470183</v>
      </c>
      <c r="I43" s="40">
        <f t="shared" si="2"/>
        <v>61939284.566470183</v>
      </c>
    </row>
    <row r="44" spans="1:9" x14ac:dyDescent="0.35">
      <c r="A44" s="3">
        <v>1100</v>
      </c>
      <c r="B44" s="54" cm="1">
        <f t="array" ref="B44">(Tabella33317[Boltzmann k]*A44)/101325</f>
        <v>1.4988540833950161E-25</v>
      </c>
      <c r="C44" s="54" cm="1">
        <f t="array" ref="C44">POWER((2*PI()*Tabella33317[Massa '[kg']]*Tabella33317[Boltzmann k]*A44)/(POWER(Tabella33317[Planck h],2)),1.5)*B44</f>
        <v>78666330.099860504</v>
      </c>
      <c r="D44" s="54">
        <f t="shared" si="0"/>
        <v>3.7507891762489723E-4</v>
      </c>
      <c r="E44" s="54" cm="1">
        <f t="array" ref="E44">((SQRT(PI())/Tabella63618[Simmetria]))*(SQRT(POWER(A44,3)/PRODUCT($F$7,$G$7,$H$7)))</f>
        <v>5543.4888846748318</v>
      </c>
      <c r="F44" s="77">
        <v>2</v>
      </c>
      <c r="G44" s="107">
        <f t="shared" si="1"/>
        <v>327133274.61119545</v>
      </c>
      <c r="I44" s="40">
        <f t="shared" si="2"/>
        <v>327133274.61119545</v>
      </c>
    </row>
    <row r="45" spans="1:9" x14ac:dyDescent="0.35">
      <c r="A45" s="3">
        <v>1200</v>
      </c>
      <c r="B45" s="54" cm="1">
        <f t="array" ref="B45">(Tabella33317[Boltzmann k]*A45)/101325</f>
        <v>1.6351135455218356E-25</v>
      </c>
      <c r="C45" s="54" cm="1">
        <f t="array" ref="C45">POWER((2*PI()*Tabella33317[Massa '[kg']]*Tabella33317[Boltzmann k]*A45)/(POWER(Tabella33317[Planck h],2)),1.5)*B45</f>
        <v>97782309.911632925</v>
      </c>
      <c r="D45" s="54">
        <f t="shared" si="0"/>
        <v>1.1443454384600764E-3</v>
      </c>
      <c r="E45" s="54" cm="1">
        <f t="array" ref="E45">((SQRT(PI())/Tabella63618[Simmetria]))*(SQRT(POWER(A45,3)/PRODUCT($F$7,$G$7,$H$7)))</f>
        <v>6316.3476056334148</v>
      </c>
      <c r="F45" s="77">
        <v>2</v>
      </c>
      <c r="G45" s="107">
        <f t="shared" si="1"/>
        <v>1413557415.4637673</v>
      </c>
      <c r="I45" s="40">
        <f t="shared" si="2"/>
        <v>1413557415.4637673</v>
      </c>
    </row>
    <row r="46" spans="1:9" x14ac:dyDescent="0.35">
      <c r="A46" s="3">
        <v>1300</v>
      </c>
      <c r="B46" s="54" cm="1">
        <f t="array" ref="B46">(Tabella33317[Boltzmann k]*A46)/101325</f>
        <v>1.7713730076486554E-25</v>
      </c>
      <c r="C46" s="54" cm="1">
        <f t="array" ref="C46">POWER((2*PI()*Tabella33317[Massa '[kg']]*Tabella33317[Boltzmann k]*A46)/(POWER(Tabella33317[Planck h],2)),1.5)*B46</f>
        <v>119444335.31875111</v>
      </c>
      <c r="D46" s="54">
        <f t="shared" si="0"/>
        <v>3.0640322366207481E-3</v>
      </c>
      <c r="E46" s="54" cm="1">
        <f t="array" ref="E46">((SQRT(PI())/Tabella63618[Simmetria]))*(SQRT(POWER(A46,3)/PRODUCT($F$7,$G$7,$H$7)))</f>
        <v>7122.118277872215</v>
      </c>
      <c r="F46" s="77">
        <v>2</v>
      </c>
      <c r="G46" s="107">
        <f t="shared" si="1"/>
        <v>5213124125.2661152</v>
      </c>
      <c r="I46" s="40">
        <f t="shared" si="2"/>
        <v>5213124125.2661152</v>
      </c>
    </row>
    <row r="47" spans="1:9" x14ac:dyDescent="0.35">
      <c r="A47" s="3">
        <v>1400</v>
      </c>
      <c r="B47" s="54" cm="1">
        <f t="array" ref="B47">(Tabella33317[Boltzmann k]*A47)/101325</f>
        <v>1.9076324697754752E-25</v>
      </c>
      <c r="C47" s="54" cm="1">
        <f t="array" ref="C47">POWER((2*PI()*Tabella33317[Massa '[kg']]*Tabella33317[Boltzmann k]*A47)/(POWER(Tabella33317[Planck h],2)),1.5)*B47</f>
        <v>143756425.81483465</v>
      </c>
      <c r="D47" s="54">
        <f t="shared" si="0"/>
        <v>7.3929454051975168E-3</v>
      </c>
      <c r="E47" s="54" cm="1">
        <f t="array" ref="E47">((SQRT(PI())/Tabella63618[Simmetria]))*(SQRT(POWER(A47,3)/PRODUCT($F$7,$G$7,$H$7)))</f>
        <v>7959.5076931065714</v>
      </c>
      <c r="F47" s="77">
        <v>2</v>
      </c>
      <c r="G47" s="107">
        <f t="shared" si="1"/>
        <v>16918465419.315102</v>
      </c>
      <c r="I47" s="40">
        <f t="shared" si="2"/>
        <v>16918465419.3151</v>
      </c>
    </row>
    <row r="48" spans="1:9" x14ac:dyDescent="0.35">
      <c r="A48" s="3">
        <v>1500</v>
      </c>
      <c r="B48" s="54" cm="1">
        <f t="array" ref="B48">(Tabella33317[Boltzmann k]*A48)/101325</f>
        <v>2.0438919319022949E-25</v>
      </c>
      <c r="C48" s="54" cm="1">
        <f t="array" ref="C48">POWER((2*PI()*Tabella33317[Massa '[kg']]*Tabella33317[Boltzmann k]*A48)/(POWER(Tabella33317[Planck h],2)),1.5)*B48</f>
        <v>170818665.59325552</v>
      </c>
      <c r="D48" s="54">
        <f t="shared" si="0"/>
        <v>1.6389905101106605E-2</v>
      </c>
      <c r="E48" s="54" cm="1">
        <f t="array" ref="E48">((SQRT(PI())/Tabella63618[Simmetria]))*(SQRT(POWER(A48,3)/PRODUCT($F$7,$G$7,$H$7)))</f>
        <v>8827.3641348214678</v>
      </c>
      <c r="F48" s="77">
        <v>2</v>
      </c>
      <c r="G48" s="107">
        <f t="shared" si="1"/>
        <v>49427973077.425499</v>
      </c>
      <c r="I48" s="40">
        <f t="shared" si="2"/>
        <v>49427973077.425499</v>
      </c>
    </row>
    <row r="49" spans="1:9" x14ac:dyDescent="0.35">
      <c r="A49" s="3">
        <v>1600</v>
      </c>
      <c r="B49" s="54" cm="1">
        <f t="array" ref="B49">(Tabella33317[Boltzmann k]*A49)/101325</f>
        <v>2.1801513940291145E-25</v>
      </c>
      <c r="C49" s="54" cm="1">
        <f t="array" ref="C49">POWER((2*PI()*Tabella33317[Massa '[kg']]*Tabella33317[Boltzmann k]*A49)/(POWER(Tabella33317[Planck h],2)),1.5)*B49</f>
        <v>200727619.37587342</v>
      </c>
      <c r="D49" s="54">
        <f t="shared" si="0"/>
        <v>3.3878990420653406E-2</v>
      </c>
      <c r="E49" s="54" cm="1">
        <f t="array" ref="E49">((SQRT(PI())/Tabella63618[Simmetria]))*(SQRT(POWER(A49,3)/PRODUCT($F$7,$G$7,$H$7)))</f>
        <v>9724.6533077538661</v>
      </c>
      <c r="F49" s="77">
        <v>2</v>
      </c>
      <c r="G49" s="107">
        <f t="shared" si="1"/>
        <v>132264019552.27567</v>
      </c>
      <c r="I49" s="40">
        <f t="shared" si="2"/>
        <v>132264019552.27565</v>
      </c>
    </row>
    <row r="50" spans="1:9" x14ac:dyDescent="0.35">
      <c r="A50" s="3">
        <v>1700</v>
      </c>
      <c r="B50" s="54" cm="1">
        <f t="array" ref="B50">(Tabella33317[Boltzmann k]*A50)/101325</f>
        <v>2.316410856155934E-25</v>
      </c>
      <c r="C50" s="54" cm="1">
        <f t="array" ref="C50">POWER((2*PI()*Tabella33317[Massa '[kg']]*Tabella33317[Boltzmann k]*A50)/(POWER(Tabella33317[Planck h],2)),1.5)*B50</f>
        <v>233576679.74251214</v>
      </c>
      <c r="D50" s="54">
        <f t="shared" si="0"/>
        <v>6.6034125386743511E-2</v>
      </c>
      <c r="E50" s="54" cm="1">
        <f t="array" ref="E50">((SQRT(PI())/Tabella63618[Simmetria]))*(SQRT(POWER(A50,3)/PRODUCT($F$7,$G$7,$H$7)))</f>
        <v>10650.439639476299</v>
      </c>
      <c r="F50" s="77">
        <v>2</v>
      </c>
      <c r="G50" s="107">
        <f t="shared" si="1"/>
        <v>328545438462.01135</v>
      </c>
      <c r="I50" s="40">
        <f t="shared" si="2"/>
        <v>328545438462.01135</v>
      </c>
    </row>
    <row r="51" spans="1:9" x14ac:dyDescent="0.35">
      <c r="A51" s="3">
        <v>1800</v>
      </c>
      <c r="B51" s="54" cm="1">
        <f t="array" ref="B51">(Tabella33317[Boltzmann k]*A51)/101325</f>
        <v>2.4526703182827536E-25</v>
      </c>
      <c r="C51" s="54" cm="1">
        <f t="array" ref="C51">POWER((2*PI()*Tabella33317[Massa '[kg']]*Tabella33317[Boltzmann k]*A51)/(POWER(Tabella33317[Planck h],2)),1.5)*B51</f>
        <v>269456360.79846668</v>
      </c>
      <c r="D51" s="54">
        <f t="shared" si="0"/>
        <v>0.12243816518214697</v>
      </c>
      <c r="E51" s="54" cm="1">
        <f t="array" ref="E51">((SQRT(PI())/Tabella63618[Simmetria]))*(SQRT(POWER(A51,3)/PRODUCT($F$7,$G$7,$H$7)))</f>
        <v>11603.871503889102</v>
      </c>
      <c r="F51" s="77">
        <v>2</v>
      </c>
      <c r="G51" s="107">
        <f t="shared" si="1"/>
        <v>765663879295.60925</v>
      </c>
      <c r="I51" s="40">
        <f t="shared" si="2"/>
        <v>765663879295.60925</v>
      </c>
    </row>
    <row r="52" spans="1:9" x14ac:dyDescent="0.35">
      <c r="A52" s="3">
        <v>1900</v>
      </c>
      <c r="B52" s="54" cm="1">
        <f t="array" ref="B52">(Tabella33317[Boltzmann k]*A52)/101325</f>
        <v>2.5889297804095731E-25</v>
      </c>
      <c r="C52" s="54" cm="1">
        <f t="array" ref="C52">POWER((2*PI()*Tabella33317[Massa '[kg']]*Tabella33317[Boltzmann k]*A52)/(POWER(Tabella33317[Planck h],2)),1.5)*B52</f>
        <v>308454549.12239885</v>
      </c>
      <c r="D52" s="54">
        <f t="shared" si="0"/>
        <v>0.2174798025935821</v>
      </c>
      <c r="E52" s="54" cm="1">
        <f t="array" ref="E52">((SQRT(PI())/Tabella63618[Simmetria]))*(SQRT(POWER(A52,3)/PRODUCT($F$7,$G$7,$H$7)))</f>
        <v>12584.169368123208</v>
      </c>
      <c r="F52" s="77">
        <v>2</v>
      </c>
      <c r="G52" s="107">
        <f t="shared" si="1"/>
        <v>1688358467213.5608</v>
      </c>
      <c r="I52" s="40">
        <f t="shared" si="2"/>
        <v>1688358467213.561</v>
      </c>
    </row>
    <row r="53" spans="1:9" ht="15" thickBot="1" x14ac:dyDescent="0.4">
      <c r="A53" s="5">
        <v>2000</v>
      </c>
      <c r="B53" s="55" cm="1">
        <f t="array" ref="B53">(Tabella33317[Boltzmann k]*A53)/101325</f>
        <v>2.7251892425363931E-25</v>
      </c>
      <c r="C53" s="55" cm="1">
        <f t="array" ref="C53">POWER((2*PI()*Tabella33317[Massa '[kg']]*Tabella33317[Boltzmann k]*A53)/(POWER(Tabella33317[Planck h],2)),1.5)*B53</f>
        <v>350656720.22356701</v>
      </c>
      <c r="D53" s="55">
        <f t="shared" si="0"/>
        <v>0.37216032891795631</v>
      </c>
      <c r="E53" s="55" cm="1">
        <f t="array" ref="E53">((SQRT(PI())/Tabella63618[Simmetria]))*(SQRT(POWER(A53,3)/PRODUCT($F$7,$G$7,$H$7)))</f>
        <v>13590.616158597393</v>
      </c>
      <c r="F53" s="105">
        <v>2</v>
      </c>
      <c r="G53" s="108">
        <f t="shared" si="1"/>
        <v>3547164960759.314</v>
      </c>
      <c r="I53" s="41">
        <f t="shared" si="2"/>
        <v>3547164960759.314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A880-96DE-4FC0-8F95-D954E4E9187D}">
  <dimension ref="A1:H75"/>
  <sheetViews>
    <sheetView topLeftCell="A33" workbookViewId="0">
      <selection activeCell="G36" sqref="G36:G54"/>
    </sheetView>
  </sheetViews>
  <sheetFormatPr defaultColWidth="9.1796875" defaultRowHeight="14.5" x14ac:dyDescent="0.35"/>
  <cols>
    <col min="1" max="1" width="14.7265625" style="9" bestFit="1" customWidth="1"/>
    <col min="2" max="3" width="24.81640625" style="9" bestFit="1" customWidth="1"/>
    <col min="4" max="4" width="24.7265625" style="9" bestFit="1" customWidth="1"/>
    <col min="5" max="6" width="13.54296875" style="9" bestFit="1" customWidth="1"/>
    <col min="7" max="7" width="16" style="9" bestFit="1" customWidth="1"/>
    <col min="8" max="8" width="12.81640625" style="9" customWidth="1"/>
    <col min="9" max="16384" width="9.1796875" style="9"/>
  </cols>
  <sheetData>
    <row r="1" spans="1:8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8" x14ac:dyDescent="0.35">
      <c r="A2" s="9">
        <f>PI()</f>
        <v>3.1415926535897931</v>
      </c>
      <c r="B2" s="22">
        <f>1.66E-27*Tabella333178[[#This Row],[Massa '[g/mol']]]</f>
        <v>2.8264072999999999E-26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17.02655</v>
      </c>
      <c r="H2" s="9">
        <v>4</v>
      </c>
    </row>
    <row r="6" spans="1:8" ht="15" thickBot="1" x14ac:dyDescent="0.4">
      <c r="B6" s="24" t="s">
        <v>24</v>
      </c>
      <c r="C6" s="24" t="s">
        <v>25</v>
      </c>
      <c r="D6" s="24" t="s">
        <v>26</v>
      </c>
    </row>
    <row r="7" spans="1:8" ht="15" thickBot="1" x14ac:dyDescent="0.4">
      <c r="B7" s="91">
        <v>14.38284</v>
      </c>
      <c r="C7" s="14">
        <v>14.38133</v>
      </c>
      <c r="D7" s="15">
        <v>8.8985500000000002</v>
      </c>
    </row>
    <row r="8" spans="1:8" x14ac:dyDescent="0.35">
      <c r="A8" s="9" t="s">
        <v>23</v>
      </c>
      <c r="B8" s="9" t="s">
        <v>27</v>
      </c>
      <c r="C8" s="9" t="s">
        <v>28</v>
      </c>
      <c r="G8" s="22"/>
      <c r="H8" s="22"/>
    </row>
    <row r="9" spans="1:8" x14ac:dyDescent="0.35">
      <c r="A9" s="9">
        <v>1</v>
      </c>
      <c r="B9" s="9">
        <v>1</v>
      </c>
      <c r="C9" s="9">
        <v>0</v>
      </c>
      <c r="G9" s="22"/>
    </row>
    <row r="10" spans="1:8" x14ac:dyDescent="0.3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</row>
    <row r="11" spans="1:8" x14ac:dyDescent="0.35">
      <c r="B11" s="9">
        <v>998.66539999999998</v>
      </c>
      <c r="C11" s="16">
        <v>1673.3587</v>
      </c>
      <c r="D11" s="16">
        <v>1673.5979</v>
      </c>
      <c r="E11" s="16">
        <v>3485.6578</v>
      </c>
      <c r="F11" s="16">
        <v>3628.2183</v>
      </c>
      <c r="G11" s="16">
        <v>3629.2777999999998</v>
      </c>
    </row>
    <row r="12" spans="1:8" x14ac:dyDescent="0.3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</row>
    <row r="13" spans="1:8" x14ac:dyDescent="0.35">
      <c r="B13" s="9" cm="1">
        <f t="array" ref="B13">Tabella931473139[Frequenza1]*29979300000</f>
        <v>29939289626220</v>
      </c>
      <c r="C13" s="9" cm="1">
        <f t="array" ref="C13">Tabella931473139[Frequenza2]*29979300000</f>
        <v>50166122474910</v>
      </c>
      <c r="D13" s="9" cm="1">
        <f t="array" ref="D13">Tabella931473139[Frequenza3]*29979300000</f>
        <v>50173293523470</v>
      </c>
      <c r="E13" s="9" cm="1">
        <f t="array" ref="E13">Tabella931473139[Frequenza4]*29979300000</f>
        <v>104497580883540</v>
      </c>
      <c r="F13" s="9" cm="1">
        <f t="array" ref="F13">Tabella931473139[Frequenza5]*29979300000</f>
        <v>108771444881190</v>
      </c>
      <c r="G13" s="9" cm="1">
        <f t="array" ref="G13">Tabella931473139[Frequenza6]*29979300000</f>
        <v>108803207949540</v>
      </c>
    </row>
    <row r="14" spans="1:8" x14ac:dyDescent="0.35">
      <c r="A14" s="9" t="s">
        <v>38</v>
      </c>
      <c r="B14" s="9" t="s">
        <v>39</v>
      </c>
      <c r="C14" s="9" t="s">
        <v>40</v>
      </c>
      <c r="D14" s="9" t="s">
        <v>41</v>
      </c>
      <c r="E14" s="9" t="s">
        <v>42</v>
      </c>
      <c r="F14" s="9" t="s">
        <v>43</v>
      </c>
      <c r="G14" s="9" t="s">
        <v>44</v>
      </c>
      <c r="H14" s="26" t="s">
        <v>57</v>
      </c>
    </row>
    <row r="15" spans="1:8" x14ac:dyDescent="0.35">
      <c r="A15" s="9">
        <v>298.14999999999998</v>
      </c>
      <c r="B15" s="22" cm="1">
        <f t="array" ref="B15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9.0580283782961443E-2</v>
      </c>
      <c r="C15" s="22" cm="1">
        <f t="array" ref="C15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1.7646053784551193E-2</v>
      </c>
      <c r="D15" s="22" cm="1">
        <f t="array" ref="D15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1.7635865927347765E-2</v>
      </c>
      <c r="E15" s="22" cm="1">
        <f t="array" ref="E15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2.2255190315187312E-4</v>
      </c>
      <c r="F15" s="22" cm="1">
        <f t="array" ref="F15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1.5777721457438864E-4</v>
      </c>
      <c r="G15" s="22" cm="1">
        <f t="array" ref="G15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1.5737438661826133E-4</v>
      </c>
      <c r="H15" s="92">
        <f>PRODUCT(Tabella8372135[[#This Row],[Qvib1]:[Qvib6]])</f>
        <v>1.5577139589848961E-16</v>
      </c>
    </row>
    <row r="16" spans="1:8" x14ac:dyDescent="0.35">
      <c r="A16" s="9">
        <v>400</v>
      </c>
      <c r="B16" s="22" cm="1">
        <f t="array" ref="B16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0.17064868846989337</v>
      </c>
      <c r="C16" s="22" cm="1">
        <f t="array" ref="C16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4.9436959588647411E-2</v>
      </c>
      <c r="D16" s="22" cm="1">
        <f t="array" ref="D16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4.941559301703604E-2</v>
      </c>
      <c r="E16" s="22" cm="1">
        <f t="array" ref="E16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1.8943846109595874E-3</v>
      </c>
      <c r="F16" s="22" cm="1">
        <f t="array" ref="F16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1.4659467126545865E-3</v>
      </c>
      <c r="G16" s="22" cm="1">
        <f t="array" ref="G16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1.4631560235405211E-3</v>
      </c>
      <c r="H16" s="92">
        <f>PRODUCT(Tabella8372135[[#This Row],[Qvib1]:[Qvib6]])</f>
        <v>1.693930939220015E-12</v>
      </c>
    </row>
    <row r="17" spans="1:8" x14ac:dyDescent="0.35">
      <c r="A17" s="9">
        <v>500</v>
      </c>
      <c r="B17" s="22" cm="1">
        <f t="array" ref="B17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0.25190273394125196</v>
      </c>
      <c r="C17" s="22" cm="1">
        <f t="array" ref="C17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9.0767415357575237E-2</v>
      </c>
      <c r="D17" s="22" cm="1">
        <f t="array" ref="D17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9.0735672385066801E-2</v>
      </c>
      <c r="E17" s="22" cm="1">
        <f t="array" ref="E17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6.6373147042589004E-3</v>
      </c>
      <c r="F17" s="22" cm="1">
        <f t="array" ref="F17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5.4063790798575713E-3</v>
      </c>
      <c r="G17" s="22" cm="1">
        <f t="array" ref="G17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5.3981434664323565E-3</v>
      </c>
      <c r="H17" s="92">
        <f>PRODUCT(Tabella8372135[[#This Row],[Qvib1]:[Qvib6]])</f>
        <v>4.0186875203073031E-10</v>
      </c>
    </row>
    <row r="18" spans="1:8" x14ac:dyDescent="0.35">
      <c r="A18" s="9">
        <v>600</v>
      </c>
      <c r="B18" s="22" cm="1">
        <f t="array" ref="B18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0.33228616601895949</v>
      </c>
      <c r="C18" s="22" cm="1">
        <f t="array" ref="C18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0.13695851474915263</v>
      </c>
      <c r="D18" s="22" cm="1">
        <f t="array" ref="D18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0.13691779506161572</v>
      </c>
      <c r="E18" s="22" cm="1">
        <f t="array" ref="E18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1.5313679108667317E-2</v>
      </c>
      <c r="F18" s="22" cm="1">
        <f t="array" ref="F18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1.290675785750099E-2</v>
      </c>
      <c r="G18" s="22" cm="1">
        <f t="array" ref="G18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1.2890367079310076E-2</v>
      </c>
      <c r="H18" s="92">
        <f>PRODUCT(Tabella8372135[[#This Row],[Qvib1]:[Qvib6]])</f>
        <v>1.5875345463394519E-8</v>
      </c>
    </row>
    <row r="19" spans="1:8" x14ac:dyDescent="0.35">
      <c r="A19" s="9">
        <v>700</v>
      </c>
      <c r="B19" s="22" cm="1">
        <f t="array" ref="B19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0.4111033434957983</v>
      </c>
      <c r="C19" s="22" cm="1">
        <f t="array" ref="C19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0.18505531497506075</v>
      </c>
      <c r="D19" s="22" cm="1">
        <f t="array" ref="D19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0.18500681496324783</v>
      </c>
      <c r="E19" s="22" cm="1">
        <f t="array" ref="E19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2.7835738054831066E-2</v>
      </c>
      <c r="F19" s="22" cm="1">
        <f t="array" ref="F19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2.4037491712748944E-2</v>
      </c>
      <c r="G19" s="22" cm="1">
        <f t="array" ref="G19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2.4011302630946196E-2</v>
      </c>
      <c r="H19" s="92">
        <f>PRODUCT(Tabella8372135[[#This Row],[Qvib1]:[Qvib6]])</f>
        <v>2.2612465036130632E-7</v>
      </c>
    </row>
    <row r="20" spans="1:8" x14ac:dyDescent="0.35">
      <c r="A20" s="9">
        <v>800</v>
      </c>
      <c r="B20" s="22" cm="1">
        <f t="array" ref="B20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0.48842178655827168</v>
      </c>
      <c r="C20" s="22" cm="1">
        <f t="array" ref="C20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0.23359376479749158</v>
      </c>
      <c r="D20" s="22" cm="1">
        <f t="array" ref="D20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0.23353831416109155</v>
      </c>
      <c r="E20" s="22" cm="1">
        <f t="array" ref="E20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4.360705898990512E-2</v>
      </c>
      <c r="F20" s="22" cm="1">
        <f t="array" ref="F20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3.8343852346993147E-2</v>
      </c>
      <c r="G20" s="22" cm="1">
        <f t="array" ref="G20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3.8307230901608522E-2</v>
      </c>
      <c r="H20" s="92">
        <f>PRODUCT(Tabella8372135[[#This Row],[Qvib1]:[Qvib6]])</f>
        <v>1.7066627725621664E-6</v>
      </c>
    </row>
    <row r="21" spans="1:8" x14ac:dyDescent="0.35">
      <c r="A21" s="9">
        <v>900</v>
      </c>
      <c r="B21" s="22" cm="1">
        <f t="array" ref="B21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0.56447839350144235</v>
      </c>
      <c r="C21" s="22" cm="1">
        <f t="array" ref="C21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0.28191101704504112</v>
      </c>
      <c r="D21" s="22" cm="1">
        <f t="array" ref="D21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0.2818491476087866</v>
      </c>
      <c r="E21" s="22" cm="1">
        <f t="array" ref="E21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6.1892685913227469E-2</v>
      </c>
      <c r="F21" s="22" cm="1">
        <f t="array" ref="F21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5.5183990250580718E-2</v>
      </c>
      <c r="G21" s="22" cm="1">
        <f t="array" ref="G21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5.513699244459596E-2</v>
      </c>
      <c r="H21" s="92">
        <f>PRODUCT(Tabella8372135[[#This Row],[Qvib1]:[Qvib6]])</f>
        <v>8.446399138574485E-6</v>
      </c>
    </row>
    <row r="22" spans="1:8" x14ac:dyDescent="0.35">
      <c r="A22" s="9">
        <v>1000</v>
      </c>
      <c r="B22" s="22" cm="1">
        <f t="array" ref="B22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0.63951215681025175</v>
      </c>
      <c r="C22" s="22" cm="1">
        <f t="array" ref="C22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0.32973982931232937</v>
      </c>
      <c r="D22" s="22" cm="1">
        <f t="array" ref="D22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0.32967186964286915</v>
      </c>
      <c r="E22" s="22" cm="1">
        <f t="array" ref="E22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8.2012239155376809E-2</v>
      </c>
      <c r="F22" s="22" cm="1">
        <f t="array" ref="F22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7.3926673031683626E-2</v>
      </c>
      <c r="G22" s="22" cm="1">
        <f t="array" ref="G22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7.3869736471211839E-2</v>
      </c>
      <c r="H22" s="92">
        <f>PRODUCT(Tabella8372135[[#This Row],[Qvib1]:[Qvib6]])</f>
        <v>3.1134972428446222E-5</v>
      </c>
    </row>
    <row r="23" spans="1:8" x14ac:dyDescent="0.35">
      <c r="A23" s="9">
        <v>1100</v>
      </c>
      <c r="B23" s="22" cm="1">
        <f t="array" ref="B23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0.7137241420737539</v>
      </c>
      <c r="C23" s="22" cm="1">
        <f t="array" ref="C23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0.37700013646576674</v>
      </c>
      <c r="D23" s="22" cm="1">
        <f t="array" ref="D23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0.37692628472785228</v>
      </c>
      <c r="E23" s="22" cm="1">
        <f t="array" ref="E23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0.10340920413853774</v>
      </c>
      <c r="F23" s="22" cm="1">
        <f t="array" ref="F23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9.4034554650273314E-2</v>
      </c>
      <c r="G23" s="22" cm="1">
        <f t="array" ref="G23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9.3968279706827765E-2</v>
      </c>
      <c r="H23" s="92">
        <f>PRODUCT(Tabella8372135[[#This Row],[Qvib1]:[Qvib6]])</f>
        <v>9.267364875081896E-5</v>
      </c>
    </row>
    <row r="24" spans="1:8" x14ac:dyDescent="0.35">
      <c r="A24" s="9">
        <v>1200</v>
      </c>
      <c r="B24" s="22" cm="1">
        <f t="array" ref="B24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0.78727432084307414</v>
      </c>
      <c r="C24" s="22" cm="1">
        <f t="array" ref="C24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0.42369670399654757</v>
      </c>
      <c r="D24" s="22" cm="1">
        <f t="array" ref="D24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0.42361707661646142</v>
      </c>
      <c r="E24" s="22" cm="1">
        <f t="array" ref="E24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0.12565777868818592</v>
      </c>
      <c r="F24" s="22" cm="1">
        <f t="array" ref="F24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0.11508356123780342</v>
      </c>
      <c r="G24" s="22" cm="1">
        <f t="array" ref="G24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0.11500857907878968</v>
      </c>
      <c r="H24" s="92">
        <f>PRODUCT(Tabella8372135[[#This Row],[Qvib1]:[Qvib6]])</f>
        <v>2.3501064743940676E-4</v>
      </c>
    </row>
    <row r="25" spans="1:8" x14ac:dyDescent="0.35">
      <c r="A25" s="9">
        <v>1300</v>
      </c>
      <c r="B25" s="22" cm="1">
        <f t="array" ref="B25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0.86028778779153692</v>
      </c>
      <c r="C25" s="22" cm="1">
        <f t="array" ref="C25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0.46986979339869167</v>
      </c>
      <c r="D25" s="22" cm="1">
        <f t="array" ref="D25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0.46978445598785346</v>
      </c>
      <c r="E25" s="22" cm="1">
        <f t="array" ref="E25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0.14844508477485707</v>
      </c>
      <c r="F25" s="22" cm="1">
        <f t="array" ref="F25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0.13675375516577606</v>
      </c>
      <c r="G25" s="22" cm="1">
        <f t="array" ref="G25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0.13667065823801636</v>
      </c>
      <c r="H25" s="92">
        <f>PRODUCT(Tabella8372135[[#This Row],[Qvib1]:[Qvib6]])</f>
        <v>5.2686614876684245E-4</v>
      </c>
    </row>
    <row r="26" spans="1:8" x14ac:dyDescent="0.35">
      <c r="A26" s="9">
        <v>1400</v>
      </c>
      <c r="B26" s="22" cm="1">
        <f t="array" ref="B26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0.93286216145412215</v>
      </c>
      <c r="C26" s="22" cm="1">
        <f t="array" ref="C26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0.51557174385404014</v>
      </c>
      <c r="D26" s="22" cm="1">
        <f t="array" ref="D26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0.51548073053397137</v>
      </c>
      <c r="E26" s="22" cm="1">
        <f t="array" ref="E26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0.1715473612320858</v>
      </c>
      <c r="F26" s="22" cm="1">
        <f t="array" ref="F26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0.15881075363715144</v>
      </c>
      <c r="G26" s="22" cm="1">
        <f t="array" ref="G26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0.15872006513010425</v>
      </c>
      <c r="H26" s="92">
        <f>PRODUCT(Tabella8372135[[#This Row],[Qvib1]:[Qvib6]])</f>
        <v>1.0720494106508792E-3</v>
      </c>
    </row>
    <row r="27" spans="1:8" x14ac:dyDescent="0.35">
      <c r="A27" s="9">
        <v>1500</v>
      </c>
      <c r="B27" s="22" cm="1">
        <f t="array" ref="B27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1.0050739679800784</v>
      </c>
      <c r="C27" s="22" cm="1">
        <f t="array" ref="C27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0.56085616363482849</v>
      </c>
      <c r="D27" s="22" cm="1">
        <f t="array" ref="D27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0.56075948907992157</v>
      </c>
      <c r="E27" s="22" cm="1">
        <f t="array" ref="E27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0.19480782985055939</v>
      </c>
      <c r="F27" s="22" cm="1">
        <f t="array" ref="F27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0.18108645333281184</v>
      </c>
      <c r="G27" s="22" cm="1">
        <f t="array" ref="G27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0.1809886186920471</v>
      </c>
      <c r="H27" s="92">
        <f>PRODUCT(Tabella8372135[[#This Row],[Qvib1]:[Qvib6]])</f>
        <v>2.0182259679814539E-3</v>
      </c>
    </row>
    <row r="28" spans="1:8" x14ac:dyDescent="0.35">
      <c r="A28" s="9">
        <v>1600</v>
      </c>
      <c r="B28" s="22" cm="1">
        <f t="array" ref="B28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1.0769836516375757</v>
      </c>
      <c r="C28" s="22" cm="1">
        <f t="array" ref="C28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0.60577324557935641</v>
      </c>
      <c r="D28" s="22" cm="1">
        <f t="array" ref="D28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0.60567091254417427</v>
      </c>
      <c r="E28" s="22" cm="1">
        <f t="array" ref="E28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0.21811863800220935</v>
      </c>
      <c r="F28" s="22" cm="1">
        <f t="array" ref="F28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0.20346237800318637</v>
      </c>
      <c r="G28" s="22" cm="1">
        <f t="array" ref="G28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0.20335776776270595</v>
      </c>
      <c r="H28" s="92">
        <f>PRODUCT(Tabella8372135[[#This Row],[Qvib1]:[Qvib6]])</f>
        <v>3.5661004786025634E-3</v>
      </c>
    </row>
    <row r="29" spans="1:8" x14ac:dyDescent="0.35">
      <c r="A29" s="9">
        <v>1700</v>
      </c>
      <c r="B29" s="22" cm="1">
        <f t="array" ref="B29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1.1486393732760265</v>
      </c>
      <c r="C29" s="22" cm="1">
        <f t="array" ref="C29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0.65036803435994117</v>
      </c>
      <c r="D29" s="22" cm="1">
        <f t="array" ref="D29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0.65026003840696756</v>
      </c>
      <c r="E29" s="22" cm="1">
        <f t="array" ref="E29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0.24140703662473159</v>
      </c>
      <c r="F29" s="22" cm="1">
        <f t="array" ref="F29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0.22585643646957784</v>
      </c>
      <c r="G29" s="22" cm="1">
        <f t="array" ref="G29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0.22574535413137228</v>
      </c>
      <c r="H29" s="92">
        <f>PRODUCT(Tabella8372135[[#This Row],[Qvib1]:[Qvib6]])</f>
        <v>5.9790360184880185E-3</v>
      </c>
    </row>
    <row r="30" spans="1:8" x14ac:dyDescent="0.35">
      <c r="A30" s="9">
        <v>1800</v>
      </c>
      <c r="B30" s="22" cm="1">
        <f t="array" ref="B30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1.2200798565188264</v>
      </c>
      <c r="C30" s="22" cm="1">
        <f t="array" ref="C30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0.69468008515307356</v>
      </c>
      <c r="D30" s="22" cm="1">
        <f t="array" ref="D30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0.69456641763526039</v>
      </c>
      <c r="E30" s="22" cm="1">
        <f t="array" ref="E30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0.26462516426686883</v>
      </c>
      <c r="F30" s="22" cm="1">
        <f t="array" ref="F30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0.24821285036442062</v>
      </c>
      <c r="G30" s="22" cm="1">
        <f t="array" ref="G30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0.24809554189941216</v>
      </c>
      <c r="H30" s="92">
        <f>PRODUCT(Tabella8372135[[#This Row],[Qvib1]:[Qvib6]])</f>
        <v>9.5931503260367219E-3</v>
      </c>
    </row>
    <row r="31" spans="1:8" x14ac:dyDescent="0.35">
      <c r="A31" s="9">
        <v>1900</v>
      </c>
      <c r="B31" s="22" cm="1">
        <f t="array" ref="B31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1.2913365178938763</v>
      </c>
      <c r="C31" s="22" cm="1">
        <f t="array" ref="C31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0.73874374430574585</v>
      </c>
      <c r="D31" s="22" cm="1">
        <f t="array" ref="D31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0.73862439425267445</v>
      </c>
      <c r="E31" s="22" cm="1">
        <f t="array" ref="E31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0.28774264816219058</v>
      </c>
      <c r="F31" s="22" cm="1">
        <f t="array" ref="F31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0.27049468729286419</v>
      </c>
      <c r="G31" s="22" cm="1">
        <f t="array" ref="G31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0.27037135052834321</v>
      </c>
      <c r="H31" s="92">
        <f>PRODUCT(Tabella8372135[[#This Row],[Qvib1]:[Qvib6]])</f>
        <v>1.4827930509106997E-2</v>
      </c>
    </row>
    <row r="32" spans="1:8" x14ac:dyDescent="0.35">
      <c r="A32" s="9">
        <v>2000</v>
      </c>
      <c r="B32" s="22" cm="1">
        <f t="array" ref="B32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1.3624350673986754</v>
      </c>
      <c r="C32" s="22" cm="1">
        <f t="array" ref="C32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0.78258867464411053</v>
      </c>
      <c r="D32" s="22" cm="1">
        <f t="array" ref="D32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0.7824636299536889</v>
      </c>
      <c r="E32" s="22" cm="1">
        <f t="array" ref="E32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0.3107413097529384</v>
      </c>
      <c r="F32" s="22" cm="1">
        <f t="array" ref="F32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0.29267841004982176</v>
      </c>
      <c r="G32" s="22" cm="1">
        <f t="array" ref="G32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0.29254920316127969</v>
      </c>
      <c r="H32" s="92">
        <f>PRODUCT(Tabella8372135[[#This Row],[Qvib1]:[Qvib6]])</f>
        <v>2.2197401144923547E-2</v>
      </c>
    </row>
    <row r="35" spans="1:8" ht="15" thickBot="1" x14ac:dyDescent="0.4">
      <c r="B35" s="45"/>
      <c r="E35" s="22"/>
      <c r="F35" s="22"/>
      <c r="G35" s="22"/>
      <c r="H35" s="22"/>
    </row>
    <row r="36" spans="1:8" ht="15" thickBot="1" x14ac:dyDescent="0.4">
      <c r="A36" s="93" t="s">
        <v>38</v>
      </c>
      <c r="B36" s="94" t="s">
        <v>55</v>
      </c>
      <c r="C36" s="94" t="s">
        <v>56</v>
      </c>
      <c r="D36" s="94" t="s">
        <v>57</v>
      </c>
      <c r="E36" s="94" t="s">
        <v>58</v>
      </c>
      <c r="F36" s="94" t="s">
        <v>59</v>
      </c>
      <c r="G36" s="95" t="s">
        <v>48</v>
      </c>
    </row>
    <row r="37" spans="1:8" x14ac:dyDescent="0.35">
      <c r="A37" s="56">
        <v>298.14999999999998</v>
      </c>
      <c r="B37" s="58" cm="1">
        <f t="array" ref="B37">(Tabella333178[Boltzmann k]*A37)/101325</f>
        <v>4.0625758633111278E-26</v>
      </c>
      <c r="C37" s="58" cm="1">
        <f t="array" ref="C37">POWER((2*Tabella333178[Pi Greco]*Tabella333178[Massa '[kg']]*Tabella333178[Boltzmann k]*A37)/(POWER(Tabella333178[Planck h],2)),1.5)*B37</f>
        <v>2760150.3230633987</v>
      </c>
      <c r="D37" s="58">
        <v>1.5577139589848961E-16</v>
      </c>
      <c r="E37" s="58" cm="1">
        <f t="array" ref="E37">((SQRT(PI())/Tabella6362033[Simmetria]))*(SQRT(POWER(A37,3)/PRODUCT($B$7,$C$7,$D$7)))</f>
        <v>212.68932050825674</v>
      </c>
      <c r="F37" s="57">
        <v>1</v>
      </c>
      <c r="G37" s="96">
        <f>C37*D37*E37*F37</f>
        <v>9.1446298421469228E-8</v>
      </c>
    </row>
    <row r="38" spans="1:8" x14ac:dyDescent="0.35">
      <c r="A38" s="3">
        <v>400</v>
      </c>
      <c r="B38" s="58" cm="1">
        <f t="array" ref="B38">(Tabella333178[Boltzmann k]*A38)/101325</f>
        <v>5.4503784850727862E-26</v>
      </c>
      <c r="C38" s="58" cm="1">
        <f t="array" ref="C38">POWER((2*Tabella333178[Pi Greco]*Tabella333178[Massa '[kg']]*Tabella333178[Boltzmann k]*A38)/(POWER(Tabella333178[Planck h],2)),1.5)*B38</f>
        <v>5754342.1248381846</v>
      </c>
      <c r="D38" s="54">
        <v>1.693930939220015E-12</v>
      </c>
      <c r="E38" s="58" cm="1">
        <f t="array" ref="E38">((SQRT(PI())/Tabella6362033[Simmetria]))*(SQRT(POWER(A38,3)/PRODUCT($B$7,$C$7,$D$7)))</f>
        <v>330.50912185521594</v>
      </c>
      <c r="F38" s="57">
        <v>1</v>
      </c>
      <c r="G38" s="96">
        <f t="shared" ref="G38:G54" si="0">C38*D38*E38*F38</f>
        <v>3.2216238368218664E-3</v>
      </c>
      <c r="H38" s="22"/>
    </row>
    <row r="39" spans="1:8" x14ac:dyDescent="0.35">
      <c r="A39" s="3">
        <v>500</v>
      </c>
      <c r="B39" s="58" cm="1">
        <f t="array" ref="B39">(Tabella333178[Boltzmann k]*A39)/101325</f>
        <v>6.8129731063409828E-26</v>
      </c>
      <c r="C39" s="58" cm="1">
        <f t="array" ref="C39">POWER((2*Tabella333178[Pi Greco]*Tabella333178[Massa '[kg']]*Tabella333178[Boltzmann k]*A39)/(POWER(Tabella333178[Planck h],2)),1.5)*B39</f>
        <v>10052421.997600652</v>
      </c>
      <c r="D39" s="54">
        <v>4.0186875203073031E-10</v>
      </c>
      <c r="E39" s="58" cm="1">
        <f t="array" ref="E39">((SQRT(PI())/Tabella6362033[Simmetria]))*(SQRT(POWER(A39,3)/PRODUCT($B$7,$C$7,$D$7)))</f>
        <v>461.90053978251518</v>
      </c>
      <c r="F39" s="57">
        <v>1</v>
      </c>
      <c r="G39" s="96">
        <f t="shared" si="0"/>
        <v>1.8659646839350816</v>
      </c>
      <c r="H39" s="22"/>
    </row>
    <row r="40" spans="1:8" x14ac:dyDescent="0.35">
      <c r="A40" s="3">
        <v>600</v>
      </c>
      <c r="B40" s="58" cm="1">
        <f t="array" ref="B40">(Tabella333178[Boltzmann k]*A40)/101325</f>
        <v>8.1755677276091782E-26</v>
      </c>
      <c r="C40" s="58" cm="1">
        <f t="array" ref="C40">POWER((2*Tabella333178[Pi Greco]*Tabella333178[Massa '[kg']]*Tabella333178[Boltzmann k]*A40)/(POWER(Tabella333178[Planck h],2)),1.5)*B40</f>
        <v>15857102.262663225</v>
      </c>
      <c r="D40" s="54">
        <v>1.5875345463394519E-8</v>
      </c>
      <c r="E40" s="58" cm="1">
        <f t="array" ref="E40">((SQRT(PI())/Tabella6362033[Simmetria]))*(SQRT(POWER(A40,3)/PRODUCT($B$7,$C$7,$D$7)))</f>
        <v>607.18402791047026</v>
      </c>
      <c r="F40" s="57">
        <v>1</v>
      </c>
      <c r="G40" s="96">
        <f t="shared" si="0"/>
        <v>152.85067134593675</v>
      </c>
      <c r="H40" s="22"/>
    </row>
    <row r="41" spans="1:8" x14ac:dyDescent="0.35">
      <c r="A41" s="3">
        <v>700</v>
      </c>
      <c r="B41" s="58" cm="1">
        <f t="array" ref="B41">(Tabella333178[Boltzmann k]*A41)/101325</f>
        <v>9.5381623488773759E-26</v>
      </c>
      <c r="C41" s="58" cm="1">
        <f t="array" ref="C41">POWER((2*Tabella333178[Pi Greco]*Tabella333178[Massa '[kg']]*Tabella333178[Boltzmann k]*A41)/(POWER(Tabella333178[Planck h],2)),1.5)*B41</f>
        <v>23312604.776066955</v>
      </c>
      <c r="D41" s="54">
        <v>2.2612465036130632E-7</v>
      </c>
      <c r="E41" s="58" cm="1">
        <f t="array" ref="E41">((SQRT(PI())/Tabella6362033[Simmetria]))*(SQRT(POWER(A41,3)/PRODUCT($B$7,$C$7,$D$7)))</f>
        <v>765.13932465883875</v>
      </c>
      <c r="F41" s="57">
        <v>1</v>
      </c>
      <c r="G41" s="96">
        <f t="shared" si="0"/>
        <v>4033.473729606339</v>
      </c>
      <c r="H41" s="22"/>
    </row>
    <row r="42" spans="1:8" x14ac:dyDescent="0.35">
      <c r="A42" s="3">
        <v>800</v>
      </c>
      <c r="B42" s="58" cm="1">
        <f t="array" ref="B42">(Tabella333178[Boltzmann k]*A42)/101325</f>
        <v>1.0900756970145572E-25</v>
      </c>
      <c r="C42" s="58" cm="1">
        <f t="array" ref="C42">POWER((2*Tabella333178[Pi Greco]*Tabella333178[Massa '[kg']]*Tabella333178[Boltzmann k]*A42)/(POWER(Tabella333178[Planck h],2)),1.5)*B42</f>
        <v>32551474.701923527</v>
      </c>
      <c r="D42" s="54">
        <v>1.7066627725621664E-6</v>
      </c>
      <c r="E42" s="58" cm="1">
        <f t="array" ref="E42">((SQRT(PI())/Tabella6362033[Simmetria]))*(SQRT(POWER(A42,3)/PRODUCT($B$7,$C$7,$D$7)))</f>
        <v>934.82096523133669</v>
      </c>
      <c r="F42" s="57">
        <v>1</v>
      </c>
      <c r="G42" s="96">
        <f t="shared" si="0"/>
        <v>51933.408544123187</v>
      </c>
      <c r="H42" s="22"/>
    </row>
    <row r="43" spans="1:8" x14ac:dyDescent="0.35">
      <c r="A43" s="3">
        <v>900</v>
      </c>
      <c r="B43" s="58" cm="1">
        <f t="array" ref="B43">(Tabella333178[Boltzmann k]*A43)/101325</f>
        <v>1.2263351591413768E-25</v>
      </c>
      <c r="C43" s="58" cm="1">
        <f t="array" ref="C43">POWER((2*Tabella333178[Pi Greco]*Tabella333178[Massa '[kg']]*Tabella333178[Boltzmann k]*A43)/(POWER(Tabella333178[Planck h],2)),1.5)*B43</f>
        <v>43697035.51049003</v>
      </c>
      <c r="D43" s="54">
        <v>8.446399138574485E-6</v>
      </c>
      <c r="E43" s="58" cm="1">
        <f t="array" ref="E43">((SQRT(PI())/Tabella6362033[Simmetria]))*(SQRT(POWER(A43,3)/PRODUCT($B$7,$C$7,$D$7)))</f>
        <v>1115.468286261354</v>
      </c>
      <c r="F43" s="57">
        <v>1</v>
      </c>
      <c r="G43" s="96">
        <f t="shared" si="0"/>
        <v>411699.93876221246</v>
      </c>
      <c r="H43" s="22"/>
    </row>
    <row r="44" spans="1:8" x14ac:dyDescent="0.35">
      <c r="A44" s="3">
        <v>1000</v>
      </c>
      <c r="B44" s="58" cm="1">
        <f t="array" ref="B44">(Tabella333178[Boltzmann k]*A44)/101325</f>
        <v>1.3625946212681966E-25</v>
      </c>
      <c r="C44" s="58" cm="1">
        <f t="array" ref="C44">POWER((2*Tabella333178[Pi Greco]*Tabella333178[Massa '[kg']]*Tabella333178[Boltzmann k]*A44)/(POWER(Tabella333178[Planck h],2)),1.5)*B44</f>
        <v>56865086.094817281</v>
      </c>
      <c r="D44" s="54">
        <v>3.1134972428446222E-5</v>
      </c>
      <c r="E44" s="58" cm="1">
        <f t="array" ref="E44">((SQRT(PI())/Tabella6362033[Simmetria]))*(SQRT(POWER(A44,3)/PRODUCT($B$7,$C$7,$D$7)))</f>
        <v>1306.4520156557728</v>
      </c>
      <c r="F44" s="57">
        <v>1</v>
      </c>
      <c r="G44" s="96">
        <f t="shared" si="0"/>
        <v>2313064.0018442604</v>
      </c>
      <c r="H44" s="22"/>
    </row>
    <row r="45" spans="1:8" x14ac:dyDescent="0.35">
      <c r="A45" s="3">
        <v>1100</v>
      </c>
      <c r="B45" s="58" cm="1">
        <f t="array" ref="B45">(Tabella333178[Boltzmann k]*A45)/101325</f>
        <v>1.4988540833950161E-25</v>
      </c>
      <c r="C45" s="58" cm="1">
        <f t="array" ref="C45">POWER((2*Tabella333178[Pi Greco]*Tabella333178[Massa '[kg']]*Tabella333178[Boltzmann k]*A45)/(POWER(Tabella333178[Planck h],2)),1.5)*B45</f>
        <v>72165132.592324659</v>
      </c>
      <c r="D45" s="54">
        <v>9.267364875081896E-5</v>
      </c>
      <c r="E45" s="58" cm="1">
        <f t="array" ref="E45">((SQRT(PI())/Tabella6362033[Simmetria]))*(SQRT(POWER(A45,3)/PRODUCT($B$7,$C$7,$D$7)))</f>
        <v>1507.240277102454</v>
      </c>
      <c r="F45" s="57">
        <v>1</v>
      </c>
      <c r="G45" s="96">
        <f t="shared" si="0"/>
        <v>10080130.794608956</v>
      </c>
      <c r="H45" s="22"/>
    </row>
    <row r="46" spans="1:8" x14ac:dyDescent="0.35">
      <c r="A46" s="3">
        <v>1200</v>
      </c>
      <c r="B46" s="58" cm="1">
        <f t="array" ref="B46">(Tabella333178[Boltzmann k]*A46)/101325</f>
        <v>1.6351135455218356E-25</v>
      </c>
      <c r="C46" s="58" cm="1">
        <f t="array" ref="C46">POWER((2*Tabella333178[Pi Greco]*Tabella333178[Massa '[kg']]*Tabella333178[Boltzmann k]*A46)/(POWER(Tabella333178[Planck h],2)),1.5)*B46</f>
        <v>89701316.319181949</v>
      </c>
      <c r="D46" s="54">
        <v>2.3501064743940676E-4</v>
      </c>
      <c r="E46" s="58" cm="1">
        <f t="array" ref="E46">((SQRT(PI())/Tabella6362033[Simmetria]))*(SQRT(POWER(A46,3)/PRODUCT($B$7,$C$7,$D$7)))</f>
        <v>1717.375774254622</v>
      </c>
      <c r="F46" s="57">
        <v>1</v>
      </c>
      <c r="G46" s="96">
        <f t="shared" si="0"/>
        <v>36203594.125126719</v>
      </c>
      <c r="H46" s="22"/>
    </row>
    <row r="47" spans="1:8" x14ac:dyDescent="0.35">
      <c r="A47" s="3">
        <v>1300</v>
      </c>
      <c r="B47" s="58" cm="1">
        <f t="array" ref="B47">(Tabella333178[Boltzmann k]*A47)/101325</f>
        <v>1.7713730076486554E-25</v>
      </c>
      <c r="C47" s="58" cm="1">
        <f t="array" ref="C47">POWER((2*Tabella333178[Pi Greco]*Tabella333178[Massa '[kg']]*Tabella333178[Boltzmann k]*A47)/(POWER(Tabella333178[Planck h],2)),1.5)*B47</f>
        <v>109573133.57236329</v>
      </c>
      <c r="D47" s="54">
        <v>5.2686614876684245E-4</v>
      </c>
      <c r="E47" s="58" cm="1">
        <f t="array" ref="E47">((SQRT(PI())/Tabella6362033[Simmetria]))*(SQRT(POWER(A47,3)/PRODUCT($B$7,$C$7,$D$7)))</f>
        <v>1936.4598270185304</v>
      </c>
      <c r="F47" s="57">
        <v>1</v>
      </c>
      <c r="G47" s="96">
        <f t="shared" si="0"/>
        <v>111792551.78014818</v>
      </c>
      <c r="H47" s="22"/>
    </row>
    <row r="48" spans="1:8" x14ac:dyDescent="0.35">
      <c r="A48" s="3">
        <v>1400</v>
      </c>
      <c r="B48" s="58" cm="1">
        <f t="array" ref="B48">(Tabella333178[Boltzmann k]*A48)/101325</f>
        <v>1.9076324697754752E-25</v>
      </c>
      <c r="C48" s="58" cm="1">
        <f t="array" ref="C48">POWER((2*Tabella333178[Pi Greco]*Tabella333178[Massa '[kg']]*Tabella333178[Boltzmann k]*A48)/(POWER(Tabella333178[Planck h],2)),1.5)*B48</f>
        <v>131876007.39423107</v>
      </c>
      <c r="D48" s="54">
        <v>1.0720494106508792E-3</v>
      </c>
      <c r="E48" s="58" cm="1">
        <f t="array" ref="E48">((SQRT(PI())/Tabella6362033[Simmetria]))*(SQRT(POWER(A48,3)/PRODUCT($B$7,$C$7,$D$7)))</f>
        <v>2164.1408200750407</v>
      </c>
      <c r="F48" s="57">
        <v>1</v>
      </c>
      <c r="G48" s="96">
        <f t="shared" si="0"/>
        <v>305961026.56061155</v>
      </c>
      <c r="H48" s="22"/>
    </row>
    <row r="49" spans="1:8" x14ac:dyDescent="0.35">
      <c r="A49" s="3">
        <v>1500</v>
      </c>
      <c r="B49" s="58" cm="1">
        <f t="array" ref="B49">(Tabella333178[Boltzmann k]*A49)/101325</f>
        <v>2.0438919319022949E-25</v>
      </c>
      <c r="C49" s="58" cm="1">
        <f t="array" ref="C49">POWER((2*Tabella333178[Pi Greco]*Tabella333178[Massa '[kg']]*Tabella333178[Boltzmann k]*A49)/(POWER(Tabella333178[Planck h],2)),1.5)*B49</f>
        <v>156701750.75070566</v>
      </c>
      <c r="D49" s="54">
        <v>2.0182259679814539E-3</v>
      </c>
      <c r="E49" s="58" cm="1">
        <f t="array" ref="E49">((SQRT(PI())/Tabella6362033[Simmetria]))*(SQRT(POWER(A49,3)/PRODUCT($B$7,$C$7,$D$7)))</f>
        <v>2400.1056088404175</v>
      </c>
      <c r="F49" s="57">
        <v>1</v>
      </c>
      <c r="G49" s="96">
        <f t="shared" si="0"/>
        <v>759056302.02731967</v>
      </c>
      <c r="H49" s="22"/>
    </row>
    <row r="50" spans="1:8" x14ac:dyDescent="0.35">
      <c r="A50" s="3">
        <v>1600</v>
      </c>
      <c r="B50" s="58" cm="1">
        <f t="array" ref="B50">(Tabella333178[Boltzmann k]*A50)/101325</f>
        <v>2.1801513940291145E-25</v>
      </c>
      <c r="C50" s="58" cm="1">
        <f t="array" ref="C50">POWER((2*Tabella333178[Pi Greco]*Tabella333178[Massa '[kg']]*Tabella333178[Boltzmann k]*A50)/(POWER(Tabella333178[Planck h],2)),1.5)*B50</f>
        <v>184138947.99482033</v>
      </c>
      <c r="D50" s="54">
        <v>3.5661004786025634E-3</v>
      </c>
      <c r="E50" s="58" cm="1">
        <f t="array" ref="E50">((SQRT(PI())/Tabella6362033[Simmetria]))*(SQRT(POWER(A50,3)/PRODUCT($B$7,$C$7,$D$7)))</f>
        <v>2644.0729748417275</v>
      </c>
      <c r="F50" s="57">
        <v>1</v>
      </c>
      <c r="G50" s="96">
        <f t="shared" si="0"/>
        <v>1736251646.5897975</v>
      </c>
      <c r="H50" s="22"/>
    </row>
    <row r="51" spans="1:8" x14ac:dyDescent="0.35">
      <c r="A51" s="3">
        <v>1700</v>
      </c>
      <c r="B51" s="58" cm="1">
        <f t="array" ref="B51">(Tabella333178[Boltzmann k]*A51)/101325</f>
        <v>2.316410856155934E-25</v>
      </c>
      <c r="C51" s="58" cm="1">
        <f t="array" ref="C51">POWER((2*Tabella333178[Pi Greco]*Tabella333178[Massa '[kg']]*Tabella333178[Boltzmann k]*A51)/(POWER(Tabella333178[Planck h],2)),1.5)*B51</f>
        <v>214273273.49192348</v>
      </c>
      <c r="D51" s="54">
        <v>5.9790360184880185E-3</v>
      </c>
      <c r="E51" s="58" cm="1">
        <f t="array" ref="E51">((SQRT(PI())/Tabella6362033[Simmetria]))*(SQRT(POWER(A51,3)/PRODUCT($B$7,$C$7,$D$7)))</f>
        <v>2895.7885417332873</v>
      </c>
      <c r="F51" s="57">
        <v>1</v>
      </c>
      <c r="G51" s="96">
        <f t="shared" si="0"/>
        <v>3709932598.2867188</v>
      </c>
      <c r="H51" s="22"/>
    </row>
    <row r="52" spans="1:8" x14ac:dyDescent="0.35">
      <c r="A52" s="3">
        <v>1800</v>
      </c>
      <c r="B52" s="58" cm="1">
        <f t="array" ref="B52">(Tabella333178[Boltzmann k]*A52)/101325</f>
        <v>2.4526703182827536E-25</v>
      </c>
      <c r="C52" s="58" cm="1">
        <f t="array" ref="C52">POWER((2*Tabella333178[Pi Greco]*Tabella333178[Massa '[kg']]*Tabella333178[Boltzmann k]*A52)/(POWER(Tabella333178[Planck h],2)),1.5)*B52</f>
        <v>247187761.01773211</v>
      </c>
      <c r="D52" s="54">
        <v>9.5931503260367219E-3</v>
      </c>
      <c r="E52" s="58" cm="1">
        <f t="array" ref="E52">((SQRT(PI())/Tabella6362033[Simmetria]))*(SQRT(POWER(A52,3)/PRODUCT($B$7,$C$7,$D$7)))</f>
        <v>3155.0207576557618</v>
      </c>
      <c r="F52" s="57">
        <v>1</v>
      </c>
      <c r="G52" s="96">
        <f t="shared" si="0"/>
        <v>7481530222.7027588</v>
      </c>
      <c r="H52" s="22"/>
    </row>
    <row r="53" spans="1:8" x14ac:dyDescent="0.35">
      <c r="A53" s="3">
        <v>1900</v>
      </c>
      <c r="B53" s="58" cm="1">
        <f t="array" ref="B53">(Tabella333178[Boltzmann k]*A53)/101325</f>
        <v>2.5889297804095731E-25</v>
      </c>
      <c r="C53" s="58" cm="1">
        <f t="array" ref="C53">POWER((2*Tabella333178[Pi Greco]*Tabella333178[Massa '[kg']]*Tabella333178[Boltzmann k]*A53)/(POWER(Tabella333178[Planck h],2)),1.5)*B53</f>
        <v>282963033.96722335</v>
      </c>
      <c r="D53" s="54">
        <v>1.4827930509106997E-2</v>
      </c>
      <c r="E53" s="58" cm="1">
        <f t="array" ref="E53">((SQRT(PI())/Tabella6362033[Simmetria]))*(SQRT(POWER(A53,3)/PRODUCT($B$7,$C$7,$D$7)))</f>
        <v>3421.5576724524849</v>
      </c>
      <c r="F53" s="57">
        <v>1</v>
      </c>
      <c r="G53" s="96">
        <f t="shared" si="0"/>
        <v>14356021832.60408</v>
      </c>
      <c r="H53" s="22"/>
    </row>
    <row r="54" spans="1:8" ht="15" thickBot="1" x14ac:dyDescent="0.4">
      <c r="A54" s="5">
        <v>2000</v>
      </c>
      <c r="B54" s="97" cm="1">
        <f t="array" ref="B54">(Tabella333178[Boltzmann k]*A54)/101325</f>
        <v>2.7251892425363931E-25</v>
      </c>
      <c r="C54" s="97" cm="1">
        <f t="array" ref="C54">POWER((2*Tabella333178[Pi Greco]*Tabella333178[Massa '[kg']]*Tabella333178[Boltzmann k]*A54)/(POWER(Tabella333178[Planck h],2)),1.5)*B54</f>
        <v>321677503.92321813</v>
      </c>
      <c r="D54" s="55">
        <v>2.2197401144923547E-2</v>
      </c>
      <c r="E54" s="97" cm="1">
        <f t="array" ref="E54">((SQRT(PI())/Tabella6362033[Simmetria]))*(SQRT(POWER(A54,3)/PRODUCT($B$7,$C$7,$D$7)))</f>
        <v>3695.2043182601215</v>
      </c>
      <c r="F54" s="98">
        <v>1</v>
      </c>
      <c r="G54" s="99">
        <f t="shared" si="0"/>
        <v>26385253889.434925</v>
      </c>
      <c r="H54" s="22"/>
    </row>
    <row r="55" spans="1:8" x14ac:dyDescent="0.35">
      <c r="D55" s="100"/>
      <c r="E55" s="101"/>
      <c r="F55" s="101"/>
      <c r="G55" s="101"/>
      <c r="H55" s="101"/>
    </row>
    <row r="56" spans="1:8" x14ac:dyDescent="0.35">
      <c r="H56" s="22"/>
    </row>
    <row r="57" spans="1:8" x14ac:dyDescent="0.35">
      <c r="H57" s="22"/>
    </row>
    <row r="58" spans="1:8" x14ac:dyDescent="0.35">
      <c r="H58" s="22"/>
    </row>
    <row r="59" spans="1:8" x14ac:dyDescent="0.35">
      <c r="H59" s="22"/>
    </row>
    <row r="60" spans="1:8" x14ac:dyDescent="0.35">
      <c r="H60" s="22"/>
    </row>
    <row r="61" spans="1:8" x14ac:dyDescent="0.35">
      <c r="H61" s="22"/>
    </row>
    <row r="62" spans="1:8" x14ac:dyDescent="0.35">
      <c r="H62" s="22"/>
    </row>
    <row r="63" spans="1:8" x14ac:dyDescent="0.35">
      <c r="H63" s="22"/>
    </row>
    <row r="64" spans="1:8" x14ac:dyDescent="0.35">
      <c r="H64" s="22"/>
    </row>
    <row r="65" spans="8:8" x14ac:dyDescent="0.35">
      <c r="H65" s="22"/>
    </row>
    <row r="66" spans="8:8" x14ac:dyDescent="0.35">
      <c r="H66" s="22"/>
    </row>
    <row r="67" spans="8:8" x14ac:dyDescent="0.35">
      <c r="H67" s="22"/>
    </row>
    <row r="68" spans="8:8" x14ac:dyDescent="0.35">
      <c r="H68" s="22"/>
    </row>
    <row r="69" spans="8:8" x14ac:dyDescent="0.35">
      <c r="H69" s="22"/>
    </row>
    <row r="70" spans="8:8" x14ac:dyDescent="0.35">
      <c r="H70" s="22"/>
    </row>
    <row r="71" spans="8:8" x14ac:dyDescent="0.35">
      <c r="H71" s="22"/>
    </row>
    <row r="72" spans="8:8" x14ac:dyDescent="0.35">
      <c r="H72" s="22"/>
    </row>
    <row r="73" spans="8:8" x14ac:dyDescent="0.35">
      <c r="H73" s="22"/>
    </row>
    <row r="74" spans="8:8" x14ac:dyDescent="0.35">
      <c r="H74" s="22"/>
    </row>
    <row r="75" spans="8:8" x14ac:dyDescent="0.35">
      <c r="H75" s="2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94E5-B238-4689-8C48-188B02C09FCA}">
  <dimension ref="A1:L94"/>
  <sheetViews>
    <sheetView tabSelected="1" topLeftCell="A32" workbookViewId="0">
      <selection activeCell="E100" sqref="E100"/>
    </sheetView>
  </sheetViews>
  <sheetFormatPr defaultColWidth="9.1796875" defaultRowHeight="14.5" x14ac:dyDescent="0.35"/>
  <cols>
    <col min="1" max="1" width="22" style="9" bestFit="1" customWidth="1"/>
    <col min="2" max="2" width="20.36328125" style="9" bestFit="1" customWidth="1"/>
    <col min="3" max="3" width="12" style="9" bestFit="1" customWidth="1"/>
    <col min="4" max="4" width="18" style="9" customWidth="1"/>
    <col min="5" max="5" width="30" style="9" customWidth="1"/>
    <col min="6" max="6" width="14.54296875" style="9" bestFit="1" customWidth="1"/>
    <col min="7" max="7" width="15.81640625" style="9" bestFit="1" customWidth="1"/>
    <col min="8" max="8" width="16.453125" style="9" bestFit="1" customWidth="1"/>
    <col min="9" max="9" width="24.7265625" style="9" bestFit="1" customWidth="1"/>
    <col min="10" max="10" width="20" style="9" bestFit="1" customWidth="1"/>
    <col min="11" max="11" width="19" style="9" bestFit="1" customWidth="1"/>
    <col min="12" max="12" width="19.6328125" style="9" bestFit="1" customWidth="1"/>
    <col min="13" max="13" width="20" style="9" bestFit="1" customWidth="1"/>
    <col min="14" max="14" width="19" style="9" bestFit="1" customWidth="1"/>
    <col min="15" max="16384" width="9.1796875" style="9"/>
  </cols>
  <sheetData>
    <row r="1" spans="1:12" x14ac:dyDescent="0.35">
      <c r="A1" s="61" t="s">
        <v>14</v>
      </c>
      <c r="B1" s="61" t="s">
        <v>17</v>
      </c>
      <c r="C1" s="61" t="s">
        <v>18</v>
      </c>
    </row>
    <row r="2" spans="1:12" x14ac:dyDescent="0.35">
      <c r="A2" s="4">
        <v>8.3144626180000003</v>
      </c>
      <c r="B2" s="54">
        <v>1.3806490000000001E-23</v>
      </c>
      <c r="C2" s="54">
        <v>6.6260687599999996E-34</v>
      </c>
    </row>
    <row r="3" spans="1:12" ht="15" thickBot="1" x14ac:dyDescent="0.4"/>
    <row r="4" spans="1:12" ht="15" thickBot="1" x14ac:dyDescent="0.4">
      <c r="B4" s="63" t="s">
        <v>66</v>
      </c>
      <c r="C4" s="63" t="s">
        <v>5</v>
      </c>
      <c r="D4" s="63" t="s">
        <v>67</v>
      </c>
      <c r="E4" s="63" t="s">
        <v>7</v>
      </c>
      <c r="F4" s="64" t="s">
        <v>8</v>
      </c>
      <c r="H4" s="65" t="s">
        <v>10</v>
      </c>
      <c r="I4" s="66" t="s">
        <v>61</v>
      </c>
      <c r="K4" s="67" t="s">
        <v>11</v>
      </c>
      <c r="L4" s="68" t="s">
        <v>91</v>
      </c>
    </row>
    <row r="5" spans="1:12" ht="15" thickBot="1" x14ac:dyDescent="0.4">
      <c r="A5" s="62" t="s">
        <v>3</v>
      </c>
      <c r="B5" s="4">
        <v>-56.566984602300003</v>
      </c>
      <c r="C5" s="4">
        <v>-0.50027299999999997</v>
      </c>
      <c r="D5" s="4">
        <v>-55.885447059999997</v>
      </c>
      <c r="E5" s="4">
        <v>-1.1785393361200001</v>
      </c>
      <c r="F5" s="74">
        <v>-57.046461231999999</v>
      </c>
      <c r="H5" s="69">
        <f>F5+F7-(B5+C5+B7)</f>
        <v>1.8832370300010837E-2</v>
      </c>
      <c r="I5" s="75">
        <f>H5*627.5</f>
        <v>11.8173123632568</v>
      </c>
      <c r="K5" s="69">
        <f>F5+F7-(D5+E5+D7+E7)</f>
        <v>2.0795164120002596E-2</v>
      </c>
      <c r="L5" s="76">
        <f>627.5*K5</f>
        <v>13.048965485301629</v>
      </c>
    </row>
    <row r="6" spans="1:12" x14ac:dyDescent="0.35">
      <c r="B6" s="63" t="s">
        <v>66</v>
      </c>
      <c r="C6" s="71" t="s">
        <v>5</v>
      </c>
      <c r="D6" s="63" t="s">
        <v>67</v>
      </c>
      <c r="E6" s="71" t="s">
        <v>7</v>
      </c>
      <c r="F6" s="72" t="s">
        <v>8</v>
      </c>
      <c r="I6" s="65" t="s">
        <v>12</v>
      </c>
      <c r="L6" s="65" t="s">
        <v>13</v>
      </c>
    </row>
    <row r="7" spans="1:12" ht="15" thickBot="1" x14ac:dyDescent="0.4">
      <c r="A7" s="70" t="s">
        <v>9</v>
      </c>
      <c r="B7" s="6">
        <v>3.4375000000000003E-2</v>
      </c>
      <c r="C7" s="6">
        <v>0</v>
      </c>
      <c r="D7" s="6">
        <v>1.8967999999999999E-2</v>
      </c>
      <c r="E7" s="6">
        <v>1.0173E-2</v>
      </c>
      <c r="F7" s="73">
        <v>3.2411000000000002E-2</v>
      </c>
      <c r="H7" s="7"/>
      <c r="I7" s="11">
        <f>I5*4.184</f>
        <v>49.443634927866455</v>
      </c>
      <c r="L7" s="11">
        <f>L5*4.184</f>
        <v>54.596871590502019</v>
      </c>
    </row>
    <row r="9" spans="1:12" ht="45.5" x14ac:dyDescent="0.55000000000000004">
      <c r="A9" s="79" t="s">
        <v>70</v>
      </c>
      <c r="D9" s="117" t="s">
        <v>71</v>
      </c>
      <c r="H9" s="9" t="s">
        <v>93</v>
      </c>
      <c r="I9" s="139" t="s">
        <v>92</v>
      </c>
      <c r="J9" s="78" t="s">
        <v>94</v>
      </c>
    </row>
    <row r="10" spans="1:12" ht="15" thickBot="1" x14ac:dyDescent="0.4">
      <c r="I10" s="80"/>
      <c r="J10" s="80"/>
    </row>
    <row r="11" spans="1:12" ht="15" thickBot="1" x14ac:dyDescent="0.4">
      <c r="A11" s="59" t="s">
        <v>2</v>
      </c>
      <c r="B11" s="60" t="s">
        <v>68</v>
      </c>
      <c r="C11" s="60" t="s">
        <v>1</v>
      </c>
      <c r="D11" s="118" t="s">
        <v>60</v>
      </c>
      <c r="E11" s="10" t="s">
        <v>84</v>
      </c>
      <c r="F11" s="135" t="s">
        <v>88</v>
      </c>
      <c r="G11" s="10" t="s">
        <v>90</v>
      </c>
      <c r="H11" s="10" t="s">
        <v>89</v>
      </c>
      <c r="I11" s="10" t="s">
        <v>72</v>
      </c>
    </row>
    <row r="12" spans="1:12" x14ac:dyDescent="0.35">
      <c r="A12" s="56">
        <v>298.14999999999998</v>
      </c>
      <c r="B12" s="57">
        <v>9.1446298421469228E-8</v>
      </c>
      <c r="C12" s="57">
        <v>79497.535716311773</v>
      </c>
      <c r="D12" s="119">
        <v>5.6588326711403247E-7</v>
      </c>
      <c r="E12" s="132">
        <f>H12*EXP(-$I$7*1000/($A$2*A12))</f>
        <v>1.4257089380414971E-21</v>
      </c>
      <c r="F12" s="106">
        <f>G12*EXP(-$L$7*1000/($A$2*A12))</f>
        <v>4.3071140933437215E-22</v>
      </c>
      <c r="G12" s="140">
        <f>0.00000000000158*(A12/298)^2.23</f>
        <v>1.5817740725297143E-12</v>
      </c>
      <c r="H12" s="40">
        <f>0.000000000000654*POWER((A12/298),2.76)</f>
        <v>6.5490897968953266E-13</v>
      </c>
      <c r="I12" s="123">
        <v>3.0932940000000002</v>
      </c>
    </row>
    <row r="13" spans="1:12" x14ac:dyDescent="0.35">
      <c r="A13" s="3">
        <v>400</v>
      </c>
      <c r="B13" s="4">
        <v>3.2216238368218664E-3</v>
      </c>
      <c r="C13" s="4">
        <v>165735.90748691262</v>
      </c>
      <c r="D13" s="120">
        <v>2.4615921301987101E-2</v>
      </c>
      <c r="E13" s="132">
        <f>H13*EXP(-$I$7*1000/($A$2*A13))</f>
        <v>5.1508194256957061E-19</v>
      </c>
      <c r="F13" s="107">
        <f t="shared" ref="F13:F29" si="0">G13*EXP(-$L$7*1000/($A$2*A13))</f>
        <v>2.2608303390155019E-19</v>
      </c>
      <c r="G13" s="123">
        <f>0.00000000000158*(A13/298)^2.23</f>
        <v>3.0461311566072351E-12</v>
      </c>
      <c r="H13" s="40">
        <f>0.000000000000654*POWER((A13/298),2.76)</f>
        <v>1.4737588821245597E-12</v>
      </c>
      <c r="I13" s="123">
        <v>1.82474</v>
      </c>
    </row>
    <row r="14" spans="1:12" x14ac:dyDescent="0.35">
      <c r="A14" s="3">
        <v>500</v>
      </c>
      <c r="B14" s="4">
        <v>1.8659646839350816</v>
      </c>
      <c r="C14" s="4">
        <v>289528.71519792947</v>
      </c>
      <c r="D14" s="120">
        <v>17.59351113097711</v>
      </c>
      <c r="E14" s="132">
        <f>H14*EXP(-$I$7*1000/($A$2*A14))</f>
        <v>1.8649104517990277E-17</v>
      </c>
      <c r="F14" s="107">
        <f t="shared" si="0"/>
        <v>9.9145595761006505E-18</v>
      </c>
      <c r="G14" s="123">
        <f>0.00000000000158*(A14/298)^2.23</f>
        <v>5.0102330531682224E-12</v>
      </c>
      <c r="H14" s="40">
        <f>0.000000000000654*POWER((A14/298),2.76)</f>
        <v>2.7283373691153759E-12</v>
      </c>
      <c r="I14" s="123">
        <v>1.4625889999999999</v>
      </c>
    </row>
    <row r="15" spans="1:12" x14ac:dyDescent="0.35">
      <c r="A15" s="3">
        <v>600</v>
      </c>
      <c r="B15" s="4">
        <v>152.85067134593675</v>
      </c>
      <c r="C15" s="4">
        <v>456714.45607505803</v>
      </c>
      <c r="D15" s="120">
        <v>1785.0387849959702</v>
      </c>
      <c r="E15" s="132">
        <f>H15*EXP(-$I$7*1000/($A$2*A15))</f>
        <v>2.2390901018928284E-16</v>
      </c>
      <c r="F15" s="107">
        <f t="shared" si="0"/>
        <v>1.3287553381832148E-16</v>
      </c>
      <c r="G15" s="123">
        <f>0.00000000000158*(A15/298)^2.23</f>
        <v>7.5237110224412325E-12</v>
      </c>
      <c r="H15" s="40">
        <f>0.000000000000654*POWER((A15/298),2.76)</f>
        <v>4.5127191975640752E-12</v>
      </c>
      <c r="I15" s="123">
        <v>1.302735</v>
      </c>
    </row>
    <row r="16" spans="1:12" x14ac:dyDescent="0.35">
      <c r="A16" s="3">
        <v>700</v>
      </c>
      <c r="B16" s="4">
        <v>4033.473729606339</v>
      </c>
      <c r="C16" s="4">
        <v>671446.99161483813</v>
      </c>
      <c r="D16" s="120">
        <v>58344.313183302234</v>
      </c>
      <c r="E16" s="132">
        <f>H16*EXP(-$I$7*1000/($A$2*A16))</f>
        <v>1.411738451809217E-15</v>
      </c>
      <c r="F16" s="107">
        <f t="shared" si="0"/>
        <v>8.9481760096942688E-16</v>
      </c>
      <c r="G16" s="123">
        <f>0.00000000000158*(A16/298)^2.23</f>
        <v>1.0610196994014158E-11</v>
      </c>
      <c r="H16" s="40">
        <f>0.000000000000654*POWER((A16/298),2.76)</f>
        <v>6.9057595059981798E-12</v>
      </c>
      <c r="I16" s="123">
        <v>1.2162109999999999</v>
      </c>
    </row>
    <row r="17" spans="1:9" x14ac:dyDescent="0.35">
      <c r="A17" s="3">
        <v>800</v>
      </c>
      <c r="B17" s="4">
        <v>51933.408544123187</v>
      </c>
      <c r="C17" s="4">
        <v>937543.87256082019</v>
      </c>
      <c r="D17" s="120">
        <v>927576.94945336774</v>
      </c>
      <c r="E17" s="132">
        <f>H17*EXP(-$I$7*1000/($A$2*A17))</f>
        <v>5.9019315495846889E-15</v>
      </c>
      <c r="F17" s="107">
        <f t="shared" si="0"/>
        <v>3.8931862060206246E-15</v>
      </c>
      <c r="G17" s="123">
        <f>0.00000000000158*(A17/298)^2.23</f>
        <v>1.4290436321652367E-11</v>
      </c>
      <c r="H17" s="40">
        <f>0.000000000000654*POWER((A17/298),2.76)</f>
        <v>9.9831873999328696E-12</v>
      </c>
      <c r="I17" s="123">
        <v>1.1634370000000001</v>
      </c>
    </row>
    <row r="18" spans="1:9" x14ac:dyDescent="0.35">
      <c r="A18" s="3">
        <v>900</v>
      </c>
      <c r="B18" s="4">
        <v>411699.93876221246</v>
      </c>
      <c r="C18" s="4">
        <v>1258557.0474787266</v>
      </c>
      <c r="D18" s="120">
        <v>9032633.0231868774</v>
      </c>
      <c r="E18" s="132">
        <f>H18*EXP(-$I$7*1000/($A$2*A18))</f>
        <v>1.8658312326916938E-14</v>
      </c>
      <c r="F18" s="107">
        <f t="shared" si="0"/>
        <v>1.2602524721105986E-14</v>
      </c>
      <c r="G18" s="123">
        <f>0.00000000000158*(A18/298)^2.23</f>
        <v>1.8582990895326843E-11</v>
      </c>
      <c r="H18" s="40">
        <f>0.000000000000654*POWER((A18/298),2.76)</f>
        <v>1.3818158996745685E-11</v>
      </c>
      <c r="I18" s="123">
        <v>1.128601</v>
      </c>
    </row>
    <row r="19" spans="1:9" x14ac:dyDescent="0.35">
      <c r="A19" s="3">
        <v>1000</v>
      </c>
      <c r="B19" s="4">
        <v>2313064.0018442604</v>
      </c>
      <c r="C19" s="4">
        <v>1637821.7429174811</v>
      </c>
      <c r="D19" s="120">
        <v>61939284.566470183</v>
      </c>
      <c r="E19" s="132">
        <f>H19*EXP(-$I$7*1000/($A$2*A19))</f>
        <v>4.8319320157339335E-14</v>
      </c>
      <c r="F19" s="107">
        <f t="shared" si="0"/>
        <v>3.3064546279942024E-14</v>
      </c>
      <c r="G19" s="123">
        <f>0.00000000000158*(A19/298)^2.23</f>
        <v>2.350470571420974E-11</v>
      </c>
      <c r="H19" s="40">
        <f>0.000000000000654*POWER((A19/298),2.76)</f>
        <v>1.8481655022735634E-11</v>
      </c>
      <c r="I19" s="123">
        <v>1.1042689999999999</v>
      </c>
    </row>
    <row r="20" spans="1:9" x14ac:dyDescent="0.35">
      <c r="A20" s="3">
        <v>1100</v>
      </c>
      <c r="B20" s="4">
        <v>10080130.794608956</v>
      </c>
      <c r="C20" s="4">
        <v>2078491.9421937331</v>
      </c>
      <c r="D20" s="120">
        <v>327133274.61119545</v>
      </c>
      <c r="E20" s="132">
        <f>H20*EXP(-$I$7*1000/($A$2*A20))</f>
        <v>1.0793151338253666E-13</v>
      </c>
      <c r="F20" s="107">
        <f t="shared" si="0"/>
        <v>7.4288586738883506E-14</v>
      </c>
      <c r="G20" s="123">
        <f>0.00000000000158*(A20/298)^2.23</f>
        <v>2.9071035801589485E-11</v>
      </c>
      <c r="H20" s="40">
        <f>0.000000000000654*POWER((A20/298),2.76)</f>
        <v>2.4042779336194009E-11</v>
      </c>
      <c r="I20" s="123">
        <v>1.086535</v>
      </c>
    </row>
    <row r="21" spans="1:9" x14ac:dyDescent="0.35">
      <c r="A21" s="3">
        <v>1200</v>
      </c>
      <c r="B21" s="4">
        <v>36203594.125126719</v>
      </c>
      <c r="C21" s="4">
        <v>2583567.1116527999</v>
      </c>
      <c r="D21" s="120">
        <v>1413557415.4637673</v>
      </c>
      <c r="E21" s="132">
        <f>H21*EXP(-$I$7*1000/($A$2*A21))</f>
        <v>2.1532662250977178E-13</v>
      </c>
      <c r="F21" s="107">
        <f t="shared" si="0"/>
        <v>1.4833220568287421E-13</v>
      </c>
      <c r="G21" s="123">
        <f>0.00000000000158*(A21/298)^2.23</f>
        <v>3.5296284940160764E-11</v>
      </c>
      <c r="H21" s="40">
        <f>0.000000000000654*POWER((A21/298),2.76)</f>
        <v>3.056899061236612E-11</v>
      </c>
      <c r="I21" s="123">
        <v>1.0731729999999999</v>
      </c>
    </row>
    <row r="22" spans="1:9" x14ac:dyDescent="0.35">
      <c r="A22" s="3">
        <v>1300</v>
      </c>
      <c r="B22" s="4">
        <v>111792551.78014818</v>
      </c>
      <c r="C22" s="4">
        <v>3155912.9323251243</v>
      </c>
      <c r="D22" s="120">
        <v>5213124125.2661152</v>
      </c>
      <c r="E22" s="132">
        <f>H22*EXP(-$I$7*1000/($A$2*A22))</f>
        <v>3.9318207342206497E-13</v>
      </c>
      <c r="F22" s="107">
        <f t="shared" si="0"/>
        <v>2.7012336249837178E-13</v>
      </c>
      <c r="G22" s="123">
        <f>0.00000000000158*(A22/298)^2.23</f>
        <v>4.2193785789448038E-11</v>
      </c>
      <c r="H22" s="40">
        <f>0.000000000000654*POWER((A22/298),2.76)</f>
        <v>3.812628692017352E-11</v>
      </c>
      <c r="I22" s="123">
        <v>1.0628299999999999</v>
      </c>
    </row>
    <row r="23" spans="1:9" x14ac:dyDescent="0.35">
      <c r="A23" s="3">
        <v>1400</v>
      </c>
      <c r="B23" s="4">
        <v>305961026.56061155</v>
      </c>
      <c r="C23" s="4">
        <v>3798277.7678252826</v>
      </c>
      <c r="D23" s="120">
        <v>16918465419.315102</v>
      </c>
      <c r="E23" s="132">
        <f>H23*EXP(-$I$7*1000/($A$2*A23))</f>
        <v>6.6884523115444438E-13</v>
      </c>
      <c r="F23" s="107">
        <f t="shared" si="0"/>
        <v>4.5711542135285512E-13</v>
      </c>
      <c r="G23" s="123">
        <f>0.00000000000158*(A23/298)^2.23</f>
        <v>4.977603941125932E-11</v>
      </c>
      <c r="H23" s="40">
        <f>0.000000000000654*POWER((A23/298),2.76)</f>
        <v>4.6779355920055368E-11</v>
      </c>
      <c r="I23" s="123">
        <v>1.054646</v>
      </c>
    </row>
    <row r="24" spans="1:9" x14ac:dyDescent="0.35">
      <c r="A24" s="3">
        <v>1500</v>
      </c>
      <c r="B24" s="4">
        <v>759056302.02731967</v>
      </c>
      <c r="C24" s="4">
        <v>4513306.0047565643</v>
      </c>
      <c r="D24" s="120">
        <v>49427973077.425499</v>
      </c>
      <c r="E24" s="132">
        <f>H24*EXP(-$I$7*1000/($A$2*A24))</f>
        <v>1.0740043448737622E-12</v>
      </c>
      <c r="F24" s="107">
        <f t="shared" si="0"/>
        <v>7.2885895175761167E-13</v>
      </c>
      <c r="G24" s="123">
        <f>0.00000000000158*(A24/298)^2.23</f>
        <v>5.8054825734491176E-11</v>
      </c>
      <c r="H24" s="40">
        <f>0.000000000000654*POWER((A24/298),2.76)</f>
        <v>5.6591699249759987E-11</v>
      </c>
      <c r="I24" s="123">
        <v>1.048049</v>
      </c>
    </row>
    <row r="25" spans="1:9" x14ac:dyDescent="0.35">
      <c r="A25" s="3">
        <v>1600</v>
      </c>
      <c r="B25" s="4">
        <v>1736251646.5897975</v>
      </c>
      <c r="C25" s="4">
        <v>5303549.0395811573</v>
      </c>
      <c r="D25" s="120">
        <v>132264019552.27567</v>
      </c>
      <c r="E25" s="132">
        <f>H25*EXP(-$I$7*1000/($A$2*A25))</f>
        <v>1.6442751144773092E-12</v>
      </c>
      <c r="F25" s="107">
        <f t="shared" si="0"/>
        <v>1.1065530073759298E-12</v>
      </c>
      <c r="G25" s="123">
        <f>0.00000000000158*(A25/298)^2.23</f>
        <v>6.704129263122617E-11</v>
      </c>
      <c r="H25" s="40">
        <f>0.000000000000654*POWER((A25/298),2.76)</f>
        <v>6.7625737066638398E-11</v>
      </c>
      <c r="I25" s="123">
        <v>1.042645</v>
      </c>
    </row>
    <row r="26" spans="1:9" x14ac:dyDescent="0.35">
      <c r="A26" s="3">
        <v>1700</v>
      </c>
      <c r="B26" s="4">
        <v>3709932598.2867188</v>
      </c>
      <c r="C26" s="4">
        <v>6171474.4556266693</v>
      </c>
      <c r="D26" s="120">
        <v>328545438462.01135</v>
      </c>
      <c r="E26" s="132">
        <f>H26*EXP(-$I$7*1000/($A$2*A26))</f>
        <v>2.4187535576738806E-12</v>
      </c>
      <c r="F26" s="107">
        <f t="shared" si="0"/>
        <v>1.6126163529749086E-12</v>
      </c>
      <c r="G26" s="123">
        <f>0.00000000000158*(A26/298)^2.23</f>
        <v>7.6746028878398422E-11</v>
      </c>
      <c r="H26" s="40">
        <f>0.000000000000654*POWER((A26/298),2.76)</f>
        <v>7.9942897026871837E-11</v>
      </c>
      <c r="I26" s="123">
        <v>1.0381590000000001</v>
      </c>
    </row>
    <row r="27" spans="1:9" x14ac:dyDescent="0.35">
      <c r="A27" s="3">
        <v>1800</v>
      </c>
      <c r="B27" s="4">
        <v>7481530222.7027588</v>
      </c>
      <c r="C27" s="4">
        <v>7119473.7822586382</v>
      </c>
      <c r="D27" s="120">
        <v>765663879295.60925</v>
      </c>
      <c r="E27" s="132">
        <f>H27*EXP(-$I$7*1000/($A$2*A27))</f>
        <v>3.4395692691420483E-12</v>
      </c>
      <c r="F27" s="107">
        <f t="shared" si="0"/>
        <v>2.2703011879727305E-12</v>
      </c>
      <c r="G27" s="123">
        <f>0.00000000000158*(A27/298)^2.23</f>
        <v>8.7179124733188507E-11</v>
      </c>
      <c r="H27" s="40">
        <f>0.000000000000654*POWER((A27/298),2.76)</f>
        <v>9.360369084779583E-11</v>
      </c>
      <c r="I27" s="123">
        <v>1.0343899999999999</v>
      </c>
    </row>
    <row r="28" spans="1:9" x14ac:dyDescent="0.35">
      <c r="A28" s="3">
        <v>1900</v>
      </c>
      <c r="B28" s="4">
        <v>14356021832.60408</v>
      </c>
      <c r="C28" s="4">
        <v>8149869.1253304556</v>
      </c>
      <c r="D28" s="120">
        <v>1688358467213.5608</v>
      </c>
      <c r="E28" s="132">
        <f>H28*EXP(-$I$7*1000/($A$2*A28))</f>
        <v>4.7514601431102343E-12</v>
      </c>
      <c r="F28" s="107">
        <f t="shared" si="0"/>
        <v>3.1033592880143244E-12</v>
      </c>
      <c r="G28" s="123">
        <f>0.00000000000158*(A28/298)^2.23</f>
        <v>9.8350222821162809E-11</v>
      </c>
      <c r="H28" s="40">
        <f>0.000000000000654*POWER((A28/298),2.76)</f>
        <v>1.0866778081520027E-10</v>
      </c>
      <c r="I28" s="123">
        <v>1.0311900000000001</v>
      </c>
    </row>
    <row r="29" spans="1:9" ht="15" thickBot="1" x14ac:dyDescent="0.4">
      <c r="A29" s="5">
        <v>2000</v>
      </c>
      <c r="B29" s="6">
        <v>26385253889.434925</v>
      </c>
      <c r="C29" s="6">
        <v>9264918.8863336649</v>
      </c>
      <c r="D29" s="121">
        <v>3547164960759.314</v>
      </c>
      <c r="E29" s="132">
        <f>H29*EXP(-$I$7*1000/($A$2*A29))</f>
        <v>6.4013802468113065E-12</v>
      </c>
      <c r="F29" s="108">
        <f t="shared" si="0"/>
        <v>4.1357624249187016E-12</v>
      </c>
      <c r="G29" s="11">
        <f>0.00000000000158*(A29/298)^2.23</f>
        <v>1.1026856133214164E-10</v>
      </c>
      <c r="H29" s="41">
        <f>0.000000000000654*POWER((A29/298),2.76)</f>
        <v>1.25194038041622E-10</v>
      </c>
      <c r="I29" s="11">
        <v>1.0284469999999999</v>
      </c>
    </row>
    <row r="31" spans="1:9" ht="15" thickBot="1" x14ac:dyDescent="0.4"/>
    <row r="32" spans="1:9" ht="24" thickBot="1" x14ac:dyDescent="0.6">
      <c r="A32" s="109" t="s">
        <v>69</v>
      </c>
      <c r="B32" s="110" t="s">
        <v>65</v>
      </c>
    </row>
    <row r="33" spans="1:2" ht="23.5" x14ac:dyDescent="0.55000000000000004">
      <c r="A33" s="111">
        <v>1.1499999999999999</v>
      </c>
      <c r="B33" s="112">
        <v>-57.058603976599997</v>
      </c>
    </row>
    <row r="34" spans="1:2" ht="23.5" x14ac:dyDescent="0.55000000000000004">
      <c r="A34" s="113">
        <v>1.2</v>
      </c>
      <c r="B34" s="114">
        <v>-57.048816772000002</v>
      </c>
    </row>
    <row r="35" spans="1:2" ht="23.5" x14ac:dyDescent="0.55000000000000004">
      <c r="A35" s="113">
        <v>1.3</v>
      </c>
      <c r="B35" s="114">
        <v>-57.046689035599996</v>
      </c>
    </row>
    <row r="36" spans="1:2" ht="24" thickBot="1" x14ac:dyDescent="0.6">
      <c r="A36" s="115">
        <v>1.4</v>
      </c>
      <c r="B36" s="116">
        <v>-57.046790841000004</v>
      </c>
    </row>
    <row r="51" spans="1:9" ht="26" x14ac:dyDescent="0.6">
      <c r="A51" s="82" t="s">
        <v>62</v>
      </c>
      <c r="I51" s="82"/>
    </row>
    <row r="75" spans="1:6" ht="15" thickBot="1" x14ac:dyDescent="0.4"/>
    <row r="76" spans="1:6" ht="15" thickBot="1" x14ac:dyDescent="0.4">
      <c r="A76" s="128" t="s">
        <v>2</v>
      </c>
      <c r="B76" s="128" t="s">
        <v>82</v>
      </c>
      <c r="C76" s="128" t="s">
        <v>1</v>
      </c>
      <c r="D76" s="128" t="s">
        <v>78</v>
      </c>
      <c r="E76" s="128" t="s">
        <v>80</v>
      </c>
      <c r="F76" s="128" t="s">
        <v>79</v>
      </c>
    </row>
    <row r="77" spans="1:6" x14ac:dyDescent="0.35">
      <c r="A77" s="56">
        <v>298.14999999999998</v>
      </c>
      <c r="B77" s="57">
        <v>9.1446298421469228E-8</v>
      </c>
      <c r="C77" s="58">
        <v>79497.535716311773</v>
      </c>
      <c r="D77" s="58">
        <f t="shared" ref="D77:D94" si="1">B77*C77</f>
        <v>7.2697553748852549E-3</v>
      </c>
      <c r="E77" s="145">
        <f t="shared" ref="E77:E94" si="2">D12/D77</f>
        <v>7.7840757760430738E-5</v>
      </c>
      <c r="F77" s="142">
        <f t="shared" ref="F77:F94" si="3">$B$2*A12/$C$2*E77</f>
        <v>483580982.25177646</v>
      </c>
    </row>
    <row r="78" spans="1:6" x14ac:dyDescent="0.35">
      <c r="A78" s="3">
        <v>400</v>
      </c>
      <c r="B78" s="4">
        <v>3.2216238368218664E-3</v>
      </c>
      <c r="C78" s="54">
        <v>165735.90748691262</v>
      </c>
      <c r="D78" s="54">
        <f t="shared" si="1"/>
        <v>533.93875017714129</v>
      </c>
      <c r="E78" s="146">
        <f t="shared" si="2"/>
        <v>4.6102518863484703E-5</v>
      </c>
      <c r="F78" s="143">
        <f t="shared" si="3"/>
        <v>384248331.08041155</v>
      </c>
    </row>
    <row r="79" spans="1:6" x14ac:dyDescent="0.35">
      <c r="A79" s="3">
        <v>500</v>
      </c>
      <c r="B79" s="4">
        <v>1.8659646839350816</v>
      </c>
      <c r="C79" s="54">
        <v>289528.71519792947</v>
      </c>
      <c r="D79" s="54">
        <f t="shared" si="1"/>
        <v>540250.35754443472</v>
      </c>
      <c r="E79" s="146">
        <f t="shared" si="2"/>
        <v>3.2565477996060502E-5</v>
      </c>
      <c r="F79" s="143">
        <f t="shared" si="3"/>
        <v>339277301.95923096</v>
      </c>
    </row>
    <row r="80" spans="1:6" x14ac:dyDescent="0.35">
      <c r="A80" s="3">
        <v>600</v>
      </c>
      <c r="B80" s="4">
        <v>152.85067134593675</v>
      </c>
      <c r="C80" s="54">
        <v>456714.45607505803</v>
      </c>
      <c r="D80" s="54">
        <f t="shared" si="1"/>
        <v>69809111.224466965</v>
      </c>
      <c r="E80" s="146">
        <f t="shared" si="2"/>
        <v>2.5570283787975559E-5</v>
      </c>
      <c r="F80" s="143">
        <f t="shared" si="3"/>
        <v>319679025.56071275</v>
      </c>
    </row>
    <row r="81" spans="1:6" x14ac:dyDescent="0.35">
      <c r="A81" s="3">
        <v>700</v>
      </c>
      <c r="B81" s="4">
        <v>4033.473729606339</v>
      </c>
      <c r="C81" s="54">
        <v>671446.99161483813</v>
      </c>
      <c r="D81" s="54">
        <f t="shared" si="1"/>
        <v>2708263801.5016575</v>
      </c>
      <c r="E81" s="146">
        <f t="shared" si="2"/>
        <v>2.1543068718398824E-5</v>
      </c>
      <c r="F81" s="143">
        <f t="shared" si="3"/>
        <v>314219368.25919741</v>
      </c>
    </row>
    <row r="82" spans="1:6" x14ac:dyDescent="0.35">
      <c r="A82" s="3">
        <v>800</v>
      </c>
      <c r="B82" s="4">
        <v>51933.408544123187</v>
      </c>
      <c r="C82" s="54">
        <v>937543.87256082019</v>
      </c>
      <c r="D82" s="54">
        <f t="shared" si="1"/>
        <v>48689848961.74044</v>
      </c>
      <c r="E82" s="146">
        <f t="shared" si="2"/>
        <v>1.9050725546144949E-5</v>
      </c>
      <c r="F82" s="143">
        <f t="shared" si="3"/>
        <v>317562236.39984661</v>
      </c>
    </row>
    <row r="83" spans="1:6" x14ac:dyDescent="0.35">
      <c r="A83" s="3">
        <v>900</v>
      </c>
      <c r="B83" s="4">
        <v>411699.93876221246</v>
      </c>
      <c r="C83" s="54">
        <v>1258557.0474787266</v>
      </c>
      <c r="D83" s="54">
        <f t="shared" si="1"/>
        <v>518147859375.74268</v>
      </c>
      <c r="E83" s="146">
        <f t="shared" si="2"/>
        <v>1.7432539495713188E-5</v>
      </c>
      <c r="F83" s="143">
        <f t="shared" si="3"/>
        <v>326911735.82079202</v>
      </c>
    </row>
    <row r="84" spans="1:6" x14ac:dyDescent="0.35">
      <c r="A84" s="3">
        <v>1000</v>
      </c>
      <c r="B84" s="4">
        <v>2313064.0018442604</v>
      </c>
      <c r="C84" s="54">
        <v>1637821.7429174811</v>
      </c>
      <c r="D84" s="54">
        <f t="shared" si="1"/>
        <v>3788386514980.2505</v>
      </c>
      <c r="E84" s="146">
        <f t="shared" si="2"/>
        <v>1.6349779601829536E-5</v>
      </c>
      <c r="F84" s="143">
        <f t="shared" si="3"/>
        <v>340674201.77943259</v>
      </c>
    </row>
    <row r="85" spans="1:6" x14ac:dyDescent="0.35">
      <c r="A85" s="3">
        <v>1100</v>
      </c>
      <c r="B85" s="4">
        <v>10080130.794608956</v>
      </c>
      <c r="C85" s="54">
        <v>2078491.9421937331</v>
      </c>
      <c r="D85" s="54">
        <f t="shared" si="1"/>
        <v>20951470632853.629</v>
      </c>
      <c r="E85" s="146">
        <f t="shared" si="2"/>
        <v>1.5613857391863634E-5</v>
      </c>
      <c r="F85" s="143">
        <f t="shared" si="3"/>
        <v>357874074.54614234</v>
      </c>
    </row>
    <row r="86" spans="1:6" x14ac:dyDescent="0.35">
      <c r="A86" s="3">
        <v>1200</v>
      </c>
      <c r="B86" s="4">
        <v>36203594.125126719</v>
      </c>
      <c r="C86" s="54">
        <v>2583567.1116527999</v>
      </c>
      <c r="D86" s="54">
        <f t="shared" si="1"/>
        <v>93534415105303.906</v>
      </c>
      <c r="E86" s="146">
        <f t="shared" si="2"/>
        <v>1.5112698506451782E-5</v>
      </c>
      <c r="F86" s="143">
        <f t="shared" si="3"/>
        <v>377877130.51563591</v>
      </c>
    </row>
    <row r="87" spans="1:6" x14ac:dyDescent="0.35">
      <c r="A87" s="3">
        <v>1300</v>
      </c>
      <c r="B87" s="4">
        <v>111792551.78014818</v>
      </c>
      <c r="C87" s="54">
        <v>3155912.9323251243</v>
      </c>
      <c r="D87" s="54">
        <f t="shared" si="1"/>
        <v>352807559900595.75</v>
      </c>
      <c r="E87" s="146">
        <f t="shared" si="2"/>
        <v>1.4776112299676694E-5</v>
      </c>
      <c r="F87" s="143">
        <f t="shared" si="3"/>
        <v>400249575.30877221</v>
      </c>
    </row>
    <row r="88" spans="1:6" x14ac:dyDescent="0.35">
      <c r="A88" s="3">
        <v>1400</v>
      </c>
      <c r="B88" s="4">
        <v>305961026.56061155</v>
      </c>
      <c r="C88" s="54">
        <v>3798277.7678252826</v>
      </c>
      <c r="D88" s="54">
        <f t="shared" si="1"/>
        <v>1162124965006171.8</v>
      </c>
      <c r="E88" s="146">
        <f t="shared" si="2"/>
        <v>1.4558215276982069E-5</v>
      </c>
      <c r="F88" s="143">
        <f t="shared" si="3"/>
        <v>424681670.66726953</v>
      </c>
    </row>
    <row r="89" spans="1:6" x14ac:dyDescent="0.35">
      <c r="A89" s="3">
        <v>1500</v>
      </c>
      <c r="B89" s="4">
        <v>759056302.02731967</v>
      </c>
      <c r="C89" s="54">
        <v>4513306.0047565643</v>
      </c>
      <c r="D89" s="54">
        <f t="shared" si="1"/>
        <v>3425853365888214</v>
      </c>
      <c r="E89" s="146">
        <f t="shared" si="2"/>
        <v>1.4427930152991359E-5</v>
      </c>
      <c r="F89" s="143">
        <f t="shared" si="3"/>
        <v>450944022.60166186</v>
      </c>
    </row>
    <row r="90" spans="1:6" x14ac:dyDescent="0.35">
      <c r="A90" s="3">
        <v>1600</v>
      </c>
      <c r="B90" s="4">
        <v>1736251646.5897975</v>
      </c>
      <c r="C90" s="54">
        <v>5303549.0395811573</v>
      </c>
      <c r="D90" s="54">
        <f t="shared" si="1"/>
        <v>9208295752742524</v>
      </c>
      <c r="E90" s="146">
        <f t="shared" si="2"/>
        <v>1.4363572055435255E-5</v>
      </c>
      <c r="F90" s="143">
        <f t="shared" si="3"/>
        <v>478861348.72562671</v>
      </c>
    </row>
    <row r="91" spans="1:6" x14ac:dyDescent="0.35">
      <c r="A91" s="3">
        <v>1700</v>
      </c>
      <c r="B91" s="4">
        <v>3709932598.2867188</v>
      </c>
      <c r="C91" s="54">
        <v>6171474.4556266693</v>
      </c>
      <c r="D91" s="54">
        <f t="shared" si="1"/>
        <v>2.2895754262423164E+16</v>
      </c>
      <c r="E91" s="146">
        <f t="shared" si="2"/>
        <v>1.4349622846940876E-5</v>
      </c>
      <c r="F91" s="143">
        <f t="shared" si="3"/>
        <v>508296070.53172702</v>
      </c>
    </row>
    <row r="92" spans="1:6" x14ac:dyDescent="0.35">
      <c r="A92" s="3">
        <v>1800</v>
      </c>
      <c r="B92" s="4">
        <v>7481530222.7027588</v>
      </c>
      <c r="C92" s="54">
        <v>7119473.7822586382</v>
      </c>
      <c r="D92" s="54">
        <f t="shared" si="1"/>
        <v>5.326455827170792E+16</v>
      </c>
      <c r="E92" s="146">
        <f t="shared" si="2"/>
        <v>1.43747344226508E-5</v>
      </c>
      <c r="F92" s="143">
        <f t="shared" si="3"/>
        <v>539137672.19368756</v>
      </c>
    </row>
    <row r="93" spans="1:6" x14ac:dyDescent="0.35">
      <c r="A93" s="3">
        <v>1900</v>
      </c>
      <c r="B93" s="4">
        <v>14356021832.60408</v>
      </c>
      <c r="C93" s="54">
        <v>8149869.1253304556</v>
      </c>
      <c r="D93" s="54">
        <f t="shared" si="1"/>
        <v>1.1699969909610994E+17</v>
      </c>
      <c r="E93" s="146">
        <f t="shared" si="2"/>
        <v>1.4430451362329154E-5</v>
      </c>
      <c r="F93" s="143">
        <f t="shared" si="3"/>
        <v>571295575.5925771</v>
      </c>
    </row>
    <row r="94" spans="1:6" ht="15" thickBot="1" x14ac:dyDescent="0.4">
      <c r="A94" s="5">
        <v>2000</v>
      </c>
      <c r="B94" s="6">
        <v>26385253889.434925</v>
      </c>
      <c r="C94" s="55">
        <v>9264918.8863336649</v>
      </c>
      <c r="D94" s="55">
        <f t="shared" si="1"/>
        <v>2.4445723708093443E+17</v>
      </c>
      <c r="E94" s="147">
        <f t="shared" si="2"/>
        <v>1.4510370006288361E-5</v>
      </c>
      <c r="F94" s="144">
        <f t="shared" si="3"/>
        <v>604694233.17037904</v>
      </c>
    </row>
  </sheetData>
  <hyperlinks>
    <hyperlink ref="A9" r:id="rId1" xr:uid="{1EFD8431-201B-4D94-A91F-C067A0E188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Q TST1 </vt:lpstr>
      <vt:lpstr>Q H</vt:lpstr>
      <vt:lpstr>CH4+H=CH3+H2</vt:lpstr>
      <vt:lpstr>Q TST2</vt:lpstr>
      <vt:lpstr>Q NH3</vt:lpstr>
      <vt:lpstr>NH3+H=NH2+H2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Gentile</dc:creator>
  <cp:lastModifiedBy>Giuseppe Gentile</cp:lastModifiedBy>
  <dcterms:created xsi:type="dcterms:W3CDTF">2024-06-23T12:01:57Z</dcterms:created>
  <dcterms:modified xsi:type="dcterms:W3CDTF">2024-06-29T16:48:22Z</dcterms:modified>
</cp:coreProperties>
</file>