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drawings/drawing2.xml" ContentType="application/vnd.openxmlformats-officedocument.drawing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drawings/drawing3.xml" ContentType="application/vnd.openxmlformats-officedocument.drawing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drawings/drawing4.xml" ContentType="application/vnd.openxmlformats-officedocument.drawing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tables/table21.xml" ContentType="application/vnd.openxmlformats-officedocument.spreadsheetml.table+xml"/>
  <Override PartName="/xl/tables/table22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budaf\OneDrive - Politecnico di Milano\Desktop\MMPE\Lab10\"/>
    </mc:Choice>
  </mc:AlternateContent>
  <xr:revisionPtr revIDLastSave="0" documentId="13_ncr:1_{1493D802-9AB2-4B8D-885E-B92D67D20E1E}" xr6:coauthVersionLast="47" xr6:coauthVersionMax="47" xr10:uidLastSave="{00000000-0000-0000-0000-000000000000}"/>
  <bookViews>
    <workbookView xWindow="-108" yWindow="-108" windowWidth="23256" windowHeight="12456" activeTab="2" xr2:uid="{00000000-000D-0000-FFFF-FFFF00000000}"/>
  </bookViews>
  <sheets>
    <sheet name="Quantum Tunneling" sheetId="1" r:id="rId1"/>
    <sheet name="DeltaG solvataz" sheetId="4" r:id="rId2"/>
    <sheet name="pka H2SO4" sheetId="5" r:id="rId3"/>
    <sheet name="pka acetic with correction" sheetId="9" r:id="rId4"/>
    <sheet name="pka acetic acid" sheetId="8" r:id="rId5"/>
  </sheets>
  <definedNames>
    <definedName name="DatiEsterni_1" localSheetId="0" hidden="1">'Quantum Tunneling'!$E$12:$G$22</definedName>
    <definedName name="DatiEsterni_2" localSheetId="0" hidden="1">'Quantum Tunneling'!$F$36:$H$46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28" i="5" l="1"/>
  <c r="B19" i="5"/>
  <c r="B49" i="5"/>
  <c r="B46" i="5"/>
  <c r="L28" i="5" a="1"/>
  <c r="L28" i="5" s="1"/>
  <c r="B36" i="5"/>
  <c r="M37" i="5" s="1" a="1"/>
  <c r="M37" i="5" s="1"/>
  <c r="M38" i="5" s="1"/>
  <c r="B39" i="5"/>
  <c r="E4" i="9"/>
  <c r="D4" i="9"/>
  <c r="C4" i="9"/>
  <c r="B4" i="9"/>
  <c r="K29" i="5" a="1"/>
  <c r="K29" i="5" s="1"/>
  <c r="M29" i="5" a="1"/>
  <c r="M29" i="5"/>
  <c r="M33" i="8" a="1"/>
  <c r="M33" i="8" s="1"/>
  <c r="M23" i="8" a="1"/>
  <c r="M23" i="8" s="1"/>
  <c r="M13" i="8" a="1"/>
  <c r="M13" i="8" s="1"/>
  <c r="F31" i="8"/>
  <c r="D31" i="8"/>
  <c r="E31" i="8"/>
  <c r="C31" i="8"/>
  <c r="O29" i="8" a="1"/>
  <c r="O29" i="8" s="1"/>
  <c r="N29" i="8" a="1"/>
  <c r="N29" i="8" s="1"/>
  <c r="N30" i="8" s="1"/>
  <c r="M29" i="8" a="1"/>
  <c r="M29" i="8" s="1"/>
  <c r="L29" i="8" a="1"/>
  <c r="L29" i="8" s="1"/>
  <c r="N19" i="8" a="1"/>
  <c r="N19" i="8" s="1"/>
  <c r="N20" i="8" s="1"/>
  <c r="O19" i="8" a="1"/>
  <c r="O19" i="8" s="1"/>
  <c r="M19" i="8" a="1"/>
  <c r="M19" i="8" s="1"/>
  <c r="M20" i="8" s="1"/>
  <c r="L19" i="8" a="1"/>
  <c r="L19" i="8" s="1"/>
  <c r="L20" i="8" s="1"/>
  <c r="M15" i="8" a="1"/>
  <c r="M15" i="8" s="1"/>
  <c r="M16" i="8" s="1"/>
  <c r="F21" i="8"/>
  <c r="D21" i="8"/>
  <c r="E21" i="8"/>
  <c r="C21" i="8"/>
  <c r="C18" i="8"/>
  <c r="F11" i="8"/>
  <c r="O9" i="8" s="1" a="1"/>
  <c r="O9" i="8" s="1"/>
  <c r="O10" i="8" s="1"/>
  <c r="D11" i="8"/>
  <c r="E11" i="8"/>
  <c r="C11" i="8"/>
  <c r="F28" i="8"/>
  <c r="D28" i="8"/>
  <c r="E28" i="8"/>
  <c r="C28" i="8"/>
  <c r="F18" i="8"/>
  <c r="D18" i="8"/>
  <c r="E18" i="8"/>
  <c r="F8" i="8"/>
  <c r="G8" i="8" s="1"/>
  <c r="H8" i="8" s="1"/>
  <c r="D8" i="8"/>
  <c r="M9" i="8" s="1" a="1"/>
  <c r="M9" i="8" s="1"/>
  <c r="M10" i="8" s="1"/>
  <c r="E8" i="8"/>
  <c r="N9" i="8" s="1" a="1"/>
  <c r="N9" i="8" s="1"/>
  <c r="N10" i="8" s="1"/>
  <c r="C8" i="8"/>
  <c r="E49" i="5"/>
  <c r="D49" i="5"/>
  <c r="C49" i="5"/>
  <c r="E46" i="5"/>
  <c r="D46" i="5"/>
  <c r="C46" i="5"/>
  <c r="N47" i="5" a="1"/>
  <c r="N47" i="5" s="1"/>
  <c r="N48" i="5" s="1"/>
  <c r="M47" i="5" a="1"/>
  <c r="M47" i="5" s="1"/>
  <c r="M48" i="5" s="1"/>
  <c r="L47" i="5" a="1"/>
  <c r="L47" i="5" s="1"/>
  <c r="L48" i="5" s="1"/>
  <c r="N38" i="5"/>
  <c r="N37" i="5" a="1"/>
  <c r="N37" i="5" s="1"/>
  <c r="L37" i="5" a="1"/>
  <c r="L37" i="5" s="1"/>
  <c r="L38" i="5" s="1"/>
  <c r="K37" i="5" a="1"/>
  <c r="K37" i="5" s="1"/>
  <c r="K38" i="5" s="1"/>
  <c r="E36" i="5"/>
  <c r="D36" i="5"/>
  <c r="C36" i="5"/>
  <c r="E39" i="5"/>
  <c r="D39" i="5"/>
  <c r="C39" i="5"/>
  <c r="J28" i="5" a="1"/>
  <c r="J28" i="5" s="1"/>
  <c r="J29" i="5" a="1"/>
  <c r="J29" i="5" s="1"/>
  <c r="E28" i="5"/>
  <c r="D28" i="5"/>
  <c r="K28" i="5" s="1" a="1"/>
  <c r="K28" i="5" s="1"/>
  <c r="C28" i="5"/>
  <c r="D19" i="5"/>
  <c r="C19" i="5"/>
  <c r="E19" i="5"/>
  <c r="L29" i="5" l="1" a="1"/>
  <c r="L29" i="5" s="1"/>
  <c r="F36" i="5"/>
  <c r="B11" i="9"/>
  <c r="C11" i="9" s="1"/>
  <c r="B10" i="9"/>
  <c r="C10" i="9" s="1"/>
  <c r="B7" i="9"/>
  <c r="C7" i="9" s="1"/>
  <c r="O30" i="8"/>
  <c r="M30" i="8"/>
  <c r="L30" i="8"/>
  <c r="L9" i="8" a="1"/>
  <c r="L9" i="8" s="1"/>
  <c r="L10" i="8" s="1"/>
  <c r="G28" i="8"/>
  <c r="H28" i="8" s="1"/>
  <c r="O20" i="8"/>
  <c r="G18" i="8"/>
  <c r="H18" i="8" s="1"/>
  <c r="O13" i="8"/>
  <c r="F46" i="5"/>
  <c r="K47" i="5" a="1"/>
  <c r="K47" i="5" s="1"/>
  <c r="K48" i="5" s="1"/>
  <c r="M28" i="5" a="1"/>
  <c r="M28" i="5" s="1"/>
  <c r="G36" i="5"/>
  <c r="G46" i="5" l="1"/>
  <c r="L51" i="5" s="1" a="1"/>
  <c r="L51" i="5" s="1"/>
  <c r="N51" i="5" s="1"/>
  <c r="L41" i="5" a="1"/>
  <c r="L41" i="5" s="1"/>
  <c r="N41" i="5" s="1"/>
  <c r="C12" i="9"/>
  <c r="C14" i="9" s="1"/>
  <c r="B14" i="9" s="1"/>
  <c r="O33" i="8"/>
  <c r="O23" i="8"/>
  <c r="F19" i="5" l="1"/>
  <c r="E19" i="4"/>
  <c r="E20" i="4"/>
  <c r="E18" i="4"/>
  <c r="D20" i="4"/>
  <c r="D19" i="4"/>
  <c r="D18" i="4"/>
  <c r="F20" i="4"/>
  <c r="F19" i="4"/>
  <c r="F18" i="4"/>
  <c r="F12" i="4"/>
  <c r="G12" i="4" s="1"/>
  <c r="E13" i="4"/>
  <c r="F13" i="4" s="1"/>
  <c r="E12" i="4"/>
  <c r="E11" i="4"/>
  <c r="F11" i="4" s="1"/>
  <c r="D13" i="4"/>
  <c r="D12" i="4"/>
  <c r="D11" i="4"/>
  <c r="G31" i="1"/>
  <c r="G33" i="1"/>
  <c r="E33" i="1"/>
  <c r="C33" i="1"/>
  <c r="C31" i="1"/>
  <c r="E31" i="1"/>
  <c r="F33" i="1"/>
  <c r="F31" i="1"/>
  <c r="D31" i="1"/>
  <c r="G22" i="1"/>
  <c r="F22" i="1"/>
  <c r="G21" i="1"/>
  <c r="G20" i="1"/>
  <c r="G19" i="1"/>
  <c r="G18" i="1"/>
  <c r="G17" i="1"/>
  <c r="G16" i="1"/>
  <c r="G15" i="1"/>
  <c r="G14" i="1"/>
  <c r="G13" i="1"/>
  <c r="F21" i="1"/>
  <c r="F20" i="1"/>
  <c r="F19" i="1"/>
  <c r="F18" i="1"/>
  <c r="F17" i="1"/>
  <c r="F16" i="1"/>
  <c r="F15" i="1"/>
  <c r="F14" i="1"/>
  <c r="F13" i="1"/>
  <c r="H19" i="5" l="1"/>
  <c r="G19" i="5"/>
  <c r="J32" i="5" s="1" a="1"/>
  <c r="J32" i="5" s="1"/>
  <c r="L32" i="5" s="1"/>
  <c r="H18" i="4"/>
  <c r="G18" i="4"/>
  <c r="H19" i="4"/>
  <c r="G19" i="4"/>
  <c r="H20" i="4"/>
  <c r="G20" i="4"/>
  <c r="G11" i="4"/>
  <c r="H11" i="4"/>
  <c r="G13" i="4"/>
  <c r="H13" i="4"/>
  <c r="H12" i="4"/>
  <c r="L31" i="1"/>
  <c r="M31" i="1" s="1"/>
  <c r="M33" i="1" s="1"/>
  <c r="I31" i="1"/>
  <c r="J31" i="1" s="1"/>
  <c r="J33" i="1" s="1"/>
  <c r="G6" i="1" l="1"/>
  <c r="G8" i="1"/>
  <c r="E8" i="1"/>
  <c r="C8" i="1"/>
  <c r="F8" i="1"/>
  <c r="F6" i="1"/>
  <c r="D6" i="1"/>
  <c r="I6" i="1" s="1"/>
  <c r="J6" i="1" s="1"/>
  <c r="J8" i="1" s="1"/>
  <c r="E6" i="1"/>
  <c r="C6" i="1"/>
  <c r="L6" i="1" l="1"/>
  <c r="M6" i="1" s="1"/>
  <c r="M8" i="1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BFABEED-2D28-4E64-A21F-5CD9991545C9}" keepAlive="1" name="Query - primareazione" description="Connessione alla query 'primareazione' nella cartella di lavoro." type="5" refreshedVersion="8" background="1" saveData="1">
    <dbPr connection="Provider=Microsoft.Mashup.OleDb.1;Data Source=$Workbook$;Location=primareazione;Extended Properties=&quot;&quot;" command="SELECT * FROM [primareazione]"/>
  </connection>
  <connection id="2" xr16:uid="{1BC45AF9-3922-4975-97E1-A9E7B42C1C65}" keepAlive="1" name="Query - secondareaz" description="Connessione alla query 'secondareaz' nella cartella di lavoro." type="5" refreshedVersion="8" background="1" saveData="1">
    <dbPr connection="Provider=Microsoft.Mashup.OleDb.1;Data Source=$Workbook$;Location=secondareaz;Extended Properties=&quot;&quot;" command="SELECT * FROM [secondareaz]"/>
  </connection>
</connections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<sst xmlns="http://schemas.openxmlformats.org/spreadsheetml/2006/main" count="269" uniqueCount="97">
  <si>
    <t>CH4</t>
  </si>
  <si>
    <t>H</t>
  </si>
  <si>
    <t>CH3</t>
  </si>
  <si>
    <t>H2</t>
  </si>
  <si>
    <t>TST</t>
  </si>
  <si>
    <t>SCF Energies [Hartree]</t>
  </si>
  <si>
    <t>ZPE [Hartree]</t>
  </si>
  <si>
    <t>E forward [Hartree]</t>
  </si>
  <si>
    <t>E forward [kcal/mol]</t>
  </si>
  <si>
    <t>E backward [Hartree]</t>
  </si>
  <si>
    <t>E backward [kJ/mol]</t>
  </si>
  <si>
    <t>E forward [kJ/mol]</t>
  </si>
  <si>
    <t>E backward [kcal/mol]</t>
  </si>
  <si>
    <t/>
  </si>
  <si>
    <t xml:space="preserve">qtunn_Ia </t>
  </si>
  <si>
    <t xml:space="preserve">Temperature[K]            </t>
  </si>
  <si>
    <t xml:space="preserve"> qtunn_Ec</t>
  </si>
  <si>
    <t>NH3</t>
  </si>
  <si>
    <t>NH2</t>
  </si>
  <si>
    <t>Temperature[K]</t>
  </si>
  <si>
    <t xml:space="preserve">   qtunn_Ia</t>
  </si>
  <si>
    <t xml:space="preserve">           qtunn_Ec</t>
  </si>
  <si>
    <t>cation -&gt; -1 electron</t>
  </si>
  <si>
    <t>anion -&gt; +1 electron</t>
  </si>
  <si>
    <t>E gas</t>
  </si>
  <si>
    <t>E solv</t>
  </si>
  <si>
    <t>Molecule</t>
  </si>
  <si>
    <t>CH3O</t>
  </si>
  <si>
    <t>HO2</t>
  </si>
  <si>
    <t>DeltaG [Hartree]</t>
  </si>
  <si>
    <t>DeltaG [kcal/mol]</t>
  </si>
  <si>
    <t>qtunn_Ia is the tunneling partition function, rate constant when tunnelling is include divided by</t>
  </si>
  <si>
    <t>the rate constant when tunneling is neglected.</t>
  </si>
  <si>
    <t>It indicates the contribution of tunneling to the reaction happening</t>
  </si>
  <si>
    <t>At high temperature (high energy) the tunneling is not very relevant due to the particles already</t>
  </si>
  <si>
    <t>having enough energy to jump</t>
  </si>
  <si>
    <t>DeltaG [kj/mol]</t>
  </si>
  <si>
    <t>H2SO4</t>
  </si>
  <si>
    <t>H2O</t>
  </si>
  <si>
    <t>H3O+</t>
  </si>
  <si>
    <t>GAS PHASE</t>
  </si>
  <si>
    <t>Using this cycle we can derive deltaGsol as the sum of all the other deltaGs</t>
  </si>
  <si>
    <t>FREE ENERGIES</t>
  </si>
  <si>
    <t>SOLV PHASE</t>
  </si>
  <si>
    <t>HSO4-</t>
  </si>
  <si>
    <t>DeltaG reaz [hartree]</t>
  </si>
  <si>
    <t>[kcal/mol]</t>
  </si>
  <si>
    <t>[kj/mol]</t>
  </si>
  <si>
    <t>DeltaG solv H3O+</t>
  </si>
  <si>
    <t>DeltaG solv H2SO4</t>
  </si>
  <si>
    <t>DeltaG solv H2O</t>
  </si>
  <si>
    <t>DeltaG solv HSO4-</t>
  </si>
  <si>
    <t>kcal/mol</t>
  </si>
  <si>
    <t>hartree</t>
  </si>
  <si>
    <t>Delta g sol</t>
  </si>
  <si>
    <t>R [kcal/molK]</t>
  </si>
  <si>
    <t>pka</t>
  </si>
  <si>
    <t>SCF Done</t>
  </si>
  <si>
    <t xml:space="preserve">Sum of electronic and </t>
  </si>
  <si>
    <t>thermal energies</t>
  </si>
  <si>
    <t>CH₃COOH</t>
  </si>
  <si>
    <t xml:space="preserve">CH3CO2− </t>
  </si>
  <si>
    <t>SCF DONE</t>
  </si>
  <si>
    <t>FREE ENERGY</t>
  </si>
  <si>
    <t>DELTAGs</t>
  </si>
  <si>
    <t>H3O+2</t>
  </si>
  <si>
    <t>G=H−TS</t>
  </si>
  <si>
    <t>ΔG&gt;0: entalpia incrementa più dell'entropia</t>
  </si>
  <si>
    <t>HA</t>
  </si>
  <si>
    <t>A-</t>
  </si>
  <si>
    <t>HA solv</t>
  </si>
  <si>
    <t>A- solv</t>
  </si>
  <si>
    <t xml:space="preserve"> H2O</t>
  </si>
  <si>
    <t>H₃O⁺ (idronio)</t>
  </si>
  <si>
    <t>Correction factor</t>
  </si>
  <si>
    <t xml:space="preserve"> Sum of electronic and thermal Energies</t>
  </si>
  <si>
    <t xml:space="preserve"> Source of error in the thermodynamic cycle arises with the solvation free energy
of hydronium.</t>
  </si>
  <si>
    <t>Hartree</t>
  </si>
  <si>
    <t>kcal/mole</t>
  </si>
  <si>
    <t>Considerazioni</t>
  </si>
  <si>
    <t>http://pogorelov.scs.illinois.edu/wp-content/uploads/2019/09/pKa_Estimations_Tutorial_web.pdf</t>
  </si>
  <si>
    <t>ΔG gas</t>
  </si>
  <si>
    <t>ΔG solvation H₃O⁺</t>
  </si>
  <si>
    <t>source: pka pdf</t>
  </si>
  <si>
    <t>ΔG solvation   H2O</t>
  </si>
  <si>
    <t>experimental val</t>
  </si>
  <si>
    <t>ΔG solvation  HA</t>
  </si>
  <si>
    <t>ΔG solvation  A-</t>
  </si>
  <si>
    <t>ΔG soln</t>
  </si>
  <si>
    <t>pKa</t>
  </si>
  <si>
    <t>pKa paper value</t>
  </si>
  <si>
    <t>Formic Acid</t>
  </si>
  <si>
    <r>
      <t>CH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O</t>
    </r>
    <r>
      <rPr>
        <vertAlign val="subscript"/>
        <sz val="11"/>
        <color theme="1"/>
        <rFont val="Calibri"/>
        <family val="2"/>
        <scheme val="minor"/>
      </rPr>
      <t>2</t>
    </r>
  </si>
  <si>
    <t>Formate anion</t>
  </si>
  <si>
    <r>
      <t>HCOO</t>
    </r>
    <r>
      <rPr>
        <vertAlign val="superscript"/>
        <sz val="8.8000000000000007"/>
        <color theme="1"/>
        <rFont val="Calibri"/>
        <family val="2"/>
        <scheme val="minor"/>
      </rPr>
      <t>−</t>
    </r>
  </si>
  <si>
    <t>acido debole</t>
  </si>
  <si>
    <t>Not sure about H2SO4 geometry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</si>
</sst>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000"/>
    <numFmt numFmtId="165" formatCode="0.00000E+00"/>
    <numFmt numFmtId="166" formatCode="0.00000"/>
    <numFmt numFmtId="167" formatCode="0.000"/>
  </numFmts>
  <fonts count="1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  <font>
      <sz val="10.5"/>
      <color rgb="FF000000"/>
      <name val="Calibri"/>
      <family val="2"/>
      <scheme val="minor"/>
    </font>
    <font>
      <b/>
      <sz val="10.5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name val="Calibri"/>
      <family val="2"/>
      <scheme val="minor"/>
    </font>
    <font>
      <vertAlign val="subscript"/>
      <sz val="11"/>
      <color theme="1"/>
      <name val="Calibri"/>
      <family val="2"/>
      <scheme val="minor"/>
    </font>
    <font>
      <vertAlign val="superscript"/>
      <sz val="8.8000000000000007"/>
      <color theme="1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C6EFCE"/>
      </patternFill>
    </fill>
    <fill>
      <patternFill patternType="solid">
        <fgColor theme="7"/>
        <bgColor theme="7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1AE0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4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theme="7"/>
      </left>
      <right/>
      <top style="thin">
        <color theme="7"/>
      </top>
      <bottom/>
      <diagonal/>
    </border>
    <border>
      <left/>
      <right/>
      <top style="thin">
        <color theme="7"/>
      </top>
      <bottom/>
      <diagonal/>
    </border>
    <border>
      <left/>
      <right style="thin">
        <color theme="7"/>
      </right>
      <top style="thin">
        <color theme="7"/>
      </top>
      <bottom/>
      <diagonal/>
    </border>
    <border>
      <left style="thin">
        <color theme="7"/>
      </left>
      <right/>
      <top style="thin">
        <color theme="7"/>
      </top>
      <bottom style="thin">
        <color theme="7"/>
      </bottom>
      <diagonal/>
    </border>
    <border>
      <left/>
      <right/>
      <top style="thin">
        <color theme="7"/>
      </top>
      <bottom style="thin">
        <color theme="7"/>
      </bottom>
      <diagonal/>
    </border>
    <border>
      <left/>
      <right style="thin">
        <color theme="7"/>
      </right>
      <top style="thin">
        <color theme="7"/>
      </top>
      <bottom style="thin">
        <color theme="7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3" fillId="5" borderId="0" applyNumberFormat="0" applyBorder="0" applyAlignment="0" applyProtection="0"/>
    <xf numFmtId="0" fontId="9" fillId="0" borderId="0" applyNumberFormat="0" applyFill="0" applyBorder="0" applyAlignment="0" applyProtection="0"/>
  </cellStyleXfs>
  <cellXfs count="75">
    <xf numFmtId="0" fontId="0" fillId="0" borderId="0" xfId="0"/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6" xfId="0" applyFont="1" applyFill="1" applyBorder="1" applyAlignment="1">
      <alignment horizontal="center"/>
    </xf>
    <xf numFmtId="164" fontId="0" fillId="0" borderId="4" xfId="0" applyNumberFormat="1" applyBorder="1" applyAlignment="1">
      <alignment horizontal="center"/>
    </xf>
    <xf numFmtId="164" fontId="0" fillId="0" borderId="5" xfId="0" applyNumberFormat="1" applyBorder="1" applyAlignment="1">
      <alignment horizontal="center"/>
    </xf>
    <xf numFmtId="164" fontId="1" fillId="2" borderId="4" xfId="0" applyNumberFormat="1" applyFont="1" applyFill="1" applyBorder="1" applyAlignment="1">
      <alignment horizontal="center"/>
    </xf>
    <xf numFmtId="164" fontId="1" fillId="2" borderId="5" xfId="0" applyNumberFormat="1" applyFont="1" applyFill="1" applyBorder="1" applyAlignment="1">
      <alignment horizontal="center"/>
    </xf>
    <xf numFmtId="164" fontId="0" fillId="0" borderId="7" xfId="0" applyNumberFormat="1" applyBorder="1" applyAlignment="1">
      <alignment horizontal="center"/>
    </xf>
    <xf numFmtId="164" fontId="0" fillId="0" borderId="8" xfId="0" applyNumberFormat="1" applyBorder="1" applyAlignment="1">
      <alignment horizontal="center"/>
    </xf>
    <xf numFmtId="0" fontId="1" fillId="3" borderId="9" xfId="0" applyFont="1" applyFill="1" applyBorder="1" applyAlignment="1">
      <alignment horizontal="center"/>
    </xf>
    <xf numFmtId="0" fontId="1" fillId="3" borderId="10" xfId="0" applyFont="1" applyFill="1" applyBorder="1" applyAlignment="1">
      <alignment horizontal="center"/>
    </xf>
    <xf numFmtId="0" fontId="1" fillId="4" borderId="9" xfId="0" applyFont="1" applyFill="1" applyBorder="1" applyAlignment="1">
      <alignment horizontal="center"/>
    </xf>
    <xf numFmtId="0" fontId="1" fillId="4" borderId="10" xfId="0" applyFont="1" applyFill="1" applyBorder="1" applyAlignment="1">
      <alignment horizontal="center"/>
    </xf>
    <xf numFmtId="165" fontId="0" fillId="0" borderId="11" xfId="0" applyNumberFormat="1" applyBorder="1" applyAlignment="1">
      <alignment horizontal="center"/>
    </xf>
    <xf numFmtId="166" fontId="0" fillId="0" borderId="12" xfId="0" applyNumberFormat="1" applyBorder="1" applyAlignment="1">
      <alignment horizontal="center"/>
    </xf>
    <xf numFmtId="166" fontId="0" fillId="0" borderId="11" xfId="0" applyNumberFormat="1" applyBorder="1" applyAlignment="1">
      <alignment horizontal="center"/>
    </xf>
    <xf numFmtId="165" fontId="0" fillId="0" borderId="0" xfId="0" applyNumberFormat="1" applyAlignment="1">
      <alignment horizontal="center"/>
    </xf>
    <xf numFmtId="0" fontId="0" fillId="0" borderId="13" xfId="0" applyBorder="1" applyAlignment="1">
      <alignment horizontal="center"/>
    </xf>
    <xf numFmtId="167" fontId="0" fillId="0" borderId="0" xfId="0" applyNumberFormat="1"/>
    <xf numFmtId="166" fontId="0" fillId="0" borderId="0" xfId="0" applyNumberFormat="1"/>
    <xf numFmtId="0" fontId="2" fillId="0" borderId="0" xfId="0" applyFont="1"/>
    <xf numFmtId="0" fontId="4" fillId="6" borderId="14" xfId="0" applyFont="1" applyFill="1" applyBorder="1"/>
    <xf numFmtId="0" fontId="4" fillId="6" borderId="16" xfId="0" applyFont="1" applyFill="1" applyBorder="1"/>
    <xf numFmtId="0" fontId="1" fillId="7" borderId="20" xfId="0" applyFont="1" applyFill="1" applyBorder="1" applyAlignment="1">
      <alignment horizontal="center"/>
    </xf>
    <xf numFmtId="11" fontId="0" fillId="0" borderId="21" xfId="0" applyNumberFormat="1" applyBorder="1" applyAlignment="1">
      <alignment horizontal="center"/>
    </xf>
    <xf numFmtId="0" fontId="0" fillId="4" borderId="0" xfId="0" applyFill="1"/>
    <xf numFmtId="166" fontId="0" fillId="4" borderId="0" xfId="0" applyNumberFormat="1" applyFill="1"/>
    <xf numFmtId="0" fontId="0" fillId="9" borderId="0" xfId="0" applyFill="1"/>
    <xf numFmtId="11" fontId="0" fillId="0" borderId="0" xfId="0" applyNumberFormat="1"/>
    <xf numFmtId="11" fontId="0" fillId="9" borderId="0" xfId="0" applyNumberFormat="1" applyFill="1"/>
    <xf numFmtId="0" fontId="0" fillId="0" borderId="2" xfId="0" applyBorder="1" applyAlignment="1">
      <alignment horizontal="center"/>
    </xf>
    <xf numFmtId="0" fontId="0" fillId="0" borderId="8" xfId="0" applyBorder="1" applyAlignment="1">
      <alignment horizontal="center"/>
    </xf>
    <xf numFmtId="0" fontId="6" fillId="0" borderId="0" xfId="0" applyFont="1"/>
    <xf numFmtId="0" fontId="7" fillId="0" borderId="0" xfId="0" applyFont="1"/>
    <xf numFmtId="11" fontId="0" fillId="8" borderId="0" xfId="0" applyNumberFormat="1" applyFill="1"/>
    <xf numFmtId="166" fontId="0" fillId="0" borderId="17" xfId="0" applyNumberFormat="1" applyFont="1" applyBorder="1"/>
    <xf numFmtId="166" fontId="0" fillId="0" borderId="19" xfId="0" applyNumberFormat="1" applyFont="1" applyBorder="1"/>
    <xf numFmtId="0" fontId="8" fillId="6" borderId="15" xfId="0" applyFont="1" applyFill="1" applyBorder="1"/>
    <xf numFmtId="166" fontId="0" fillId="0" borderId="18" xfId="0" applyNumberFormat="1" applyFont="1" applyBorder="1"/>
    <xf numFmtId="0" fontId="1" fillId="0" borderId="22" xfId="0" applyFont="1" applyBorder="1" applyAlignment="1">
      <alignment horizontal="center"/>
    </xf>
    <xf numFmtId="0" fontId="0" fillId="0" borderId="0" xfId="0" applyAlignment="1">
      <alignment horizontal="left"/>
    </xf>
    <xf numFmtId="0" fontId="1" fillId="10" borderId="22" xfId="0" applyFont="1" applyFill="1" applyBorder="1" applyAlignment="1">
      <alignment horizontal="center"/>
    </xf>
    <xf numFmtId="0" fontId="1" fillId="10" borderId="23" xfId="0" applyFont="1" applyFill="1" applyBorder="1" applyAlignment="1">
      <alignment horizontal="center"/>
    </xf>
    <xf numFmtId="0" fontId="1" fillId="7" borderId="24" xfId="0" applyFont="1" applyFill="1" applyBorder="1" applyAlignment="1">
      <alignment horizontal="center"/>
    </xf>
    <xf numFmtId="0" fontId="1" fillId="0" borderId="13" xfId="0" applyFont="1" applyBorder="1" applyAlignment="1">
      <alignment horizontal="center"/>
    </xf>
    <xf numFmtId="0" fontId="0" fillId="0" borderId="25" xfId="0" applyBorder="1" applyAlignment="1">
      <alignment horizontal="center"/>
    </xf>
    <xf numFmtId="0" fontId="0" fillId="0" borderId="26" xfId="0" applyBorder="1" applyAlignment="1">
      <alignment horizontal="center"/>
    </xf>
    <xf numFmtId="0" fontId="0" fillId="0" borderId="27" xfId="0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22" xfId="0" applyBorder="1" applyAlignment="1">
      <alignment horizontal="center" vertical="center" wrapText="1"/>
    </xf>
    <xf numFmtId="0" fontId="0" fillId="0" borderId="9" xfId="0" applyBorder="1" applyAlignment="1">
      <alignment horizontal="center"/>
    </xf>
    <xf numFmtId="0" fontId="1" fillId="7" borderId="23" xfId="0" applyFont="1" applyFill="1" applyBorder="1" applyAlignment="1">
      <alignment horizontal="center"/>
    </xf>
    <xf numFmtId="0" fontId="9" fillId="0" borderId="0" xfId="2" applyAlignment="1">
      <alignment horizontal="left"/>
    </xf>
    <xf numFmtId="0" fontId="1" fillId="0" borderId="29" xfId="0" applyFont="1" applyBorder="1" applyAlignment="1">
      <alignment horizontal="center"/>
    </xf>
    <xf numFmtId="0" fontId="0" fillId="0" borderId="30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31" xfId="0" applyBorder="1" applyAlignment="1">
      <alignment horizontal="left"/>
    </xf>
    <xf numFmtId="0" fontId="0" fillId="0" borderId="32" xfId="0" applyBorder="1" applyAlignment="1">
      <alignment horizontal="center"/>
    </xf>
    <xf numFmtId="0" fontId="0" fillId="0" borderId="33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34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36" xfId="0" applyBorder="1" applyAlignment="1">
      <alignment horizontal="center"/>
    </xf>
    <xf numFmtId="0" fontId="1" fillId="11" borderId="22" xfId="0" applyFont="1" applyFill="1" applyBorder="1" applyAlignment="1">
      <alignment horizontal="center"/>
    </xf>
    <xf numFmtId="0" fontId="0" fillId="0" borderId="37" xfId="0" applyBorder="1" applyAlignment="1">
      <alignment horizontal="center"/>
    </xf>
    <xf numFmtId="0" fontId="0" fillId="0" borderId="38" xfId="0" applyBorder="1" applyAlignment="1">
      <alignment horizontal="center"/>
    </xf>
    <xf numFmtId="0" fontId="10" fillId="12" borderId="22" xfId="0" applyFont="1" applyFill="1" applyBorder="1" applyAlignment="1">
      <alignment horizontal="center"/>
    </xf>
    <xf numFmtId="11" fontId="10" fillId="12" borderId="39" xfId="0" applyNumberFormat="1" applyFont="1" applyFill="1" applyBorder="1" applyAlignment="1">
      <alignment horizontal="center"/>
    </xf>
    <xf numFmtId="11" fontId="10" fillId="12" borderId="24" xfId="1" applyNumberFormat="1" applyFont="1" applyFill="1" applyBorder="1" applyAlignment="1">
      <alignment horizontal="center"/>
    </xf>
    <xf numFmtId="0" fontId="0" fillId="4" borderId="22" xfId="0" applyFill="1" applyBorder="1" applyAlignment="1">
      <alignment horizontal="center"/>
    </xf>
    <xf numFmtId="0" fontId="0" fillId="4" borderId="40" xfId="0" applyFill="1" applyBorder="1" applyAlignment="1">
      <alignment horizontal="center"/>
    </xf>
    <xf numFmtId="0" fontId="0" fillId="4" borderId="23" xfId="0" applyFill="1" applyBorder="1" applyAlignment="1">
      <alignment horizontal="center"/>
    </xf>
  </cellXfs>
  <cellStyles count="3">
    <cellStyle name="Collegamento ipertestuale" xfId="2" builtinId="8"/>
    <cellStyle name="Normale" xfId="0" builtinId="0"/>
    <cellStyle name="Valore valido" xfId="1" builtinId="26"/>
  </cellStyles>
  <dxfs count="61">
    <dxf>
      <numFmt numFmtId="166" formatCode="0.00000"/>
    </dxf>
    <dxf>
      <numFmt numFmtId="166" formatCode="0.00000"/>
    </dxf>
    <dxf>
      <numFmt numFmtId="166" formatCode="0.00000"/>
    </dxf>
    <dxf>
      <numFmt numFmtId="166" formatCode="0.00000"/>
    </dxf>
    <dxf>
      <numFmt numFmtId="166" formatCode="0.00000"/>
    </dxf>
    <dxf>
      <numFmt numFmtId="166" formatCode="0.00000"/>
    </dxf>
    <dxf>
      <numFmt numFmtId="166" formatCode="0.00000"/>
    </dxf>
    <dxf>
      <numFmt numFmtId="166" formatCode="0.00000"/>
    </dxf>
    <dxf>
      <numFmt numFmtId="166" formatCode="0.00000"/>
    </dxf>
    <dxf>
      <numFmt numFmtId="166" formatCode="0.00000"/>
    </dxf>
    <dxf>
      <numFmt numFmtId="166" formatCode="0.00000"/>
    </dxf>
    <dxf>
      <numFmt numFmtId="166" formatCode="0.00000"/>
    </dxf>
    <dxf>
      <numFmt numFmtId="166" formatCode="0.00000"/>
    </dxf>
    <dxf>
      <numFmt numFmtId="166" formatCode="0.00000"/>
    </dxf>
    <dxf>
      <numFmt numFmtId="166" formatCode="0.00000"/>
    </dxf>
    <dxf>
      <numFmt numFmtId="166" formatCode="0.00000"/>
    </dxf>
    <dxf>
      <numFmt numFmtId="166" formatCode="0.00000"/>
    </dxf>
    <dxf>
      <numFmt numFmtId="166" formatCode="0.00000"/>
    </dxf>
    <dxf>
      <numFmt numFmtId="166" formatCode="0.00000"/>
    </dxf>
    <dxf>
      <numFmt numFmtId="166" formatCode="0.00000"/>
    </dxf>
    <dxf>
      <numFmt numFmtId="166" formatCode="0.00000"/>
    </dxf>
    <dxf>
      <numFmt numFmtId="166" formatCode="0.00000"/>
    </dxf>
    <dxf>
      <numFmt numFmtId="166" formatCode="0.00000"/>
    </dxf>
    <dxf>
      <numFmt numFmtId="166" formatCode="0.00000"/>
    </dxf>
    <dxf>
      <numFmt numFmtId="166" formatCode="0.00000"/>
    </dxf>
    <dxf>
      <numFmt numFmtId="166" formatCode="0.00000"/>
    </dxf>
    <dxf>
      <numFmt numFmtId="166" formatCode="0.00000"/>
    </dxf>
    <dxf>
      <numFmt numFmtId="166" formatCode="0.00000"/>
    </dxf>
    <dxf>
      <numFmt numFmtId="166" formatCode="0.00000"/>
    </dxf>
    <dxf>
      <numFmt numFmtId="166" formatCode="0.00000"/>
    </dxf>
    <dxf>
      <numFmt numFmtId="166" formatCode="0.00000"/>
    </dxf>
    <dxf>
      <numFmt numFmtId="166" formatCode="0.00000"/>
    </dxf>
    <dxf>
      <numFmt numFmtId="166" formatCode="0.00000"/>
    </dxf>
    <dxf>
      <numFmt numFmtId="166" formatCode="0.00000"/>
    </dxf>
    <dxf>
      <numFmt numFmtId="166" formatCode="0.00000"/>
    </dxf>
    <dxf>
      <numFmt numFmtId="166" formatCode="0.00000"/>
    </dxf>
    <dxf>
      <numFmt numFmtId="166" formatCode="0.00000"/>
    </dxf>
    <dxf>
      <numFmt numFmtId="166" formatCode="0.00000"/>
    </dxf>
    <dxf>
      <numFmt numFmtId="166" formatCode="0.00000"/>
    </dxf>
    <dxf>
      <numFmt numFmtId="166" formatCode="0.00000"/>
    </dxf>
    <dxf>
      <numFmt numFmtId="166" formatCode="0.00000"/>
    </dxf>
    <dxf>
      <numFmt numFmtId="166" formatCode="0.00000"/>
    </dxf>
    <dxf>
      <numFmt numFmtId="166" formatCode="0.00000"/>
    </dxf>
    <dxf>
      <numFmt numFmtId="166" formatCode="0.00000"/>
    </dxf>
    <dxf>
      <numFmt numFmtId="166" formatCode="0.00000"/>
    </dxf>
    <dxf>
      <numFmt numFmtId="166" formatCode="0.00000"/>
    </dxf>
    <dxf>
      <numFmt numFmtId="166" formatCode="0.00000"/>
    </dxf>
    <dxf>
      <numFmt numFmtId="166" formatCode="0.00000"/>
    </dxf>
    <dxf>
      <numFmt numFmtId="166" formatCode="0.00000"/>
    </dxf>
    <dxf>
      <numFmt numFmtId="166" formatCode="0.00000"/>
    </dxf>
    <dxf>
      <numFmt numFmtId="0" formatCode="General"/>
    </dxf>
    <dxf>
      <numFmt numFmtId="166" formatCode="0.00000"/>
    </dxf>
    <dxf>
      <numFmt numFmtId="166" formatCode="0.00000"/>
    </dxf>
    <dxf>
      <numFmt numFmtId="166" formatCode="0.00000"/>
    </dxf>
    <dxf>
      <numFmt numFmtId="166" formatCode="0.00000"/>
    </dxf>
    <dxf>
      <numFmt numFmtId="0" formatCode="General"/>
    </dxf>
    <dxf>
      <numFmt numFmtId="166" formatCode="0.00000"/>
    </dxf>
    <dxf>
      <numFmt numFmtId="166" formatCode="0.00000"/>
    </dxf>
    <dxf>
      <numFmt numFmtId="166" formatCode="0.00000"/>
    </dxf>
    <dxf>
      <numFmt numFmtId="167" formatCode="0.000"/>
    </dxf>
    <dxf>
      <numFmt numFmtId="167" formatCode="0.000"/>
    </dxf>
  </dxfs>
  <tableStyles count="0" defaultTableStyle="TableStyleMedium2" defaultPivotStyle="PivotStyleLight16"/>
  <colors>
    <mruColors>
      <color rgb="FF91AE0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4.png"/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198120</xdr:colOff>
      <xdr:row>0</xdr:row>
      <xdr:rowOff>83820</xdr:rowOff>
    </xdr:from>
    <xdr:to>
      <xdr:col>4</xdr:col>
      <xdr:colOff>60960</xdr:colOff>
      <xdr:row>3</xdr:row>
      <xdr:rowOff>15240</xdr:rowOff>
    </xdr:to>
    <xdr:sp macro="" textlink="">
      <xdr:nvSpPr>
        <xdr:cNvPr id="2" name="CasellaDiTesto 1">
          <a:extLst>
            <a:ext uri="{FF2B5EF4-FFF2-40B4-BE49-F238E27FC236}">
              <a16:creationId xmlns:a16="http://schemas.microsoft.com/office/drawing/2014/main" id="{01432D13-AB98-9048-6953-47F25DE0E68B}"/>
            </a:ext>
          </a:extLst>
        </xdr:cNvPr>
        <xdr:cNvSpPr txBox="1"/>
      </xdr:nvSpPr>
      <xdr:spPr>
        <a:xfrm>
          <a:off x="198120" y="83820"/>
          <a:ext cx="2301240" cy="48006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2000"/>
            <a:t>CH4 +H -&gt; CH3</a:t>
          </a:r>
          <a:r>
            <a:rPr lang="en-US" sz="2000" baseline="0"/>
            <a:t> + H2</a:t>
          </a:r>
          <a:endParaRPr lang="en-US" sz="2000"/>
        </a:p>
      </xdr:txBody>
    </xdr:sp>
    <xdr:clientData/>
  </xdr:twoCellAnchor>
  <xdr:twoCellAnchor editAs="oneCell">
    <xdr:from>
      <xdr:col>1</xdr:col>
      <xdr:colOff>0</xdr:colOff>
      <xdr:row>10</xdr:row>
      <xdr:rowOff>0</xdr:rowOff>
    </xdr:from>
    <xdr:to>
      <xdr:col>3</xdr:col>
      <xdr:colOff>434340</xdr:colOff>
      <xdr:row>22</xdr:row>
      <xdr:rowOff>141820</xdr:rowOff>
    </xdr:to>
    <xdr:pic>
      <xdr:nvPicPr>
        <xdr:cNvPr id="3" name="Immagine 2">
          <a:extLst>
            <a:ext uri="{FF2B5EF4-FFF2-40B4-BE49-F238E27FC236}">
              <a16:creationId xmlns:a16="http://schemas.microsoft.com/office/drawing/2014/main" id="{9ED60D34-969C-47B3-AE23-C6CEA75DD2A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48640" y="1859280"/>
          <a:ext cx="3025140" cy="2336380"/>
        </a:xfrm>
        <a:prstGeom prst="rect">
          <a:avLst/>
        </a:prstGeom>
      </xdr:spPr>
    </xdr:pic>
    <xdr:clientData/>
  </xdr:twoCellAnchor>
  <xdr:twoCellAnchor>
    <xdr:from>
      <xdr:col>0</xdr:col>
      <xdr:colOff>480060</xdr:colOff>
      <xdr:row>24</xdr:row>
      <xdr:rowOff>60960</xdr:rowOff>
    </xdr:from>
    <xdr:to>
      <xdr:col>3</xdr:col>
      <xdr:colOff>685800</xdr:colOff>
      <xdr:row>27</xdr:row>
      <xdr:rowOff>121920</xdr:rowOff>
    </xdr:to>
    <xdr:sp macro="" textlink="">
      <xdr:nvSpPr>
        <xdr:cNvPr id="4" name="CasellaDiTesto 3">
          <a:extLst>
            <a:ext uri="{FF2B5EF4-FFF2-40B4-BE49-F238E27FC236}">
              <a16:creationId xmlns:a16="http://schemas.microsoft.com/office/drawing/2014/main" id="{CB1B8935-4074-2CD4-565A-2E20B90D1A64}"/>
            </a:ext>
          </a:extLst>
        </xdr:cNvPr>
        <xdr:cNvSpPr txBox="1"/>
      </xdr:nvSpPr>
      <xdr:spPr>
        <a:xfrm>
          <a:off x="480060" y="4480560"/>
          <a:ext cx="3345180" cy="6096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2000"/>
            <a:t>NH3</a:t>
          </a:r>
          <a:r>
            <a:rPr lang="en-US" sz="2000" baseline="0"/>
            <a:t> + H -&gt; NH2 + H2</a:t>
          </a:r>
          <a:endParaRPr lang="en-US" sz="2000"/>
        </a:p>
      </xdr:txBody>
    </xdr:sp>
    <xdr:clientData/>
  </xdr:twoCellAnchor>
  <xdr:twoCellAnchor editAs="oneCell">
    <xdr:from>
      <xdr:col>1</xdr:col>
      <xdr:colOff>0</xdr:colOff>
      <xdr:row>34</xdr:row>
      <xdr:rowOff>0</xdr:rowOff>
    </xdr:from>
    <xdr:to>
      <xdr:col>3</xdr:col>
      <xdr:colOff>815635</xdr:colOff>
      <xdr:row>48</xdr:row>
      <xdr:rowOff>84049</xdr:rowOff>
    </xdr:to>
    <xdr:pic>
      <xdr:nvPicPr>
        <xdr:cNvPr id="5" name="Immagine 4">
          <a:extLst>
            <a:ext uri="{FF2B5EF4-FFF2-40B4-BE49-F238E27FC236}">
              <a16:creationId xmlns:a16="http://schemas.microsoft.com/office/drawing/2014/main" id="{9D95A02B-3413-43E6-BB7F-7DB3382DAA2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48640" y="6278880"/>
          <a:ext cx="3406435" cy="2644369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220980</xdr:colOff>
      <xdr:row>0</xdr:row>
      <xdr:rowOff>106680</xdr:rowOff>
    </xdr:from>
    <xdr:to>
      <xdr:col>9</xdr:col>
      <xdr:colOff>594360</xdr:colOff>
      <xdr:row>3</xdr:row>
      <xdr:rowOff>38100</xdr:rowOff>
    </xdr:to>
    <xdr:sp macro="" textlink="">
      <xdr:nvSpPr>
        <xdr:cNvPr id="2" name="CasellaDiTesto 1">
          <a:extLst>
            <a:ext uri="{FF2B5EF4-FFF2-40B4-BE49-F238E27FC236}">
              <a16:creationId xmlns:a16="http://schemas.microsoft.com/office/drawing/2014/main" id="{D8407238-7409-2EB3-D4D6-1C379F33E340}"/>
            </a:ext>
          </a:extLst>
        </xdr:cNvPr>
        <xdr:cNvSpPr txBox="1"/>
      </xdr:nvSpPr>
      <xdr:spPr>
        <a:xfrm>
          <a:off x="220980" y="106680"/>
          <a:ext cx="5859780" cy="48006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500"/>
            <a:t>We</a:t>
          </a:r>
          <a:r>
            <a:rPr lang="en-US" sz="1500" baseline="0"/>
            <a:t> need to perform a calculation in gas phase and one in solution.</a:t>
          </a:r>
        </a:p>
        <a:p>
          <a:r>
            <a:rPr lang="en-US" sz="1500" baseline="0"/>
            <a:t>I'll use the aug-cc-pvDZ.</a:t>
          </a:r>
        </a:p>
        <a:p>
          <a:endParaRPr lang="en-US" sz="1500"/>
        </a:p>
      </xdr:txBody>
    </xdr:sp>
    <xdr:clientData/>
  </xdr:twoCellAnchor>
  <xdr:twoCellAnchor>
    <xdr:from>
      <xdr:col>1</xdr:col>
      <xdr:colOff>83820</xdr:colOff>
      <xdr:row>6</xdr:row>
      <xdr:rowOff>106680</xdr:rowOff>
    </xdr:from>
    <xdr:to>
      <xdr:col>3</xdr:col>
      <xdr:colOff>632460</xdr:colOff>
      <xdr:row>8</xdr:row>
      <xdr:rowOff>68580</xdr:rowOff>
    </xdr:to>
    <xdr:sp macro="" textlink="">
      <xdr:nvSpPr>
        <xdr:cNvPr id="3" name="CasellaDiTesto 2">
          <a:extLst>
            <a:ext uri="{FF2B5EF4-FFF2-40B4-BE49-F238E27FC236}">
              <a16:creationId xmlns:a16="http://schemas.microsoft.com/office/drawing/2014/main" id="{095D3975-88F5-A531-6B1F-8FADCBEE42ED}"/>
            </a:ext>
          </a:extLst>
        </xdr:cNvPr>
        <xdr:cNvSpPr txBox="1"/>
      </xdr:nvSpPr>
      <xdr:spPr>
        <a:xfrm>
          <a:off x="693420" y="1203960"/>
          <a:ext cx="1889760" cy="32766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500"/>
            <a:t>B3LYP/aug-cc-pvDZ</a:t>
          </a:r>
        </a:p>
      </xdr:txBody>
    </xdr:sp>
    <xdr:clientData/>
  </xdr:twoCellAnchor>
  <xdr:twoCellAnchor>
    <xdr:from>
      <xdr:col>1</xdr:col>
      <xdr:colOff>68580</xdr:colOff>
      <xdr:row>13</xdr:row>
      <xdr:rowOff>76200</xdr:rowOff>
    </xdr:from>
    <xdr:to>
      <xdr:col>4</xdr:col>
      <xdr:colOff>68580</xdr:colOff>
      <xdr:row>15</xdr:row>
      <xdr:rowOff>106680</xdr:rowOff>
    </xdr:to>
    <xdr:sp macro="" textlink="">
      <xdr:nvSpPr>
        <xdr:cNvPr id="4" name="CasellaDiTesto 3">
          <a:extLst>
            <a:ext uri="{FF2B5EF4-FFF2-40B4-BE49-F238E27FC236}">
              <a16:creationId xmlns:a16="http://schemas.microsoft.com/office/drawing/2014/main" id="{DE06BFAD-F97A-F073-5231-1328919C9299}"/>
            </a:ext>
          </a:extLst>
        </xdr:cNvPr>
        <xdr:cNvSpPr txBox="1"/>
      </xdr:nvSpPr>
      <xdr:spPr>
        <a:xfrm>
          <a:off x="678180" y="2453640"/>
          <a:ext cx="2072640" cy="39624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500"/>
            <a:t>B3LYP/6-31+g(d,p)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129540</xdr:colOff>
      <xdr:row>0</xdr:row>
      <xdr:rowOff>83820</xdr:rowOff>
    </xdr:from>
    <xdr:to>
      <xdr:col>7</xdr:col>
      <xdr:colOff>480060</xdr:colOff>
      <xdr:row>10</xdr:row>
      <xdr:rowOff>129540</xdr:rowOff>
    </xdr:to>
    <xdr:sp macro="" textlink="">
      <xdr:nvSpPr>
        <xdr:cNvPr id="2" name="CasellaDiTesto 1">
          <a:extLst>
            <a:ext uri="{FF2B5EF4-FFF2-40B4-BE49-F238E27FC236}">
              <a16:creationId xmlns:a16="http://schemas.microsoft.com/office/drawing/2014/main" id="{40ABDBD7-12BB-0F4A-1646-30E45B393FEE}"/>
            </a:ext>
          </a:extLst>
        </xdr:cNvPr>
        <xdr:cNvSpPr txBox="1"/>
      </xdr:nvSpPr>
      <xdr:spPr>
        <a:xfrm>
          <a:off x="129540" y="83820"/>
          <a:ext cx="4617720" cy="187452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2000"/>
            <a:t>Dissociation of sulphuric</a:t>
          </a:r>
          <a:r>
            <a:rPr lang="en-US" sz="2000" baseline="0"/>
            <a:t> acid (H2SO4)</a:t>
          </a:r>
        </a:p>
        <a:p>
          <a:r>
            <a:rPr lang="en-US" sz="2000" baseline="0"/>
            <a:t>b3lyp/6-31+g(d,p)</a:t>
          </a:r>
        </a:p>
        <a:p>
          <a:r>
            <a:rPr lang="en-US" sz="1500" baseline="0"/>
            <a:t>1st step</a:t>
          </a:r>
        </a:p>
        <a:p>
          <a:r>
            <a:rPr lang="en-US" sz="1600"/>
            <a:t>H2​SO4​→H+   </a:t>
          </a:r>
          <a:r>
            <a:rPr lang="en-US" sz="1600" baseline="0"/>
            <a:t> </a:t>
          </a:r>
          <a:r>
            <a:rPr lang="en-US" sz="1600"/>
            <a:t>+   HSO4−​</a:t>
          </a:r>
        </a:p>
        <a:p>
          <a:r>
            <a:rPr lang="en-US" sz="1500"/>
            <a:t>2nd step</a:t>
          </a:r>
        </a:p>
        <a:p>
          <a:r>
            <a:rPr lang="en-US" sz="1600"/>
            <a:t>HSO4− ​⇌ H+  +   SO42−​</a:t>
          </a:r>
        </a:p>
        <a:p>
          <a:endParaRPr lang="en-US" sz="1600"/>
        </a:p>
        <a:p>
          <a:r>
            <a:rPr lang="en-US" sz="1500"/>
            <a:t>2 step since it is a diprotonic acid (2</a:t>
          </a:r>
          <a:r>
            <a:rPr lang="en-US" sz="1500" baseline="0"/>
            <a:t> H to donate)</a:t>
          </a:r>
          <a:endParaRPr lang="en-US" sz="1500"/>
        </a:p>
      </xdr:txBody>
    </xdr:sp>
    <xdr:clientData/>
  </xdr:twoCellAnchor>
  <xdr:twoCellAnchor>
    <xdr:from>
      <xdr:col>0</xdr:col>
      <xdr:colOff>281940</xdr:colOff>
      <xdr:row>11</xdr:row>
      <xdr:rowOff>160020</xdr:rowOff>
    </xdr:from>
    <xdr:to>
      <xdr:col>5</xdr:col>
      <xdr:colOff>457200</xdr:colOff>
      <xdr:row>15</xdr:row>
      <xdr:rowOff>60960</xdr:rowOff>
    </xdr:to>
    <xdr:sp macro="" textlink="">
      <xdr:nvSpPr>
        <xdr:cNvPr id="3" name="CasellaDiTesto 2">
          <a:extLst>
            <a:ext uri="{FF2B5EF4-FFF2-40B4-BE49-F238E27FC236}">
              <a16:creationId xmlns:a16="http://schemas.microsoft.com/office/drawing/2014/main" id="{5F8E4FBC-92E5-71F6-5BA8-B005CDF90D07}"/>
            </a:ext>
          </a:extLst>
        </xdr:cNvPr>
        <xdr:cNvSpPr txBox="1"/>
      </xdr:nvSpPr>
      <xdr:spPr>
        <a:xfrm>
          <a:off x="281940" y="2171700"/>
          <a:ext cx="3223260" cy="63246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500"/>
            <a:t>1st step</a:t>
          </a:r>
        </a:p>
        <a:p>
          <a:r>
            <a:rPr lang="en-US" sz="1500"/>
            <a:t>H2SO4 + H2O -&gt; H3O+  +   HSO4-</a:t>
          </a:r>
        </a:p>
      </xdr:txBody>
    </xdr:sp>
    <xdr:clientData/>
  </xdr:twoCellAnchor>
  <xdr:twoCellAnchor editAs="oneCell">
    <xdr:from>
      <xdr:col>8</xdr:col>
      <xdr:colOff>396240</xdr:colOff>
      <xdr:row>0</xdr:row>
      <xdr:rowOff>121920</xdr:rowOff>
    </xdr:from>
    <xdr:to>
      <xdr:col>16</xdr:col>
      <xdr:colOff>275008</xdr:colOff>
      <xdr:row>15</xdr:row>
      <xdr:rowOff>99296</xdr:rowOff>
    </xdr:to>
    <xdr:pic>
      <xdr:nvPicPr>
        <xdr:cNvPr id="4" name="Immagine 3">
          <a:extLst>
            <a:ext uri="{FF2B5EF4-FFF2-40B4-BE49-F238E27FC236}">
              <a16:creationId xmlns:a16="http://schemas.microsoft.com/office/drawing/2014/main" id="{3D5CDABE-7E07-69A6-B0B5-A10DF4CF3BB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652260" y="121920"/>
          <a:ext cx="7940728" cy="2720576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18</xdr:row>
      <xdr:rowOff>0</xdr:rowOff>
    </xdr:from>
    <xdr:to>
      <xdr:col>11</xdr:col>
      <xdr:colOff>358140</xdr:colOff>
      <xdr:row>24</xdr:row>
      <xdr:rowOff>4569</xdr:rowOff>
    </xdr:to>
    <xdr:pic>
      <xdr:nvPicPr>
        <xdr:cNvPr id="5" name="Immagine 4">
          <a:extLst>
            <a:ext uri="{FF2B5EF4-FFF2-40B4-BE49-F238E27FC236}">
              <a16:creationId xmlns:a16="http://schemas.microsoft.com/office/drawing/2014/main" id="{8965DDEE-FB87-83C7-CE48-BF4E4FD87F3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865620" y="3291840"/>
          <a:ext cx="3032760" cy="1101849"/>
        </a:xfrm>
        <a:prstGeom prst="rect">
          <a:avLst/>
        </a:prstGeom>
      </xdr:spPr>
    </xdr:pic>
    <xdr:clientData/>
  </xdr:twoCellAnchor>
  <xdr:twoCellAnchor>
    <xdr:from>
      <xdr:col>0</xdr:col>
      <xdr:colOff>68580</xdr:colOff>
      <xdr:row>31</xdr:row>
      <xdr:rowOff>137160</xdr:rowOff>
    </xdr:from>
    <xdr:to>
      <xdr:col>1</xdr:col>
      <xdr:colOff>30480</xdr:colOff>
      <xdr:row>33</xdr:row>
      <xdr:rowOff>114300</xdr:rowOff>
    </xdr:to>
    <xdr:sp macro="" textlink="">
      <xdr:nvSpPr>
        <xdr:cNvPr id="7" name="CasellaDiTesto 6">
          <a:extLst>
            <a:ext uri="{FF2B5EF4-FFF2-40B4-BE49-F238E27FC236}">
              <a16:creationId xmlns:a16="http://schemas.microsoft.com/office/drawing/2014/main" id="{60865040-4051-C818-622A-BA13EB601FFE}"/>
            </a:ext>
          </a:extLst>
        </xdr:cNvPr>
        <xdr:cNvSpPr txBox="1"/>
      </xdr:nvSpPr>
      <xdr:spPr>
        <a:xfrm>
          <a:off x="68580" y="5821680"/>
          <a:ext cx="1234440" cy="3429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500"/>
            <a:t>SCF Energies</a:t>
          </a:r>
        </a:p>
      </xdr:txBody>
    </xdr:sp>
    <xdr:clientData/>
  </xdr:twoCellAnchor>
  <xdr:twoCellAnchor>
    <xdr:from>
      <xdr:col>0</xdr:col>
      <xdr:colOff>68580</xdr:colOff>
      <xdr:row>39</xdr:row>
      <xdr:rowOff>167640</xdr:rowOff>
    </xdr:from>
    <xdr:to>
      <xdr:col>4</xdr:col>
      <xdr:colOff>106680</xdr:colOff>
      <xdr:row>41</xdr:row>
      <xdr:rowOff>160020</xdr:rowOff>
    </xdr:to>
    <xdr:sp macro="" textlink="">
      <xdr:nvSpPr>
        <xdr:cNvPr id="8" name="CasellaDiTesto 7">
          <a:extLst>
            <a:ext uri="{FF2B5EF4-FFF2-40B4-BE49-F238E27FC236}">
              <a16:creationId xmlns:a16="http://schemas.microsoft.com/office/drawing/2014/main" id="{FA69C672-2EFF-B71E-6FED-29BF95958A05}"/>
            </a:ext>
          </a:extLst>
        </xdr:cNvPr>
        <xdr:cNvSpPr txBox="1"/>
      </xdr:nvSpPr>
      <xdr:spPr>
        <a:xfrm>
          <a:off x="68580" y="7322820"/>
          <a:ext cx="3505200" cy="36576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500"/>
            <a:t>Sum of electronic and thermal energies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91440</xdr:colOff>
      <xdr:row>0</xdr:row>
      <xdr:rowOff>137160</xdr:rowOff>
    </xdr:from>
    <xdr:to>
      <xdr:col>11</xdr:col>
      <xdr:colOff>91440</xdr:colOff>
      <xdr:row>5</xdr:row>
      <xdr:rowOff>0</xdr:rowOff>
    </xdr:to>
    <xdr:sp macro="" textlink="">
      <xdr:nvSpPr>
        <xdr:cNvPr id="2" name="CasellaDiTesto 1">
          <a:extLst>
            <a:ext uri="{FF2B5EF4-FFF2-40B4-BE49-F238E27FC236}">
              <a16:creationId xmlns:a16="http://schemas.microsoft.com/office/drawing/2014/main" id="{40ADB719-5FD7-A6B2-9029-668EFFF56E28}"/>
            </a:ext>
          </a:extLst>
        </xdr:cNvPr>
        <xdr:cNvSpPr txBox="1"/>
      </xdr:nvSpPr>
      <xdr:spPr>
        <a:xfrm>
          <a:off x="91440" y="137160"/>
          <a:ext cx="6705600" cy="77724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800"/>
            <a:t>ACETIC ACID</a:t>
          </a:r>
        </a:p>
        <a:p>
          <a:r>
            <a:rPr lang="en-US" sz="1050" b="1"/>
            <a:t>CH</a:t>
          </a:r>
          <a:r>
            <a:rPr lang="en-US" sz="1050" b="1" baseline="-25000"/>
            <a:t>3</a:t>
          </a:r>
          <a:r>
            <a:rPr lang="en-US" sz="1050" b="1"/>
            <a:t>CO</a:t>
          </a:r>
          <a:r>
            <a:rPr lang="en-US" sz="1050" b="1" baseline="-25000"/>
            <a:t>2</a:t>
          </a:r>
          <a:r>
            <a:rPr lang="en-US" sz="1050" b="1"/>
            <a:t>H + H</a:t>
          </a:r>
          <a:r>
            <a:rPr lang="en-US" sz="1050" b="1" baseline="-25000"/>
            <a:t>2</a:t>
          </a:r>
          <a:r>
            <a:rPr lang="en-US" sz="1050" b="1"/>
            <a:t>O ⇄ CH</a:t>
          </a:r>
          <a:r>
            <a:rPr lang="en-US" sz="1050" b="1" baseline="-25000"/>
            <a:t>3</a:t>
          </a:r>
          <a:r>
            <a:rPr lang="en-US" sz="1050" b="1"/>
            <a:t>CO</a:t>
          </a:r>
          <a:r>
            <a:rPr lang="en-US" sz="1050" b="1" baseline="-25000"/>
            <a:t>2</a:t>
          </a:r>
          <a:r>
            <a:rPr lang="en-US" sz="1050" b="1" baseline="30000"/>
            <a:t>−</a:t>
          </a:r>
          <a:r>
            <a:rPr lang="en-US" sz="1050" b="1"/>
            <a:t> + H</a:t>
          </a:r>
          <a:r>
            <a:rPr lang="en-US" sz="1050" b="1" baseline="-25000"/>
            <a:t>3</a:t>
          </a:r>
          <a:r>
            <a:rPr lang="en-US" sz="1050" b="1"/>
            <a:t>O</a:t>
          </a:r>
          <a:r>
            <a:rPr lang="en-US" sz="1050" b="1" baseline="30000"/>
            <a:t>+</a:t>
          </a:r>
          <a:r>
            <a:rPr lang="en-US" sz="1050"/>
            <a:t>.</a:t>
          </a:r>
        </a:p>
      </xdr:txBody>
    </xdr:sp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iEsterni_1" connectionId="1" xr16:uid="{1D84EB76-1342-46D5-BC56-9784784EDEBB}" autoFormatId="16" applyNumberFormats="0" applyBorderFormats="0" applyFontFormats="0" applyPatternFormats="0" applyAlignmentFormats="0" applyWidthHeightFormats="0">
  <queryTableRefresh nextId="5">
    <queryTableFields count="3">
      <queryTableField id="1" name="Temperature[K]   qtunn_Ia           qtunn_Ec" tableColumnId="1"/>
      <queryTableField id="2" name="Column1" tableColumnId="2"/>
      <queryTableField id="3" name="_1" tableColumnId="3"/>
    </queryTableFields>
    <queryTableDeletedFields count="1">
      <deletedField name="_2"/>
    </queryTableDeleted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iEsterni_2" connectionId="2" xr16:uid="{1A64ED3F-8CDC-4454-A254-7ED75E84C938}" autoFormatId="16" applyNumberFormats="0" applyBorderFormats="0" applyFontFormats="0" applyPatternFormats="0" applyAlignmentFormats="0" applyWidthHeightFormats="0">
  <queryTableRefresh nextId="5">
    <queryTableFields count="3">
      <queryTableField id="1" name="Temperature[K]" tableColumnId="1"/>
      <queryTableField id="2" name="   qtunn_Ia" tableColumnId="2"/>
      <queryTableField id="3" name="           qtunn_Ec" tableColumnId="3"/>
    </queryTableFields>
    <queryTableDeletedFields count="1">
      <deletedField name="Column1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9C6B595-0E12-4079-A171-B8D429233CC5}" name="primareazione" displayName="primareazione" ref="E12:G22" tableType="queryTable" totalsRowShown="0">
  <autoFilter ref="E12:G22" xr:uid="{69C6B595-0E12-4079-A171-B8D429233CC5}"/>
  <tableColumns count="3">
    <tableColumn id="1" xr3:uid="{86E3B919-B53D-4865-BB89-AC36C6466E06}" uniqueName="1" name="Temperature[K]            " queryTableFieldId="1"/>
    <tableColumn id="2" xr3:uid="{AC950DC0-C03D-4201-A950-A0FE2BDDEA7E}" uniqueName="2" name="qtunn_Ia " queryTableFieldId="2" dataDxfId="60"/>
    <tableColumn id="3" xr3:uid="{04ACE00C-C7E0-40B8-A609-5702E40F039F}" uniqueName="3" name=" qtunn_Ec" queryTableFieldId="3" dataDxfId="59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CE6D471-8BA6-454C-A306-4FA61C9E032E}" name="secondareaz" displayName="secondareaz" ref="F36:H46" tableType="queryTable" totalsRowShown="0">
  <autoFilter ref="F36:H46" xr:uid="{FCE6D471-8BA6-454C-A306-4FA61C9E032E}"/>
  <tableColumns count="3">
    <tableColumn id="1" xr3:uid="{B93A5DA1-581C-4146-86CD-A388EB49DC75}" uniqueName="1" name="Temperature[K]" queryTableFieldId="1"/>
    <tableColumn id="2" xr3:uid="{335F9F42-BB8D-41C0-9BB7-C526E2343192}" uniqueName="2" name="   qtunn_Ia" queryTableFieldId="2"/>
    <tableColumn id="3" xr3:uid="{6B89CBB3-C5E4-47A2-8138-F54BC65C4926}" uniqueName="3" name="           qtunn_Ec" queryTableFieldId="3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DBCD410B-F56E-4CD1-BD42-CAAF1777FC11}" name="Tabella3" displayName="Tabella3" ref="C10:H13" totalsRowShown="0">
  <autoFilter ref="C10:H13" xr:uid="{DBCD410B-F56E-4CD1-BD42-CAAF1777FC11}"/>
  <tableColumns count="6">
    <tableColumn id="3" xr3:uid="{9A4DBC41-E7B6-4E35-BB60-1CCEAEF6CE2E}" name="Molecule"/>
    <tableColumn id="1" xr3:uid="{5F624C44-762F-44A9-8EBD-E786C3040E1B}" name="E gas" dataDxfId="58"/>
    <tableColumn id="2" xr3:uid="{C702F9F4-7978-4D60-91DE-E5CB8A58EE97}" name="E solv" dataDxfId="57"/>
    <tableColumn id="4" xr3:uid="{5E7551AB-2263-419F-BF69-DEE183E5C406}" name="DeltaG [Hartree]" dataDxfId="56">
      <calculatedColumnFormula>Tabella3[[#This Row],[E solv]]-Tabella3[[#This Row],[E gas]]</calculatedColumnFormula>
    </tableColumn>
    <tableColumn id="5" xr3:uid="{74CB721C-D236-4EC7-AC31-892C0DB2CD6B}" name="DeltaG [kcal/mol]" dataDxfId="55">
      <calculatedColumnFormula>Tabella3[[#This Row],[DeltaG '[Hartree']]]*627.5</calculatedColumnFormula>
    </tableColumn>
    <tableColumn id="6" xr3:uid="{4CB3ADC4-1DEE-446E-8BEE-8628FBABE40D}" name="DeltaG [kj/mol]" dataDxfId="54">
      <calculatedColumnFormula>Tabella3[[#This Row],[DeltaG '[Hartree']]]*2625.5</calculatedColumnFormula>
    </tableColumn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BFA1C636-BCDA-4987-9A4E-B7BF6DB33CAB}" name="Tabella35" displayName="Tabella35" ref="C17:H20" totalsRowShown="0">
  <autoFilter ref="C17:H20" xr:uid="{BFA1C636-BCDA-4987-9A4E-B7BF6DB33CAB}"/>
  <tableColumns count="6">
    <tableColumn id="3" xr3:uid="{C946E0F6-092E-4261-BA42-1B94EE07FC9E}" name="Molecule"/>
    <tableColumn id="1" xr3:uid="{828AF055-5B48-476B-94B0-F69964D329AE}" name="E gas" dataDxfId="53"/>
    <tableColumn id="2" xr3:uid="{7CF1CCB4-7981-4150-B3EE-D8D883989B01}" name="E solv" dataDxfId="52"/>
    <tableColumn id="4" xr3:uid="{5AF6DA53-4F28-4FE6-912C-AE04052ABD4D}" name="DeltaG [Hartree]" dataDxfId="51">
      <calculatedColumnFormula>Tabella35[[#This Row],[E solv]]-Tabella35[[#This Row],[E gas]]</calculatedColumnFormula>
    </tableColumn>
    <tableColumn id="5" xr3:uid="{63F434E3-4E85-45EA-93FA-DB796E5CF4D6}" name="DeltaG [kcal/mol]" dataDxfId="50">
      <calculatedColumnFormula>Tabella35[[#This Row],[DeltaG '[Hartree']]]*627.5</calculatedColumnFormula>
    </tableColumn>
    <tableColumn id="6" xr3:uid="{2B122C9E-6F1B-4342-960D-AD03B358F3F2}" name="DeltaG [kj/mol]" dataDxfId="49">
      <calculatedColumnFormula>Tabella35[[#This Row],[DeltaG '[Hartree']]]*2625.5</calculatedColumnFormula>
    </tableColumn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528A650E-06A7-47A5-8622-668E2D40B8C2}" name="Tabella5" displayName="Tabella5" ref="B18:H19" totalsRowShown="0" dataDxfId="48">
  <autoFilter ref="B18:H19" xr:uid="{528A650E-06A7-47A5-8622-668E2D40B8C2}"/>
  <tableColumns count="7">
    <tableColumn id="1" xr3:uid="{32387A86-C20A-4275-B0E1-6463CC7B86C2}" name="H2SO4" dataDxfId="47">
      <calculatedColumnFormula>-700.096991</calculatedColumnFormula>
    </tableColumn>
    <tableColumn id="2" xr3:uid="{0B71D8A3-F71F-471E-8DAB-0814BD145AEA}" name="H2O" dataDxfId="46">
      <calculatedColumnFormula>-76.430401</calculatedColumnFormula>
    </tableColumn>
    <tableColumn id="3" xr3:uid="{8F8860F0-EFD1-4051-8924-82651E6A6A6D}" name="H3O+" dataDxfId="45">
      <calculatedColumnFormula>-76.692615</calculatedColumnFormula>
    </tableColumn>
    <tableColumn id="4" xr3:uid="{DB7142F0-5EF4-4F19-A3D8-37E2C765D95B}" name="HSO4-" dataDxfId="44">
      <calculatedColumnFormula>-699.581562</calculatedColumnFormula>
    </tableColumn>
    <tableColumn id="5" xr3:uid="{4D3CF809-F79C-4131-8707-A64C8AC20691}" name="DeltaG reaz [hartree]" dataDxfId="43">
      <calculatedColumnFormula>Tabella5[[#This Row],[HSO4-]]+Tabella5[[#This Row],[H3O+]]-Tabella5[[#This Row],[H2O]]-Tabella5[[#This Row],[H2SO4]]</calculatedColumnFormula>
    </tableColumn>
    <tableColumn id="8" xr3:uid="{410F44EA-FC34-46A9-B49E-BC990FE1329A}" name="[kcal/mol]" dataDxfId="42">
      <calculatedColumnFormula>Tabella5[[#This Row],[DeltaG reaz '[hartree']]]*627.5</calculatedColumnFormula>
    </tableColumn>
    <tableColumn id="9" xr3:uid="{ED3238AF-D9DC-415B-BE3F-C176ACE44629}" name="[kj/mol]" dataDxfId="41">
      <calculatedColumnFormula>Tabella5[[#This Row],[DeltaG reaz '[hartree']]]*2625.5</calculatedColumnFormula>
    </tableColumn>
  </tableColumns>
  <tableStyleInfo name="TableStyleLight9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C9FCF059-C6FE-488E-AA49-A55C21C4D11B}" name="Tabella6" displayName="Tabella6" ref="B27:E28" totalsRowShown="0">
  <autoFilter ref="B27:E28" xr:uid="{C9FCF059-C6FE-488E-AA49-A55C21C4D11B}"/>
  <tableColumns count="4">
    <tableColumn id="1" xr3:uid="{74443128-EC48-44EB-9C21-59923B58FE5F}" name="H2SO4">
      <calculatedColumnFormula>-700.115015</calculatedColumnFormula>
    </tableColumn>
    <tableColumn id="2" xr3:uid="{9583992A-A624-492E-A951-1C47939FC5A0}" name="H2O">
      <calculatedColumnFormula>-76.444714</calculatedColumnFormula>
    </tableColumn>
    <tableColumn id="3" xr3:uid="{26BCC267-837E-42F0-8682-C01A6AA3D7AB}" name="H3O+">
      <calculatedColumnFormula>-76.846485</calculatedColumnFormula>
    </tableColumn>
    <tableColumn id="4" xr3:uid="{1C618313-A220-464E-9313-099FBE87CA72}" name="HSO4-">
      <calculatedColumnFormula>-699.686111</calculatedColumnFormula>
    </tableColumn>
  </tableColumns>
  <tableStyleInfo name="TableStyleLight10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418DF834-1DA9-4392-936D-AAEDA30D8749}" name="Tabella8" displayName="Tabella8" ref="J27:M29" totalsRowShown="0">
  <autoFilter ref="J27:M29" xr:uid="{418DF834-1DA9-4392-936D-AAEDA30D8749}"/>
  <tableColumns count="4">
    <tableColumn id="1" xr3:uid="{68A9E543-0D76-4F36-824C-2C9663F0F03D}" name="DeltaG solv HSO4-">
      <calculatedColumnFormula array="1">Tabella6[[#This Row],[HSO4-]]-Tabella5[HSO4-]</calculatedColumnFormula>
    </tableColumn>
    <tableColumn id="2" xr3:uid="{92B56ED9-E451-4B09-94D9-8E5055E59DB8}" name="DeltaG solv H3O+">
      <calculatedColumnFormula array="1">Tabella6[[#This Row],[H3O+]]-Tabella5[H3O+]</calculatedColumnFormula>
    </tableColumn>
    <tableColumn id="3" xr3:uid="{F26A7E6F-11A5-44A2-81EF-13E7CFFB8FC1}" name="DeltaG solv H2SO4">
      <calculatedColumnFormula array="1">Tabella6[[#This Row],[H2SO4]]-Tabella5[H2SO4]</calculatedColumnFormula>
    </tableColumn>
    <tableColumn id="4" xr3:uid="{01026211-0000-4CD3-985E-0AA5ABA9E55E}" name="DeltaG solv H2O">
      <calculatedColumnFormula array="1">Tabella6[[#This Row],[H2O]]-Tabella5[H2O]</calculatedColumnFormula>
    </tableColumn>
  </tableColumns>
  <tableStyleInfo name="TableStyleLight1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A7C9311F-0B32-4610-A74F-74C72B406791}" name="Tabella510" displayName="Tabella510" ref="B35:G36" totalsRowShown="0" dataDxfId="40">
  <autoFilter ref="B35:G36" xr:uid="{A7C9311F-0B32-4610-A74F-74C72B406791}"/>
  <tableColumns count="6">
    <tableColumn id="1" xr3:uid="{DBFB929D-0BA3-4497-BCAF-F57783305497}" name="H2SO4" dataDxfId="39">
      <calculatedColumnFormula>-700.107903473</calculatedColumnFormula>
    </tableColumn>
    <tableColumn id="2" xr3:uid="{9E865FC4-151A-4C60-A87C-9F84F7B5F63E}" name="H2O" dataDxfId="38">
      <calculatedColumnFormula>-76.4340474468</calculatedColumnFormula>
    </tableColumn>
    <tableColumn id="3" xr3:uid="{27E730CB-8399-4B69-A396-C074634BFE37}" name="H3O+" dataDxfId="37">
      <calculatedColumnFormula>-76.7077676817</calculatedColumnFormula>
    </tableColumn>
    <tableColumn id="4" xr3:uid="{394C7814-F5E7-4036-945A-66F4E5BA4DB5}" name="HSO4-" dataDxfId="36">
      <calculatedColumnFormula>-699.57769612</calculatedColumnFormula>
    </tableColumn>
    <tableColumn id="5" xr3:uid="{38866258-61CE-4402-A511-010D85D55E99}" name="DeltaG reaz [hartree]" dataDxfId="35">
      <calculatedColumnFormula>Tabella510[[#This Row],[HSO4-]]+Tabella510[[#This Row],[H3O+]]-Tabella510[[#This Row],[H2O]]-Tabella510[[#This Row],[H2SO4]]</calculatedColumnFormula>
    </tableColumn>
    <tableColumn id="8" xr3:uid="{565308FB-8B7C-4582-8B8A-EE55A905413C}" name="[kcal/mol]" dataDxfId="34">
      <calculatedColumnFormula>Tabella510[[#This Row],[DeltaG reaz '[hartree']]]*627.5</calculatedColumnFormula>
    </tableColumn>
  </tableColumns>
  <tableStyleInfo name="TableStyleLight9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ED0E907B-D37A-4B92-A6C5-F7F4CA7D95E8}" name="Tabella611" displayName="Tabella611" ref="B38:E39" totalsRowShown="0">
  <autoFilter ref="B38:E39" xr:uid="{ED0E907B-D37A-4B92-A6C5-F7F4CA7D95E8}"/>
  <tableColumns count="4">
    <tableColumn id="1" xr3:uid="{AFDBFACA-4886-4D2D-9AFD-15C5A4EDA9A8}" name="H2SO4">
      <calculatedColumnFormula>-700.125512613</calculatedColumnFormula>
    </tableColumn>
    <tableColumn id="2" xr3:uid="{B635AA0F-00FD-48B4-9C43-6FA43F016A49}" name="H2O">
      <calculatedColumnFormula>-76.4480563332</calculatedColumnFormula>
    </tableColumn>
    <tableColumn id="3" xr3:uid="{6AF4CAD8-26A8-453B-B930-70E2EA515A66}" name="H3O+">
      <calculatedColumnFormula>-76.8622601073</calculatedColumnFormula>
    </tableColumn>
    <tableColumn id="4" xr3:uid="{A5D244FF-6D0F-4E55-BA3F-25707E15EB71}" name="HSO4-">
      <calculatedColumnFormula>-699.682415109</calculatedColumnFormula>
    </tableColumn>
  </tableColumns>
  <tableStyleInfo name="TableStyleLight10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DA00C0E6-B460-4A49-BF18-394B45200A97}" name="Tabella812" displayName="Tabella812" ref="K36:N38" totalsRowShown="0">
  <autoFilter ref="K36:N38" xr:uid="{DA00C0E6-B460-4A49-BF18-394B45200A97}"/>
  <tableColumns count="4">
    <tableColumn id="1" xr3:uid="{45484717-35B3-462D-ADAC-40CD4C877B77}" name="DeltaG solv HSO4-" dataDxfId="33">
      <calculatedColumnFormula array="1">Tabella611[HSO4-]-Tabella510[HSO4-]</calculatedColumnFormula>
    </tableColumn>
    <tableColumn id="2" xr3:uid="{B5AD55E0-FC18-42DA-ACC5-E65D1EF91B7F}" name="DeltaG solv H3O+">
      <calculatedColumnFormula array="1">Tabella6[[#This Row],[H3O+]]-Tabella5[H3O+]</calculatedColumnFormula>
    </tableColumn>
    <tableColumn id="3" xr3:uid="{77485964-9B7A-4B9F-8EB1-03D435215D5D}" name="DeltaG solv H2SO4">
      <calculatedColumnFormula array="1">Tabella6[[#This Row],[H2SO4]]-Tabella5[H2SO4]</calculatedColumnFormula>
    </tableColumn>
    <tableColumn id="4" xr3:uid="{892D5373-7887-4B9B-8E33-69F8251D330E}" name="DeltaG solv H2O">
      <calculatedColumnFormula array="1">Tabella6[[#This Row],[H2O]]-Tabella5[H2O]</calculatedColumnFormula>
    </tableColumn>
  </tableColumns>
  <tableStyleInfo name="TableStyleLight12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84FCBCB8-B751-466E-B7C9-4C31C672BF93}" name="Tabella51013" displayName="Tabella51013" ref="B45:G46" totalsRowShown="0" dataDxfId="32">
  <autoFilter ref="B45:G46" xr:uid="{84FCBCB8-B751-466E-B7C9-4C31C672BF93}"/>
  <tableColumns count="6">
    <tableColumn id="1" xr3:uid="{AC264D0F-E2E2-4124-A309-A853001D215C}" name="H2SO4" dataDxfId="0">
      <calculatedColumnFormula>-700.065577</calculatedColumnFormula>
    </tableColumn>
    <tableColumn id="2" xr3:uid="{8DD53CAF-9F8C-4CBA-849F-705F419251C4}" name="H2O" dataDxfId="31">
      <calculatedColumnFormula>-76.409917</calculatedColumnFormula>
    </tableColumn>
    <tableColumn id="3" xr3:uid="{F38AAD47-6360-439E-8D51-E72FDE696586}" name="H3O+" dataDxfId="30">
      <calculatedColumnFormula>-76.670538</calculatedColumnFormula>
    </tableColumn>
    <tableColumn id="4" xr3:uid="{911BE605-5AC0-45BD-A8E0-44185479B404}" name="HSO4-" dataDxfId="29">
      <calculatedColumnFormula>-699.548975</calculatedColumnFormula>
    </tableColumn>
    <tableColumn id="5" xr3:uid="{5E3B50C0-6FAE-4B72-A7CB-F6128F17A585}" name="DeltaG reaz [hartree]" dataDxfId="28">
      <calculatedColumnFormula>Tabella51013[[#This Row],[HSO4-]]+Tabella51013[[#This Row],[H3O+]]-Tabella51013[[#This Row],[H2O]]-Tabella51013[[#This Row],[H2SO4]]</calculatedColumnFormula>
    </tableColumn>
    <tableColumn id="8" xr3:uid="{05F4165F-E57E-4CF0-804A-B7AAC2C58267}" name="[kcal/mol]" dataDxfId="27">
      <calculatedColumnFormula>Tabella51013[[#This Row],[DeltaG reaz '[hartree']]]*627.5</calculatedColumnFormula>
    </tableColumn>
  </tableColumns>
  <tableStyleInfo name="TableStyleLight9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127AAEFC-EA01-49FF-BE0A-4BEB363486D5}" name="Tabella61114" displayName="Tabella61114" ref="B48:E49" totalsRowShown="0">
  <autoFilter ref="B48:E49" xr:uid="{127AAEFC-EA01-49FF-BE0A-4BEB363486D5}"/>
  <tableColumns count="4">
    <tableColumn id="1" xr3:uid="{498F16BF-F158-4DF7-93FF-B4658874F205}" name="H2SO4">
      <calculatedColumnFormula>-700.08357</calculatedColumnFormula>
    </tableColumn>
    <tableColumn id="2" xr3:uid="{F3CC9EDE-D27A-489A-979E-2198E970185C}" name="H2O">
      <calculatedColumnFormula>-76.424215</calculatedColumnFormula>
    </tableColumn>
    <tableColumn id="3" xr3:uid="{6334DB3E-E93C-42A1-8382-DE61D4E9ECF6}" name="H3O+">
      <calculatedColumnFormula>-76.82448</calculatedColumnFormula>
    </tableColumn>
    <tableColumn id="4" xr3:uid="{C4F41DAF-0E21-442C-B5C8-AECB61910760}" name="HSO4-">
      <calculatedColumnFormula>-699.653746</calculatedColumnFormula>
    </tableColumn>
  </tableColumns>
  <tableStyleInfo name="TableStyleLight10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CC8391AE-C85D-4AC5-A464-32984FFBC768}" name="Tabella81215" displayName="Tabella81215" ref="K46:N48" totalsRowShown="0">
  <autoFilter ref="K46:N48" xr:uid="{CC8391AE-C85D-4AC5-A464-32984FFBC768}"/>
  <tableColumns count="4">
    <tableColumn id="1" xr3:uid="{DA651ECD-3D94-4280-ACDD-054E8773196B}" name="DeltaG solv HSO4-" dataDxfId="26">
      <calculatedColumnFormula array="1">Tabella611[HSO4-]-Tabella510[HSO4-]</calculatedColumnFormula>
    </tableColumn>
    <tableColumn id="2" xr3:uid="{FA878A2E-E16C-4A91-BBF0-DADD85B697BD}" name="DeltaG solv H3O+">
      <calculatedColumnFormula array="1">Tabella6[[#This Row],[H3O+]]-Tabella5[H3O+]</calculatedColumnFormula>
    </tableColumn>
    <tableColumn id="3" xr3:uid="{EE8252C4-2DD9-4FCE-BB96-E11CA490BE14}" name="DeltaG solv H2SO4">
      <calculatedColumnFormula array="1">Tabella6[[#This Row],[H2SO4]]-Tabella5[H2SO4]</calculatedColumnFormula>
    </tableColumn>
    <tableColumn id="4" xr3:uid="{40FB7EDC-11BA-4538-8312-766E89BF52DE}" name="DeltaG solv H2O">
      <calculatedColumnFormula array="1">Tabella6[[#This Row],[H2O]]-Tabella5[H2O]</calculatedColumnFormula>
    </tableColumn>
  </tableColumns>
  <tableStyleInfo name="TableStyleLight12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A2B02A8E-F5D6-4221-9540-54D6E139DC2C}" name="Tabella5101316" displayName="Tabella5101316" ref="C7:H8" totalsRowShown="0" dataDxfId="25">
  <autoFilter ref="C7:H8" xr:uid="{A2B02A8E-F5D6-4221-9540-54D6E139DC2C}"/>
  <tableColumns count="6">
    <tableColumn id="1" xr3:uid="{16178FC6-DC0C-4903-8F4C-C52EEEFFB94F}" name="CH₃COOH" dataDxfId="24">
      <calculatedColumnFormula>-229.051761</calculatedColumnFormula>
    </tableColumn>
    <tableColumn id="2" xr3:uid="{6BF73D0F-11BA-4537-AC17-455ABCF1C6DC}" name="H2O" dataDxfId="23">
      <calculatedColumnFormula>-76.409917</calculatedColumnFormula>
    </tableColumn>
    <tableColumn id="3" xr3:uid="{BD4B5516-08A2-4AF9-ABCF-448C192F5D1A}" name="CH3CO2− " dataDxfId="22">
      <calculatedColumnFormula>-228.606288</calculatedColumnFormula>
    </tableColumn>
    <tableColumn id="4" xr3:uid="{2511EB15-6C0E-4823-9F0F-07C4DD68BADF}" name="H3O+" dataDxfId="21">
      <calculatedColumnFormula>-76.670538</calculatedColumnFormula>
    </tableColumn>
    <tableColumn id="5" xr3:uid="{774EBD1B-360C-41D8-ACB6-3A27555DDDC3}" name="DeltaG reaz [hartree]" dataDxfId="20">
      <calculatedColumnFormula>Tabella5101316[[#This Row],[H3O+]]+Tabella5101316[[#This Row],[CH3CO2− ]]-Tabella5101316[[#This Row],[H2O]]-Tabella5101316[[#This Row],[CH₃COOH]]</calculatedColumnFormula>
    </tableColumn>
    <tableColumn id="8" xr3:uid="{766F2ACD-15B0-4337-AF96-5FBCDDD2B0C8}" name="[kcal/mol]" dataDxfId="19">
      <calculatedColumnFormula>Tabella5101316[[#This Row],[DeltaG reaz '[hartree']]]*627.5</calculatedColumnFormula>
    </tableColumn>
  </tableColumns>
  <tableStyleInfo name="TableStyleLight9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9F65E8A7-09EC-43BC-A692-007C21B047BC}" name="Tabella6111417" displayName="Tabella6111417" ref="C10:F11" totalsRowShown="0">
  <autoFilter ref="C10:F11" xr:uid="{9F65E8A7-09EC-43BC-A692-007C21B047BC}"/>
  <tableColumns count="4">
    <tableColumn id="1" xr3:uid="{5FC9D1CC-24B2-4799-917B-744DF611748A}" name="CH₃COOH">
      <calculatedColumnFormula>-229.051761</calculatedColumnFormula>
    </tableColumn>
    <tableColumn id="2" xr3:uid="{9E19EDE7-BDCC-4704-B3F1-C4CB575C2063}" name="H2O">
      <calculatedColumnFormula>-76.424215</calculatedColumnFormula>
    </tableColumn>
    <tableColumn id="3" xr3:uid="{0A2E824E-14D7-4F45-85D2-CF03197B6973}" name="CH3CO2− ">
      <calculatedColumnFormula>-228.606288</calculatedColumnFormula>
    </tableColumn>
    <tableColumn id="4" xr3:uid="{1B216766-4ACC-4763-B193-6565DB8610E9}" name="H3O+">
      <calculatedColumnFormula>-76.82448</calculatedColumnFormula>
    </tableColumn>
  </tableColumns>
  <tableStyleInfo name="TableStyleLight10" showFirstColumn="0" showLastColumn="0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2A81546E-C208-49FD-8C02-996B730CF570}" name="Tabella8121518" displayName="Tabella8121518" ref="L8:O10" totalsRowShown="0">
  <autoFilter ref="L8:O10" xr:uid="{2A81546E-C208-49FD-8C02-996B730CF570}"/>
  <tableColumns count="4">
    <tableColumn id="1" xr3:uid="{A45AEFA9-0BF4-44FD-B753-A742B2455FAE}" name="CH₃COOH" dataDxfId="2"/>
    <tableColumn id="2" xr3:uid="{7EEF8871-6343-4E15-BD4B-026CBA515FBF}" name="H2O"/>
    <tableColumn id="3" xr3:uid="{6F6F266E-82F7-4372-9510-0FC5433F82E9}" name="CH3CO2− "/>
    <tableColumn id="4" xr3:uid="{EEA6BFFC-C511-44A7-BE0F-99D9D23729B3}" name="H3O+2"/>
  </tableColumns>
  <tableStyleInfo name="TableStyleLight12" showFirstColumn="0" showLastColumn="0" showRowStripes="1" showColumnStripes="0"/>
</table>
</file>

<file path=xl/tables/table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" xr:uid="{8A89C523-1FE4-4DBF-AAFB-BBF134E5F00D}" name="Tabella510131619" displayName="Tabella510131619" ref="C17:H18" totalsRowShown="0" dataDxfId="18">
  <autoFilter ref="C17:H18" xr:uid="{8A89C523-1FE4-4DBF-AAFB-BBF134E5F00D}"/>
  <tableColumns count="6">
    <tableColumn id="1" xr3:uid="{99C548C8-1372-413D-990F-7B954491695F}" name="CH₃COOH" dataDxfId="17">
      <calculatedColumnFormula>-229.116330716</calculatedColumnFormula>
    </tableColumn>
    <tableColumn id="2" xr3:uid="{0F7649D1-D14D-43BF-87B1-5B83F981DC85}" name="H2O" dataDxfId="16">
      <calculatedColumnFormula>-76.4340474468</calculatedColumnFormula>
    </tableColumn>
    <tableColumn id="3" xr3:uid="{1F7401FE-C5EB-4944-81E2-7F38671DB886}" name="CH3CO2− " dataDxfId="15">
      <calculatedColumnFormula>-228.658048339</calculatedColumnFormula>
    </tableColumn>
    <tableColumn id="4" xr3:uid="{AED00B95-783C-4C19-A645-2712B7AB658A}" name="H3O+" dataDxfId="14">
      <calculatedColumnFormula>-76.7077676817</calculatedColumnFormula>
    </tableColumn>
    <tableColumn id="5" xr3:uid="{B49F40B9-F289-47F8-B35E-F89577ED6184}" name="DeltaG reaz [hartree]" dataDxfId="13">
      <calculatedColumnFormula>Tabella510131619[[#This Row],[H3O+]]+Tabella510131619[[#This Row],[CH3CO2− ]]-Tabella510131619[[#This Row],[H2O]]-Tabella510131619[[#This Row],[CH₃COOH]]</calculatedColumnFormula>
    </tableColumn>
    <tableColumn id="8" xr3:uid="{4D20826A-8B23-41D2-B41C-3795E5E2A352}" name="[kcal/mol]" dataDxfId="12">
      <calculatedColumnFormula>Tabella510131619[[#This Row],[DeltaG reaz '[hartree']]]*627.5</calculatedColumnFormula>
    </tableColumn>
  </tableColumns>
  <tableStyleInfo name="TableStyleLight9" showFirstColumn="0" showLastColumn="0" showRowStripes="1" showColumnStripes="0"/>
</table>
</file>

<file path=xl/tables/table1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" xr:uid="{F9A0481E-9DE0-4066-BA18-2DBF14FDDE68}" name="Tabella611141720" displayName="Tabella611141720" ref="C20:F21" totalsRowShown="0">
  <autoFilter ref="C20:F21" xr:uid="{F9A0481E-9DE0-4066-BA18-2DBF14FDDE68}"/>
  <tableColumns count="4">
    <tableColumn id="1" xr3:uid="{E920614C-1CD5-4583-8F1B-35B5A19E6021}" name="CH₃COOH">
      <calculatedColumnFormula>-229.116330716</calculatedColumnFormula>
    </tableColumn>
    <tableColumn id="2" xr3:uid="{77D819FA-E891-4E01-9EF7-25CE4FD39FC5}" name="H2O">
      <calculatedColumnFormula>-76.4480563332</calculatedColumnFormula>
    </tableColumn>
    <tableColumn id="3" xr3:uid="{CE69E9E0-5BFB-44A5-8F4E-87A5FBF64BED}" name="CH3CO2− ">
      <calculatedColumnFormula>-228.658048339</calculatedColumnFormula>
    </tableColumn>
    <tableColumn id="4" xr3:uid="{01652E0B-39D6-4D61-93C5-C21F4B441FD3}" name="H3O+">
      <calculatedColumnFormula>-76.8622601073</calculatedColumnFormula>
    </tableColumn>
  </tableColumns>
  <tableStyleInfo name="TableStyleLight10" showFirstColumn="0" showLastColumn="0" showRowStripes="1" showColumnStripes="0"/>
</table>
</file>

<file path=xl/tables/table1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0" xr:uid="{8E34090A-A85A-43BF-A973-E3CE403CBBD7}" name="Tabella812151821" displayName="Tabella812151821" ref="L18:O20" totalsRowShown="0">
  <autoFilter ref="L18:O20" xr:uid="{8E34090A-A85A-43BF-A973-E3CE403CBBD7}"/>
  <tableColumns count="4">
    <tableColumn id="1" xr3:uid="{39D507F4-7F9F-46CA-9F56-FA9AB71F5BFB}" name="CH₃COOH" dataDxfId="11"/>
    <tableColumn id="2" xr3:uid="{F7A5A7FF-39E8-46F4-9EAE-D9DF09DADD48}" name="H2O">
      <calculatedColumnFormula array="1">Tabella6[[#This Row],[H3O+]]-Tabella5[H3O+]</calculatedColumnFormula>
    </tableColumn>
    <tableColumn id="3" xr3:uid="{69E4B8C9-D0DC-49FC-AB1D-CCF74A1D5C6A}" name="CH3CO2− " dataDxfId="1"/>
    <tableColumn id="4" xr3:uid="{50447E21-72DD-4191-A7C0-C734997BCEC8}" name="H3O+2">
      <calculatedColumnFormula array="1">Tabella6[[#This Row],[H2O]]-Tabella5[H2O]</calculatedColumnFormula>
    </tableColumn>
  </tableColumns>
  <tableStyleInfo name="TableStyleLight12" showFirstColumn="0" showLastColumn="0" showRowStripes="1" showColumnStripes="0"/>
</table>
</file>

<file path=xl/tables/table2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1" xr:uid="{DD7006F6-95ED-4A4E-A0E7-3EFC54DF282A}" name="Tabella510131622" displayName="Tabella510131622" ref="C27:H28" totalsRowShown="0" dataDxfId="10">
  <autoFilter ref="C27:H28" xr:uid="{DD7006F6-95ED-4A4E-A0E7-3EFC54DF282A}"/>
  <tableColumns count="6">
    <tableColumn id="1" xr3:uid="{8CEE0C40-11C3-42A6-9EF6-5AA0B4662B9D}" name="CH₃COOH" dataDxfId="9">
      <calculatedColumnFormula>-229.081589</calculatedColumnFormula>
    </tableColumn>
    <tableColumn id="2" xr3:uid="{649F4DE1-1EC2-4832-A525-A7EFA61D9117}" name="H2O" dataDxfId="8">
      <calculatedColumnFormula>-76.430401</calculatedColumnFormula>
    </tableColumn>
    <tableColumn id="3" xr3:uid="{81113944-38A8-4103-BEEC-464E820A22BA}" name="CH3CO2− " dataDxfId="7">
      <calculatedColumnFormula>-228.635688</calculatedColumnFormula>
    </tableColumn>
    <tableColumn id="4" xr3:uid="{5D268A0E-930D-49CB-AD71-AAD1EA9D7CC6}" name="H3O+" dataDxfId="6">
      <calculatedColumnFormula>-76.692615</calculatedColumnFormula>
    </tableColumn>
    <tableColumn id="5" xr3:uid="{AF1C2342-D5A2-4681-95FC-EE61349EAFA7}" name="DeltaG reaz [hartree]" dataDxfId="5">
      <calculatedColumnFormula>Tabella510131622[[#This Row],[H3O+]]+Tabella510131622[[#This Row],[CH3CO2− ]]-Tabella510131622[[#This Row],[H2O]]-Tabella510131622[[#This Row],[CH₃COOH]]</calculatedColumnFormula>
    </tableColumn>
    <tableColumn id="8" xr3:uid="{F330A113-6016-4B76-82D6-D1B241997AF5}" name="[kcal/mol]" dataDxfId="4">
      <calculatedColumnFormula>Tabella510131622[[#This Row],[DeltaG reaz '[hartree']]]*627.5</calculatedColumnFormula>
    </tableColumn>
  </tableColumns>
  <tableStyleInfo name="TableStyleLight9" showFirstColumn="0" showLastColumn="0" showRowStripes="1" showColumnStripes="0"/>
</table>
</file>

<file path=xl/tables/table2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2" xr:uid="{133CE471-F735-4650-B39F-68EA77218FEF}" name="Tabella611141723" displayName="Tabella611141723" ref="C30:F31" totalsRowShown="0">
  <autoFilter ref="C30:F31" xr:uid="{133CE471-F735-4650-B39F-68EA77218FEF}"/>
  <tableColumns count="4">
    <tableColumn id="1" xr3:uid="{B3EB0789-4F5A-4DAF-BF60-414519D5A381}" name="CH₃COOH">
      <calculatedColumnFormula>-229.081589</calculatedColumnFormula>
    </tableColumn>
    <tableColumn id="2" xr3:uid="{41333CE4-B4AC-47C4-BE9F-941F7BCBE727}" name="H2O">
      <calculatedColumnFormula>-76.444714</calculatedColumnFormula>
    </tableColumn>
    <tableColumn id="3" xr3:uid="{E170B9BF-EC2B-413C-833A-0E521313F685}" name="CH3CO2− ">
      <calculatedColumnFormula>-228.635688</calculatedColumnFormula>
    </tableColumn>
    <tableColumn id="4" xr3:uid="{9A6031D3-9932-4E4C-99B7-96090446B831}" name="H3O+">
      <calculatedColumnFormula>-76.846485</calculatedColumnFormula>
    </tableColumn>
  </tableColumns>
  <tableStyleInfo name="TableStyleLight10" showFirstColumn="0" showLastColumn="0" showRowStripes="1" showColumnStripes="0"/>
</table>
</file>

<file path=xl/tables/table2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3" xr:uid="{D56BF2DE-934B-4D1C-93F3-C73745B18D4E}" name="Tabella812151824" displayName="Tabella812151824" ref="L28:O30" totalsRowShown="0">
  <autoFilter ref="L28:O30" xr:uid="{D56BF2DE-934B-4D1C-93F3-C73745B18D4E}"/>
  <tableColumns count="4">
    <tableColumn id="1" xr3:uid="{E59DD22C-4887-49D8-A4B3-244C57ED5DC6}" name="CH₃COOH" dataDxfId="3">
      <calculatedColumnFormula array="1">Tabella611[HSO4-]-Tabella510[HSO4-]</calculatedColumnFormula>
    </tableColumn>
    <tableColumn id="2" xr3:uid="{A965D52A-977F-4347-9AA3-61E180C76195}" name="H2O">
      <calculatedColumnFormula array="1">Tabella6[[#This Row],[H3O+]]-Tabella5[H3O+]</calculatedColumnFormula>
    </tableColumn>
    <tableColumn id="3" xr3:uid="{09238175-2C24-4328-B877-3D0DCA0FA9EE}" name="CH3CO2− ">
      <calculatedColumnFormula array="1">Tabella6[[#This Row],[H2SO4]]-Tabella5[H2SO4]</calculatedColumnFormula>
    </tableColumn>
    <tableColumn id="4" xr3:uid="{324BD1B6-C9A0-45E0-862A-81883F8437EC}" name="H3O+">
      <calculatedColumnFormula array="1">Tabella6[[#This Row],[H2O]]-Tabella5[H2O]</calculatedColumnFormula>
    </tableColumn>
  </tableColumns>
  <tableStyleInfo name="TableStyleLight1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.xml"/><Relationship Id="rId2" Type="http://schemas.openxmlformats.org/officeDocument/2006/relationships/table" Target="../tables/table3.xml"/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table" Target="../tables/table10.xml"/><Relationship Id="rId3" Type="http://schemas.openxmlformats.org/officeDocument/2006/relationships/table" Target="../tables/table5.xml"/><Relationship Id="rId7" Type="http://schemas.openxmlformats.org/officeDocument/2006/relationships/table" Target="../tables/table9.x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.bin"/><Relationship Id="rId6" Type="http://schemas.openxmlformats.org/officeDocument/2006/relationships/table" Target="../tables/table8.xml"/><Relationship Id="rId11" Type="http://schemas.openxmlformats.org/officeDocument/2006/relationships/table" Target="../tables/table13.xml"/><Relationship Id="rId5" Type="http://schemas.openxmlformats.org/officeDocument/2006/relationships/table" Target="../tables/table7.xml"/><Relationship Id="rId10" Type="http://schemas.openxmlformats.org/officeDocument/2006/relationships/table" Target="../tables/table12.xml"/><Relationship Id="rId4" Type="http://schemas.openxmlformats.org/officeDocument/2006/relationships/table" Target="../tables/table6.xml"/><Relationship Id="rId9" Type="http://schemas.openxmlformats.org/officeDocument/2006/relationships/table" Target="../tables/table1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://pogorelov.scs.illinois.edu/wp-content/uploads/2019/09/pKa_Estimations_Tutorial_web.pdf" TargetMode="Externa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table" Target="../tables/table20.xml"/><Relationship Id="rId3" Type="http://schemas.openxmlformats.org/officeDocument/2006/relationships/table" Target="../tables/table15.xml"/><Relationship Id="rId7" Type="http://schemas.openxmlformats.org/officeDocument/2006/relationships/table" Target="../tables/table19.xml"/><Relationship Id="rId2" Type="http://schemas.openxmlformats.org/officeDocument/2006/relationships/table" Target="../tables/table14.xml"/><Relationship Id="rId1" Type="http://schemas.openxmlformats.org/officeDocument/2006/relationships/drawing" Target="../drawings/drawing4.xml"/><Relationship Id="rId6" Type="http://schemas.openxmlformats.org/officeDocument/2006/relationships/table" Target="../tables/table18.xml"/><Relationship Id="rId5" Type="http://schemas.openxmlformats.org/officeDocument/2006/relationships/table" Target="../tables/table17.xml"/><Relationship Id="rId10" Type="http://schemas.openxmlformats.org/officeDocument/2006/relationships/table" Target="../tables/table22.xml"/><Relationship Id="rId4" Type="http://schemas.openxmlformats.org/officeDocument/2006/relationships/table" Target="../tables/table16.xml"/><Relationship Id="rId9" Type="http://schemas.openxmlformats.org/officeDocument/2006/relationships/table" Target="../tables/table2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4:M46"/>
  <sheetViews>
    <sheetView topLeftCell="A9" workbookViewId="0">
      <selection activeCell="H18" sqref="H18"/>
    </sheetView>
  </sheetViews>
  <sheetFormatPr defaultRowHeight="14.4" x14ac:dyDescent="0.3"/>
  <cols>
    <col min="1" max="1" width="8" customWidth="1"/>
    <col min="2" max="2" width="22.21875" customWidth="1"/>
    <col min="3" max="3" width="15.5546875" bestFit="1" customWidth="1"/>
    <col min="4" max="4" width="13.33203125" bestFit="1" customWidth="1"/>
    <col min="5" max="5" width="14.33203125" bestFit="1" customWidth="1"/>
    <col min="6" max="6" width="18.21875" customWidth="1"/>
    <col min="7" max="7" width="13.6640625" customWidth="1"/>
    <col min="8" max="8" width="17.44140625" customWidth="1"/>
    <col min="9" max="9" width="16.5546875" customWidth="1"/>
    <col min="10" max="10" width="18.5546875" customWidth="1"/>
    <col min="12" max="12" width="17.88671875" customWidth="1"/>
    <col min="13" max="13" width="18.88671875" customWidth="1"/>
  </cols>
  <sheetData>
    <row r="4" spans="2:13" ht="15" thickBot="1" x14ac:dyDescent="0.35"/>
    <row r="5" spans="2:13" ht="15" thickBot="1" x14ac:dyDescent="0.35">
      <c r="B5" s="1"/>
      <c r="C5" s="2" t="s">
        <v>0</v>
      </c>
      <c r="D5" s="2" t="s">
        <v>1</v>
      </c>
      <c r="E5" s="2" t="s">
        <v>2</v>
      </c>
      <c r="F5" s="2" t="s">
        <v>3</v>
      </c>
      <c r="G5" s="3" t="s">
        <v>4</v>
      </c>
      <c r="I5" s="12" t="s">
        <v>7</v>
      </c>
      <c r="J5" s="13" t="s">
        <v>8</v>
      </c>
      <c r="K5" s="1"/>
      <c r="L5" s="14" t="s">
        <v>9</v>
      </c>
      <c r="M5" s="15" t="s">
        <v>12</v>
      </c>
    </row>
    <row r="6" spans="2:13" ht="15" thickBot="1" x14ac:dyDescent="0.35">
      <c r="B6" s="4" t="s">
        <v>5</v>
      </c>
      <c r="C6" s="6">
        <f>-40.5261383253</f>
        <v>-40.526138325300003</v>
      </c>
      <c r="D6" s="6">
        <f>-0.500272784191</f>
        <v>-0.50027278419099996</v>
      </c>
      <c r="E6" s="6">
        <f>-39.8473344049</f>
        <v>-39.847334404900003</v>
      </c>
      <c r="F6" s="6">
        <f>-1.17853932535</f>
        <v>-1.1785393253500001</v>
      </c>
      <c r="G6" s="7">
        <f>-41.0117966917</f>
        <v>-41.011796691699999</v>
      </c>
      <c r="I6" s="16">
        <f>G6+G8-(C6+C8+D6)</f>
        <v>1.2665417791005495E-2</v>
      </c>
      <c r="J6" s="17">
        <f>I6*627.5</f>
        <v>7.9475496638559484</v>
      </c>
      <c r="K6" s="1"/>
      <c r="L6" s="16">
        <f>G6+G8-(E6+E8+F6+F8)</f>
        <v>1.6925038550006377E-2</v>
      </c>
      <c r="M6" s="18">
        <f>627.5*L6</f>
        <v>10.620461690129002</v>
      </c>
    </row>
    <row r="7" spans="2:13" x14ac:dyDescent="0.3">
      <c r="B7" s="1"/>
      <c r="C7" s="8" t="s">
        <v>0</v>
      </c>
      <c r="D7" s="8" t="s">
        <v>1</v>
      </c>
      <c r="E7" s="8" t="s">
        <v>2</v>
      </c>
      <c r="F7" s="8" t="s">
        <v>3</v>
      </c>
      <c r="G7" s="9" t="s">
        <v>4</v>
      </c>
      <c r="I7" s="1"/>
      <c r="J7" s="12" t="s">
        <v>11</v>
      </c>
      <c r="K7" s="1"/>
      <c r="L7" s="1"/>
      <c r="M7" s="12" t="s">
        <v>10</v>
      </c>
    </row>
    <row r="8" spans="2:13" ht="15" thickBot="1" x14ac:dyDescent="0.35">
      <c r="B8" s="5" t="s">
        <v>6</v>
      </c>
      <c r="C8" s="10">
        <f>0.044785</f>
        <v>4.4784999999999998E-2</v>
      </c>
      <c r="D8" s="10">
        <v>0</v>
      </c>
      <c r="E8" s="10">
        <f>0.029819</f>
        <v>2.9818999999999998E-2</v>
      </c>
      <c r="F8" s="10">
        <f>0.010169</f>
        <v>1.0168999999999999E-2</v>
      </c>
      <c r="G8" s="11">
        <f>0.042836</f>
        <v>4.2835999999999999E-2</v>
      </c>
      <c r="I8" s="19"/>
      <c r="J8" s="20">
        <f>J6*4.184</f>
        <v>33.252547793573292</v>
      </c>
      <c r="K8" s="1"/>
      <c r="L8" s="1"/>
      <c r="M8" s="20">
        <f>M6*4.184</f>
        <v>44.436011711499745</v>
      </c>
    </row>
    <row r="12" spans="2:13" x14ac:dyDescent="0.3">
      <c r="E12" t="s">
        <v>15</v>
      </c>
      <c r="F12" t="s">
        <v>14</v>
      </c>
      <c r="G12" t="s">
        <v>16</v>
      </c>
      <c r="I12" t="s">
        <v>31</v>
      </c>
    </row>
    <row r="13" spans="2:13" x14ac:dyDescent="0.3">
      <c r="E13">
        <v>300</v>
      </c>
      <c r="F13" s="21">
        <f>3.899904</f>
        <v>3.8999039999999998</v>
      </c>
      <c r="G13" s="21">
        <f>4.395894</f>
        <v>4.3958940000000002</v>
      </c>
      <c r="H13" t="s">
        <v>13</v>
      </c>
      <c r="I13" t="s">
        <v>32</v>
      </c>
    </row>
    <row r="14" spans="2:13" x14ac:dyDescent="0.3">
      <c r="E14">
        <v>400</v>
      </c>
      <c r="F14" s="21">
        <f>2.032462</f>
        <v>2.0324620000000002</v>
      </c>
      <c r="G14" s="21">
        <f>2.222924</f>
        <v>2.2229239999999999</v>
      </c>
      <c r="H14" t="s">
        <v>13</v>
      </c>
      <c r="I14" t="s">
        <v>33</v>
      </c>
    </row>
    <row r="15" spans="2:13" x14ac:dyDescent="0.3">
      <c r="E15">
        <v>500</v>
      </c>
      <c r="F15" s="21">
        <f>1.550385</f>
        <v>1.5503849999999999</v>
      </c>
      <c r="G15" s="21">
        <f>1.663794</f>
        <v>1.663794</v>
      </c>
      <c r="H15" t="s">
        <v>13</v>
      </c>
      <c r="I15" t="s">
        <v>34</v>
      </c>
    </row>
    <row r="16" spans="2:13" x14ac:dyDescent="0.3">
      <c r="E16">
        <v>600</v>
      </c>
      <c r="F16" s="21">
        <f>1.347853</f>
        <v>1.347853</v>
      </c>
      <c r="G16" s="21">
        <f>1.42849</f>
        <v>1.42849</v>
      </c>
      <c r="H16" t="s">
        <v>13</v>
      </c>
      <c r="I16" t="s">
        <v>35</v>
      </c>
    </row>
    <row r="17" spans="2:13" x14ac:dyDescent="0.3">
      <c r="E17">
        <v>700</v>
      </c>
      <c r="F17" s="21">
        <f>1.240899</f>
        <v>1.240899</v>
      </c>
      <c r="G17" s="21">
        <f>1.304276</f>
        <v>1.304276</v>
      </c>
      <c r="H17" t="s">
        <v>13</v>
      </c>
    </row>
    <row r="18" spans="2:13" x14ac:dyDescent="0.3">
      <c r="E18">
        <v>800</v>
      </c>
      <c r="F18" s="21">
        <f>1.176008</f>
        <v>1.1760079999999999</v>
      </c>
      <c r="G18" s="21">
        <f>1.229581</f>
        <v>1.229581</v>
      </c>
      <c r="H18" s="23" t="s">
        <v>13</v>
      </c>
    </row>
    <row r="19" spans="2:13" x14ac:dyDescent="0.3">
      <c r="E19">
        <v>900</v>
      </c>
      <c r="F19" s="21">
        <f>1.132536</f>
        <v>1.132536</v>
      </c>
      <c r="G19" s="21">
        <f>1.180687</f>
        <v>1.180687</v>
      </c>
      <c r="H19" t="s">
        <v>13</v>
      </c>
    </row>
    <row r="20" spans="2:13" x14ac:dyDescent="0.3">
      <c r="E20">
        <v>1000</v>
      </c>
      <c r="F20" s="21">
        <f>1.101052</f>
        <v>1.1010519999999999</v>
      </c>
      <c r="G20" s="21">
        <f>1.146706</f>
        <v>1.146706</v>
      </c>
      <c r="H20" t="s">
        <v>13</v>
      </c>
    </row>
    <row r="21" spans="2:13" x14ac:dyDescent="0.3">
      <c r="E21">
        <v>1100</v>
      </c>
      <c r="F21" s="21">
        <f>1.076747</f>
        <v>1.0767469999999999</v>
      </c>
      <c r="G21" s="21">
        <f>1.12201</f>
        <v>1.12201</v>
      </c>
      <c r="H21" t="s">
        <v>13</v>
      </c>
    </row>
    <row r="22" spans="2:13" x14ac:dyDescent="0.3">
      <c r="E22">
        <v>1200</v>
      </c>
      <c r="F22" s="21">
        <f>1.056972</f>
        <v>1.056972</v>
      </c>
      <c r="G22" s="21">
        <f>1.10343</f>
        <v>1.1034299999999999</v>
      </c>
    </row>
    <row r="29" spans="2:13" ht="15" thickBot="1" x14ac:dyDescent="0.35"/>
    <row r="30" spans="2:13" ht="15" thickBot="1" x14ac:dyDescent="0.35">
      <c r="B30" s="1"/>
      <c r="C30" s="2" t="s">
        <v>17</v>
      </c>
      <c r="D30" s="2" t="s">
        <v>1</v>
      </c>
      <c r="E30" s="2" t="s">
        <v>18</v>
      </c>
      <c r="F30" s="2" t="s">
        <v>3</v>
      </c>
      <c r="G30" s="3" t="s">
        <v>4</v>
      </c>
      <c r="I30" s="12" t="s">
        <v>7</v>
      </c>
      <c r="J30" s="13" t="s">
        <v>8</v>
      </c>
      <c r="K30" s="1"/>
      <c r="L30" s="14" t="s">
        <v>9</v>
      </c>
      <c r="M30" s="15" t="s">
        <v>12</v>
      </c>
    </row>
    <row r="31" spans="2:13" ht="15" thickBot="1" x14ac:dyDescent="0.35">
      <c r="B31" s="4" t="s">
        <v>5</v>
      </c>
      <c r="C31" s="6">
        <f>-56.5669846091</f>
        <v>-56.566984609099997</v>
      </c>
      <c r="D31" s="6">
        <f>-0.500272784191</f>
        <v>-0.50027278419099996</v>
      </c>
      <c r="E31" s="6">
        <f>-55.8854470595</f>
        <v>-55.885447059500002</v>
      </c>
      <c r="F31" s="6">
        <f>-1.17853932535</f>
        <v>-1.1785393253500001</v>
      </c>
      <c r="G31" s="7">
        <f>-57.0531435624</f>
        <v>-57.053143562400003</v>
      </c>
      <c r="I31" s="16">
        <f>G31+G33-(C31+C33+D31)</f>
        <v>1.1696830890990384E-2</v>
      </c>
      <c r="J31" s="17">
        <f>I31*627.5</f>
        <v>7.3397613840964659</v>
      </c>
      <c r="K31" s="1"/>
      <c r="L31" s="16">
        <f>G31+G33-(E31+E33+F31+F33)</f>
        <v>1.3659822450001968E-2</v>
      </c>
      <c r="M31" s="18">
        <f>627.5*L31</f>
        <v>8.5715385873762351</v>
      </c>
    </row>
    <row r="32" spans="2:13" x14ac:dyDescent="0.3">
      <c r="B32" s="1"/>
      <c r="C32" s="8" t="s">
        <v>17</v>
      </c>
      <c r="D32" s="8" t="s">
        <v>1</v>
      </c>
      <c r="E32" s="8" t="s">
        <v>18</v>
      </c>
      <c r="F32" s="8" t="s">
        <v>3</v>
      </c>
      <c r="G32" s="9" t="s">
        <v>4</v>
      </c>
      <c r="I32" s="1"/>
      <c r="J32" s="12" t="s">
        <v>11</v>
      </c>
      <c r="K32" s="1"/>
      <c r="L32" s="1"/>
      <c r="M32" s="12" t="s">
        <v>10</v>
      </c>
    </row>
    <row r="33" spans="2:13" ht="15" thickBot="1" x14ac:dyDescent="0.35">
      <c r="B33" s="5" t="s">
        <v>6</v>
      </c>
      <c r="C33" s="10">
        <f>0.034371</f>
        <v>3.4370999999999999E-2</v>
      </c>
      <c r="D33" s="10">
        <v>0</v>
      </c>
      <c r="E33" s="10">
        <f>0.018968</f>
        <v>1.8967999999999999E-2</v>
      </c>
      <c r="F33" s="10">
        <f>0.010169</f>
        <v>1.0168999999999999E-2</v>
      </c>
      <c r="G33" s="11">
        <f>0.031954</f>
        <v>3.1954000000000003E-2</v>
      </c>
      <c r="I33" s="19"/>
      <c r="J33" s="20">
        <f>J31*4.184</f>
        <v>30.709561631059614</v>
      </c>
      <c r="K33" s="1"/>
      <c r="L33" s="1"/>
      <c r="M33" s="20">
        <f>M31*4.184</f>
        <v>35.863317449582169</v>
      </c>
    </row>
    <row r="36" spans="2:13" x14ac:dyDescent="0.3">
      <c r="F36" t="s">
        <v>19</v>
      </c>
      <c r="G36" t="s">
        <v>20</v>
      </c>
      <c r="H36" t="s">
        <v>21</v>
      </c>
    </row>
    <row r="37" spans="2:13" x14ac:dyDescent="0.3">
      <c r="F37">
        <v>300</v>
      </c>
      <c r="G37">
        <v>4.5080229999999997</v>
      </c>
      <c r="H37">
        <v>5.2393049999999999</v>
      </c>
      <c r="I37" t="s">
        <v>13</v>
      </c>
    </row>
    <row r="38" spans="2:13" x14ac:dyDescent="0.3">
      <c r="F38">
        <v>400</v>
      </c>
      <c r="G38">
        <v>2.203093</v>
      </c>
      <c r="H38">
        <v>2.4707050000000002</v>
      </c>
      <c r="I38" t="s">
        <v>13</v>
      </c>
    </row>
    <row r="39" spans="2:13" x14ac:dyDescent="0.3">
      <c r="F39">
        <v>500</v>
      </c>
      <c r="G39">
        <v>1.6311709999999999</v>
      </c>
      <c r="H39">
        <v>1.7868550000000001</v>
      </c>
      <c r="I39" t="s">
        <v>13</v>
      </c>
    </row>
    <row r="40" spans="2:13" x14ac:dyDescent="0.3">
      <c r="F40">
        <v>600</v>
      </c>
      <c r="G40">
        <v>1.395554</v>
      </c>
      <c r="H40">
        <v>1.504961</v>
      </c>
      <c r="I40" t="s">
        <v>13</v>
      </c>
    </row>
    <row r="41" spans="2:13" x14ac:dyDescent="0.3">
      <c r="F41">
        <v>700</v>
      </c>
      <c r="G41">
        <v>1.2723169999999999</v>
      </c>
      <c r="H41">
        <v>1.3578110000000001</v>
      </c>
      <c r="I41" t="s">
        <v>13</v>
      </c>
    </row>
    <row r="42" spans="2:13" x14ac:dyDescent="0.3">
      <c r="F42">
        <v>800</v>
      </c>
      <c r="G42">
        <v>1.1978420000000001</v>
      </c>
      <c r="H42">
        <v>1.269887</v>
      </c>
      <c r="I42" t="s">
        <v>13</v>
      </c>
    </row>
    <row r="43" spans="2:13" x14ac:dyDescent="0.3">
      <c r="F43">
        <v>900</v>
      </c>
      <c r="G43">
        <v>1.147986</v>
      </c>
      <c r="H43">
        <v>1.212545</v>
      </c>
      <c r="I43" t="s">
        <v>13</v>
      </c>
    </row>
    <row r="44" spans="2:13" x14ac:dyDescent="0.3">
      <c r="F44">
        <v>1000</v>
      </c>
      <c r="G44">
        <v>1.111861</v>
      </c>
      <c r="H44">
        <v>1.172777</v>
      </c>
      <c r="I44" t="s">
        <v>13</v>
      </c>
    </row>
    <row r="45" spans="2:13" x14ac:dyDescent="0.3">
      <c r="F45">
        <v>1100</v>
      </c>
      <c r="G45">
        <v>1.083966</v>
      </c>
      <c r="H45">
        <v>1.143907</v>
      </c>
      <c r="I45" t="s">
        <v>13</v>
      </c>
    </row>
    <row r="46" spans="2:13" x14ac:dyDescent="0.3">
      <c r="F46">
        <v>1200</v>
      </c>
      <c r="G46">
        <v>1.061291</v>
      </c>
      <c r="H46">
        <v>1.122196</v>
      </c>
      <c r="I46" t="s">
        <v>13</v>
      </c>
    </row>
  </sheetData>
  <pageMargins left="0.7" right="0.7" top="0.75" bottom="0.75" header="0.3" footer="0.3"/>
  <drawing r:id="rId1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F09530-ADD8-4D47-87F3-3C388735A6C7}">
  <dimension ref="B5:I20"/>
  <sheetViews>
    <sheetView topLeftCell="A7" workbookViewId="0">
      <selection activeCell="E18" sqref="E18"/>
    </sheetView>
  </sheetViews>
  <sheetFormatPr defaultRowHeight="14.4" x14ac:dyDescent="0.3"/>
  <cols>
    <col min="3" max="4" width="10.6640625" customWidth="1"/>
    <col min="5" max="5" width="11.44140625" customWidth="1"/>
    <col min="6" max="6" width="17.44140625" customWidth="1"/>
    <col min="7" max="7" width="15.109375" customWidth="1"/>
    <col min="8" max="8" width="15" customWidth="1"/>
  </cols>
  <sheetData>
    <row r="5" spans="2:9" x14ac:dyDescent="0.3">
      <c r="B5" t="s">
        <v>23</v>
      </c>
    </row>
    <row r="6" spans="2:9" x14ac:dyDescent="0.3">
      <c r="B6" t="s">
        <v>22</v>
      </c>
    </row>
    <row r="8" spans="2:9" x14ac:dyDescent="0.3">
      <c r="I8" s="23"/>
    </row>
    <row r="10" spans="2:9" x14ac:dyDescent="0.3">
      <c r="C10" t="s">
        <v>26</v>
      </c>
      <c r="D10" t="s">
        <v>24</v>
      </c>
      <c r="E10" t="s">
        <v>25</v>
      </c>
      <c r="F10" t="s">
        <v>29</v>
      </c>
      <c r="G10" t="s">
        <v>30</v>
      </c>
      <c r="H10" t="s">
        <v>36</v>
      </c>
    </row>
    <row r="11" spans="2:9" x14ac:dyDescent="0.3">
      <c r="C11" t="s">
        <v>27</v>
      </c>
      <c r="D11" s="22">
        <f>-115.126559528</f>
        <v>-115.126559528</v>
      </c>
      <c r="E11" s="22">
        <f>-115.04174247</f>
        <v>-115.04174247</v>
      </c>
      <c r="F11" s="22">
        <f>Tabella3[[#This Row],[E solv]]-Tabella3[[#This Row],[E gas]]</f>
        <v>8.4817057999998724E-2</v>
      </c>
      <c r="G11">
        <f>Tabella3[[#This Row],[DeltaG '[Hartree']]]*627.5</f>
        <v>53.222703894999199</v>
      </c>
      <c r="H11" s="22">
        <f>Tabella3[[#This Row],[DeltaG '[Hartree']]]*2625.5</f>
        <v>222.68718577899665</v>
      </c>
    </row>
    <row r="12" spans="2:9" x14ac:dyDescent="0.3">
      <c r="C12" t="s">
        <v>28</v>
      </c>
      <c r="D12" s="22">
        <f>-150.973342648</f>
        <v>-150.973342648</v>
      </c>
      <c r="E12" s="22">
        <f>-151.109355542</f>
        <v>-151.109355542</v>
      </c>
      <c r="F12" s="22">
        <f>Tabella3[[#This Row],[E solv]]-Tabella3[[#This Row],[E gas]]</f>
        <v>-0.13601289400000383</v>
      </c>
      <c r="G12">
        <f>Tabella3[[#This Row],[DeltaG '[Hartree']]]*627.5</f>
        <v>-85.348090985002401</v>
      </c>
      <c r="H12" s="22">
        <f>Tabella3[[#This Row],[DeltaG '[Hartree']]]*2625.5</f>
        <v>-357.10185319701003</v>
      </c>
    </row>
    <row r="13" spans="2:9" x14ac:dyDescent="0.3">
      <c r="C13" t="s">
        <v>18</v>
      </c>
      <c r="D13" s="22">
        <f>-55.9180537704</f>
        <v>-55.9180537704</v>
      </c>
      <c r="E13" s="22">
        <f>-56.0382083441</f>
        <v>-56.038208344099999</v>
      </c>
      <c r="F13" s="22">
        <f>Tabella3[[#This Row],[E solv]]-Tabella3[[#This Row],[E gas]]</f>
        <v>-0.12015457369999893</v>
      </c>
      <c r="G13">
        <f>Tabella3[[#This Row],[DeltaG '[Hartree']]]*627.5</f>
        <v>-75.396994996749328</v>
      </c>
      <c r="H13" s="22">
        <f>Tabella3[[#This Row],[DeltaG '[Hartree']]]*2625.5</f>
        <v>-315.46583324934721</v>
      </c>
    </row>
    <row r="17" spans="3:8" x14ac:dyDescent="0.3">
      <c r="C17" t="s">
        <v>26</v>
      </c>
      <c r="D17" t="s">
        <v>24</v>
      </c>
      <c r="E17" t="s">
        <v>25</v>
      </c>
      <c r="F17" t="s">
        <v>29</v>
      </c>
      <c r="G17" t="s">
        <v>30</v>
      </c>
      <c r="H17" t="s">
        <v>36</v>
      </c>
    </row>
    <row r="18" spans="3:8" x14ac:dyDescent="0.3">
      <c r="C18" t="s">
        <v>27</v>
      </c>
      <c r="D18" s="22">
        <f>-115.115518512</f>
        <v>-115.11551851199999</v>
      </c>
      <c r="E18" s="22">
        <f>-115.245535865</f>
        <v>-115.24553586499999</v>
      </c>
      <c r="F18" s="22">
        <f>Tabella35[[#This Row],[E solv]]-Tabella35[[#This Row],[E gas]]</f>
        <v>-0.1300173529999995</v>
      </c>
      <c r="G18">
        <f>Tabella35[[#This Row],[DeltaG '[Hartree']]]*627.5</f>
        <v>-81.585889007499688</v>
      </c>
      <c r="H18" s="22">
        <f>Tabella35[[#This Row],[DeltaG '[Hartree']]]*2625.5</f>
        <v>-341.36056030149871</v>
      </c>
    </row>
    <row r="19" spans="3:8" x14ac:dyDescent="0.3">
      <c r="C19" t="s">
        <v>28</v>
      </c>
      <c r="D19" s="22">
        <f>-150.952115377</f>
        <v>-150.95211537700001</v>
      </c>
      <c r="E19" s="22">
        <f>-151.094261285</f>
        <v>-151.09426128499999</v>
      </c>
      <c r="F19" s="22">
        <f>Tabella35[[#This Row],[E solv]]-Tabella35[[#This Row],[E gas]]</f>
        <v>-0.14214590799997495</v>
      </c>
      <c r="G19">
        <f>Tabella35[[#This Row],[DeltaG '[Hartree']]]*627.5</f>
        <v>-89.196557269984282</v>
      </c>
      <c r="H19" s="22">
        <f>Tabella35[[#This Row],[DeltaG '[Hartree']]]*2625.5</f>
        <v>-373.20408145393424</v>
      </c>
    </row>
    <row r="20" spans="3:8" x14ac:dyDescent="0.3">
      <c r="C20" t="s">
        <v>18</v>
      </c>
      <c r="D20" s="22">
        <f>-55.9092515144</f>
        <v>-55.909251514399998</v>
      </c>
      <c r="E20" s="22">
        <f>-56.0358230596</f>
        <v>-56.035823059599998</v>
      </c>
      <c r="F20" s="22">
        <f>Tabella35[[#This Row],[E solv]]-Tabella35[[#This Row],[E gas]]</f>
        <v>-0.12657154520000091</v>
      </c>
      <c r="G20">
        <f>Tabella35[[#This Row],[DeltaG '[Hartree']]]*627.5</f>
        <v>-79.423644613000576</v>
      </c>
      <c r="H20" s="22">
        <f>Tabella35[[#This Row],[DeltaG '[Hartree']]]*2625.5</f>
        <v>-332.31359192260237</v>
      </c>
    </row>
  </sheetData>
  <pageMargins left="0.7" right="0.7" top="0.75" bottom="0.75" header="0.3" footer="0.3"/>
  <drawing r:id="rId1"/>
  <tableParts count="2">
    <tablePart r:id="rId2"/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208C8D-35CC-4410-89E6-D5D22CD8A8F3}">
  <dimension ref="A17:N51"/>
  <sheetViews>
    <sheetView tabSelected="1" topLeftCell="A16" workbookViewId="0">
      <selection activeCell="B31" sqref="B31"/>
    </sheetView>
  </sheetViews>
  <sheetFormatPr defaultRowHeight="14.4" x14ac:dyDescent="0.3"/>
  <cols>
    <col min="1" max="1" width="18.5546875" customWidth="1"/>
    <col min="2" max="5" width="10.6640625" customWidth="1"/>
    <col min="6" max="6" width="16.77734375" customWidth="1"/>
    <col min="7" max="8" width="11.44140625" customWidth="1"/>
    <col min="10" max="10" width="20.109375" customWidth="1"/>
    <col min="11" max="11" width="18.88671875" customWidth="1"/>
    <col min="12" max="12" width="17.6640625" customWidth="1"/>
    <col min="13" max="13" width="17.77734375" customWidth="1"/>
    <col min="14" max="14" width="16.44140625" customWidth="1"/>
  </cols>
  <sheetData>
    <row r="17" spans="1:13" x14ac:dyDescent="0.3">
      <c r="B17" t="s">
        <v>40</v>
      </c>
      <c r="J17" t="s">
        <v>41</v>
      </c>
    </row>
    <row r="18" spans="1:13" x14ac:dyDescent="0.3">
      <c r="B18" t="s">
        <v>37</v>
      </c>
      <c r="C18" t="s">
        <v>38</v>
      </c>
      <c r="D18" t="s">
        <v>39</v>
      </c>
      <c r="E18" t="s">
        <v>44</v>
      </c>
      <c r="F18" t="s">
        <v>45</v>
      </c>
      <c r="G18" t="s">
        <v>46</v>
      </c>
      <c r="H18" t="s">
        <v>47</v>
      </c>
    </row>
    <row r="19" spans="1:13" x14ac:dyDescent="0.3">
      <c r="A19" t="s">
        <v>42</v>
      </c>
      <c r="B19" s="22">
        <f>-700.096991</f>
        <v>-700.096991</v>
      </c>
      <c r="C19" s="22">
        <f>-76.430401</f>
        <v>-76.430401000000003</v>
      </c>
      <c r="D19" s="22">
        <f>-76.692615</f>
        <v>-76.692615000000004</v>
      </c>
      <c r="E19" s="22">
        <f>-699.581562</f>
        <v>-699.58156199999996</v>
      </c>
      <c r="F19" s="22">
        <f>Tabella5[[#This Row],[HSO4-]]+Tabella5[[#This Row],[H3O+]]-Tabella5[[#This Row],[H2O]]-Tabella5[[#This Row],[H2SO4]]</f>
        <v>0.25321499999995467</v>
      </c>
      <c r="G19" s="22">
        <f>Tabella5[[#This Row],[DeltaG reaz '[hartree']]]*627.5</f>
        <v>158.89241249997156</v>
      </c>
      <c r="H19" s="22">
        <f>Tabella5[[#This Row],[DeltaG reaz '[hartree']]]*2625.5</f>
        <v>664.81598249988099</v>
      </c>
    </row>
    <row r="23" spans="1:13" x14ac:dyDescent="0.3">
      <c r="B23" s="22"/>
      <c r="C23" s="22"/>
      <c r="D23" s="22"/>
      <c r="E23" s="22"/>
      <c r="F23" s="22"/>
      <c r="G23" s="22"/>
      <c r="H23" s="22"/>
    </row>
    <row r="26" spans="1:13" x14ac:dyDescent="0.3">
      <c r="B26" t="s">
        <v>43</v>
      </c>
    </row>
    <row r="27" spans="1:13" x14ac:dyDescent="0.3">
      <c r="B27" t="s">
        <v>37</v>
      </c>
      <c r="C27" t="s">
        <v>38</v>
      </c>
      <c r="D27" t="s">
        <v>39</v>
      </c>
      <c r="E27" t="s">
        <v>44</v>
      </c>
      <c r="J27" t="s">
        <v>51</v>
      </c>
      <c r="K27" t="s">
        <v>48</v>
      </c>
      <c r="L27" t="s">
        <v>49</v>
      </c>
      <c r="M27" t="s">
        <v>50</v>
      </c>
    </row>
    <row r="28" spans="1:13" x14ac:dyDescent="0.3">
      <c r="A28" t="s">
        <v>42</v>
      </c>
      <c r="B28">
        <f>-700.115015</f>
        <v>-700.11501499999997</v>
      </c>
      <c r="C28">
        <f>-76.444714</f>
        <v>-76.444714000000005</v>
      </c>
      <c r="D28">
        <f>-76.846485</f>
        <v>-76.846485000000001</v>
      </c>
      <c r="E28">
        <f>-699.686111</f>
        <v>-699.68611099999998</v>
      </c>
      <c r="I28" t="s">
        <v>53</v>
      </c>
      <c r="J28" s="22" cm="1">
        <f t="array" ref="J28">Tabella6[[#This Row],[HSO4-]]-Tabella5[HSO4-]</f>
        <v>-0.10454900000001999</v>
      </c>
      <c r="K28" s="22" cm="1">
        <f t="array" ref="K28">Tabella6[[#This Row],[H3O+]]-Tabella5[H3O+]</f>
        <v>-0.15386999999999773</v>
      </c>
      <c r="L28" s="22" cm="1">
        <f t="array" ref="L28">Tabella6[[#This Row],[H2SO4]]-Tabella5[H2SO4]</f>
        <v>-1.802399999996851E-2</v>
      </c>
      <c r="M28" s="22" cm="1">
        <f t="array" ref="M28">Tabella6[[#This Row],[H2O]]-Tabella5[H2O]</f>
        <v>-1.4313000000001352E-2</v>
      </c>
    </row>
    <row r="29" spans="1:13" x14ac:dyDescent="0.3">
      <c r="I29" t="s">
        <v>52</v>
      </c>
      <c r="J29" s="22" cm="1">
        <f t="array" ref="J29">(Tabella6[HSO4-]-Tabella5[HSO4-])*627.5</f>
        <v>-65.604497500012542</v>
      </c>
      <c r="K29" s="22" cm="1">
        <f t="array" ref="K29">(Tabella6[H3O+]-Tabella5[H3O+])*627.5</f>
        <v>-96.553424999998583</v>
      </c>
      <c r="L29" s="22" cm="1">
        <f t="array" ref="L29">(Tabella6[H2SO4]-Tabella5[H2SO4])*627.5</f>
        <v>-11.31005999998024</v>
      </c>
      <c r="M29" s="22" cm="1">
        <f t="array" ref="M29">(Tabella6[H2O]-Tabella5[H2O])*627.5</f>
        <v>-8.9814075000008486</v>
      </c>
    </row>
    <row r="30" spans="1:13" ht="15" thickBot="1" x14ac:dyDescent="0.35">
      <c r="B30" t="s">
        <v>96</v>
      </c>
    </row>
    <row r="31" spans="1:13" ht="15" thickBot="1" x14ac:dyDescent="0.35">
      <c r="H31" s="26" t="s">
        <v>55</v>
      </c>
      <c r="J31" s="28" t="s">
        <v>54</v>
      </c>
      <c r="L31" s="30" t="s">
        <v>56</v>
      </c>
    </row>
    <row r="32" spans="1:13" x14ac:dyDescent="0.3">
      <c r="H32" s="27">
        <v>1.9870000000000001E-3</v>
      </c>
      <c r="J32" s="29" cm="1">
        <f t="array" ref="J32">Tabella5['[kcal/mol']]+K29+J29-L29-M29</f>
        <v>17.025957499941519</v>
      </c>
      <c r="L32" s="32">
        <f>J32/(2.3*H32*298) - 4.54</f>
        <v>7.9617145292824132</v>
      </c>
    </row>
    <row r="34" spans="1:14" x14ac:dyDescent="0.3">
      <c r="B34" t="s">
        <v>40</v>
      </c>
    </row>
    <row r="35" spans="1:14" x14ac:dyDescent="0.3">
      <c r="B35" t="s">
        <v>37</v>
      </c>
      <c r="C35" t="s">
        <v>38</v>
      </c>
      <c r="D35" t="s">
        <v>39</v>
      </c>
      <c r="E35" t="s">
        <v>44</v>
      </c>
      <c r="F35" t="s">
        <v>45</v>
      </c>
      <c r="G35" t="s">
        <v>46</v>
      </c>
      <c r="J35" s="31"/>
    </row>
    <row r="36" spans="1:14" x14ac:dyDescent="0.3">
      <c r="A36" t="s">
        <v>57</v>
      </c>
      <c r="B36" s="22">
        <f>-700.107903473</f>
        <v>-700.10790347299996</v>
      </c>
      <c r="C36" s="22">
        <f>-76.4340474468</f>
        <v>-76.434047446799994</v>
      </c>
      <c r="D36" s="22">
        <f>-76.7077676817</f>
        <v>-76.707767681700005</v>
      </c>
      <c r="E36" s="22">
        <f>-699.57769612</f>
        <v>-699.57769612000004</v>
      </c>
      <c r="F36" s="22">
        <f>Tabella510[[#This Row],[HSO4-]]+Tabella510[[#This Row],[H3O+]]-Tabella510[[#This Row],[H2O]]-Tabella510[[#This Row],[H2SO4]]</f>
        <v>0.25648711809992619</v>
      </c>
      <c r="G36" s="22">
        <f>Tabella510[[#This Row],[DeltaG reaz '[hartree']]]*627.5</f>
        <v>160.94566660770369</v>
      </c>
      <c r="H36" s="22"/>
      <c r="K36" t="s">
        <v>51</v>
      </c>
      <c r="L36" t="s">
        <v>48</v>
      </c>
      <c r="M36" t="s">
        <v>49</v>
      </c>
      <c r="N36" t="s">
        <v>50</v>
      </c>
    </row>
    <row r="37" spans="1:14" x14ac:dyDescent="0.3">
      <c r="B37" t="s">
        <v>43</v>
      </c>
      <c r="J37" t="s">
        <v>53</v>
      </c>
      <c r="K37" s="22" cm="1">
        <f t="array" ref="K37">Tabella611[HSO4-]-Tabella510[HSO4-]</f>
        <v>-0.10471898899993448</v>
      </c>
      <c r="L37" s="22" cm="1">
        <f t="array" ref="L37">Tabella611[H3O+]-Tabella510[H3O+]</f>
        <v>-0.15449242559999732</v>
      </c>
      <c r="M37" s="22" cm="1">
        <f t="array" ref="M37">Tabella611[H2SO4]-Tabella510[H2SO4]</f>
        <v>-1.7609139999990475E-2</v>
      </c>
      <c r="N37" s="22" cm="1">
        <f t="array" ref="N37">Tabella611[H2O]-Tabella510[H2O]</f>
        <v>-1.4008886400006304E-2</v>
      </c>
    </row>
    <row r="38" spans="1:14" x14ac:dyDescent="0.3">
      <c r="B38" t="s">
        <v>37</v>
      </c>
      <c r="C38" t="s">
        <v>38</v>
      </c>
      <c r="D38" t="s">
        <v>39</v>
      </c>
      <c r="E38" t="s">
        <v>44</v>
      </c>
      <c r="J38" t="s">
        <v>52</v>
      </c>
      <c r="K38" s="22">
        <f>K37*627.5</f>
        <v>-65.711165597458887</v>
      </c>
      <c r="L38" s="22">
        <f>L37*627.5</f>
        <v>-96.943997063998324</v>
      </c>
      <c r="M38" s="22">
        <f>M37*627.5</f>
        <v>-11.049735349994023</v>
      </c>
      <c r="N38" s="22">
        <f>N37*627.5</f>
        <v>-8.7905762160039558</v>
      </c>
    </row>
    <row r="39" spans="1:14" ht="15" thickBot="1" x14ac:dyDescent="0.35">
      <c r="A39" t="s">
        <v>57</v>
      </c>
      <c r="B39">
        <f>-700.125512613</f>
        <v>-700.12551261299996</v>
      </c>
      <c r="C39">
        <f>-76.4480563332</f>
        <v>-76.4480563332</v>
      </c>
      <c r="D39">
        <f>-76.8622601073</f>
        <v>-76.862260107300003</v>
      </c>
      <c r="E39">
        <f>-699.682415109</f>
        <v>-699.68241510899998</v>
      </c>
    </row>
    <row r="40" spans="1:14" ht="15" thickBot="1" x14ac:dyDescent="0.35">
      <c r="J40" s="26" t="s">
        <v>55</v>
      </c>
      <c r="L40" s="28" t="s">
        <v>54</v>
      </c>
      <c r="N40" s="30" t="s">
        <v>56</v>
      </c>
    </row>
    <row r="41" spans="1:14" x14ac:dyDescent="0.3">
      <c r="J41" s="27">
        <v>1.9870000000000001E-3</v>
      </c>
      <c r="L41" s="29" cm="1">
        <f t="array" ref="L41">Tabella510['[kcal/mol']]+L38+K38-M38-N38</f>
        <v>18.130815512244453</v>
      </c>
      <c r="N41" s="32">
        <f>L41/(2.3*J41*298)</f>
        <v>13.312982821550213</v>
      </c>
    </row>
    <row r="44" spans="1:14" x14ac:dyDescent="0.3">
      <c r="B44" t="s">
        <v>40</v>
      </c>
    </row>
    <row r="45" spans="1:14" x14ac:dyDescent="0.3">
      <c r="B45" t="s">
        <v>37</v>
      </c>
      <c r="C45" t="s">
        <v>38</v>
      </c>
      <c r="D45" t="s">
        <v>39</v>
      </c>
      <c r="E45" t="s">
        <v>44</v>
      </c>
      <c r="F45" t="s">
        <v>45</v>
      </c>
      <c r="G45" t="s">
        <v>46</v>
      </c>
      <c r="J45" s="31"/>
    </row>
    <row r="46" spans="1:14" x14ac:dyDescent="0.3">
      <c r="A46" s="35" t="s">
        <v>58</v>
      </c>
      <c r="B46" s="22">
        <f>-700.065577</f>
        <v>-700.06557699999996</v>
      </c>
      <c r="C46" s="22">
        <f>-76.409917</f>
        <v>-76.409916999999993</v>
      </c>
      <c r="D46" s="22">
        <f>-76.670538</f>
        <v>-76.670537999999993</v>
      </c>
      <c r="E46" s="22">
        <f>-699.548975</f>
        <v>-699.54897500000004</v>
      </c>
      <c r="F46" s="22">
        <f>Tabella51013[[#This Row],[HSO4-]]+Tabella51013[[#This Row],[H3O+]]-Tabella51013[[#This Row],[H2O]]-Tabella51013[[#This Row],[H2SO4]]</f>
        <v>0.25598099999990609</v>
      </c>
      <c r="G46" s="22">
        <f>Tabella51013[[#This Row],[DeltaG reaz '[hartree']]]*627.5</f>
        <v>160.62807749994107</v>
      </c>
      <c r="H46" s="22"/>
      <c r="K46" t="s">
        <v>51</v>
      </c>
      <c r="L46" t="s">
        <v>48</v>
      </c>
      <c r="M46" t="s">
        <v>49</v>
      </c>
      <c r="N46" t="s">
        <v>50</v>
      </c>
    </row>
    <row r="47" spans="1:14" x14ac:dyDescent="0.3">
      <c r="A47" t="s">
        <v>59</v>
      </c>
      <c r="B47" t="s">
        <v>43</v>
      </c>
      <c r="J47" t="s">
        <v>53</v>
      </c>
      <c r="K47" s="22" cm="1">
        <f t="array" ref="K47">Tabella61114[HSO4-]-Tabella51013[HSO4-]</f>
        <v>-0.10477099999991424</v>
      </c>
      <c r="L47" s="22" cm="1">
        <f t="array" ref="L47">Tabella61114[H3O+]-Tabella51013[H3O+]</f>
        <v>-0.15394200000000069</v>
      </c>
      <c r="M47" s="22" cm="1">
        <f t="array" ref="M47">Tabella61114[H2SO4]-Tabella51013[H2SO4]</f>
        <v>-1.7993000000046777E-2</v>
      </c>
      <c r="N47" s="22" cm="1">
        <f t="array" ref="N47">Tabella61114[H2O]-Tabella51013[H2O]</f>
        <v>-1.4298000000010802E-2</v>
      </c>
    </row>
    <row r="48" spans="1:14" x14ac:dyDescent="0.3">
      <c r="B48" t="s">
        <v>37</v>
      </c>
      <c r="C48" t="s">
        <v>38</v>
      </c>
      <c r="D48" t="s">
        <v>39</v>
      </c>
      <c r="E48" t="s">
        <v>44</v>
      </c>
      <c r="J48" t="s">
        <v>52</v>
      </c>
      <c r="K48" s="22">
        <f>K47*627.5</f>
        <v>-65.743802499946185</v>
      </c>
      <c r="L48" s="22">
        <f>L47*627.5</f>
        <v>-96.598605000000433</v>
      </c>
      <c r="M48" s="22">
        <f>M47*627.5</f>
        <v>-11.290607500029353</v>
      </c>
      <c r="N48" s="22">
        <f>N47*627.5</f>
        <v>-8.9719950000067783</v>
      </c>
    </row>
    <row r="49" spans="1:14" ht="15" thickBot="1" x14ac:dyDescent="0.35">
      <c r="A49" s="35" t="s">
        <v>58</v>
      </c>
      <c r="B49">
        <f>-700.08357</f>
        <v>-700.08357000000001</v>
      </c>
      <c r="C49">
        <f>-76.424215</f>
        <v>-76.424215000000004</v>
      </c>
      <c r="D49">
        <f>-76.82448</f>
        <v>-76.824479999999994</v>
      </c>
      <c r="E49">
        <f>-699.653746</f>
        <v>-699.65374599999996</v>
      </c>
    </row>
    <row r="50" spans="1:14" ht="15" thickBot="1" x14ac:dyDescent="0.35">
      <c r="A50" t="s">
        <v>59</v>
      </c>
      <c r="J50" s="26" t="s">
        <v>55</v>
      </c>
      <c r="L50" s="28" t="s">
        <v>54</v>
      </c>
      <c r="N50" s="30" t="s">
        <v>56</v>
      </c>
    </row>
    <row r="51" spans="1:14" x14ac:dyDescent="0.3">
      <c r="J51" s="27">
        <v>1.9870000000000001E-3</v>
      </c>
      <c r="L51" s="29" cm="1">
        <f t="array" ref="L51">Tabella51013['[kcal/mol']]+L48+K48-M48-N48</f>
        <v>18.548272500030585</v>
      </c>
      <c r="N51" s="32">
        <f>L51/(2.3*J51*298)</f>
        <v>13.619510550729277</v>
      </c>
    </row>
  </sheetData>
  <phoneticPr fontId="5" type="noConversion"/>
  <pageMargins left="0.7" right="0.7" top="0.75" bottom="0.75" header="0.3" footer="0.3"/>
  <pageSetup orientation="portrait" r:id="rId1"/>
  <drawing r:id="rId2"/>
  <tableParts count="9">
    <tablePart r:id="rId3"/>
    <tablePart r:id="rId4"/>
    <tablePart r:id="rId5"/>
    <tablePart r:id="rId6"/>
    <tablePart r:id="rId7"/>
    <tablePart r:id="rId8"/>
    <tablePart r:id="rId9"/>
    <tablePart r:id="rId10"/>
    <tablePart r:id="rId1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2EC671-4AB7-41C7-96C9-6B97A7716ECA}">
  <dimension ref="A1:O22"/>
  <sheetViews>
    <sheetView topLeftCell="A5" workbookViewId="0">
      <selection activeCell="C12" sqref="C12"/>
    </sheetView>
  </sheetViews>
  <sheetFormatPr defaultRowHeight="14.4" x14ac:dyDescent="0.3"/>
  <cols>
    <col min="1" max="1" width="15.44140625" customWidth="1"/>
    <col min="2" max="2" width="19.33203125" customWidth="1"/>
    <col min="3" max="3" width="20.44140625" customWidth="1"/>
    <col min="4" max="4" width="14.77734375" customWidth="1"/>
    <col min="7" max="7" width="15.109375" customWidth="1"/>
    <col min="10" max="10" width="14.77734375" customWidth="1"/>
    <col min="11" max="11" width="14.5546875" customWidth="1"/>
  </cols>
  <sheetData>
    <row r="1" spans="1:15" ht="15" thickBot="1" x14ac:dyDescent="0.35">
      <c r="A1" s="42" t="s">
        <v>66</v>
      </c>
      <c r="B1" s="43" t="s">
        <v>67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15" ht="15" thickBot="1" x14ac:dyDescent="0.3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</row>
    <row r="3" spans="1:15" ht="15" thickBot="1" x14ac:dyDescent="0.35">
      <c r="A3" s="44" t="s">
        <v>40</v>
      </c>
      <c r="B3" s="45" t="s">
        <v>68</v>
      </c>
      <c r="C3" s="44" t="s">
        <v>69</v>
      </c>
      <c r="D3" s="44" t="s">
        <v>70</v>
      </c>
      <c r="E3" s="44" t="s">
        <v>71</v>
      </c>
      <c r="F3" s="44" t="s">
        <v>72</v>
      </c>
      <c r="G3" s="44" t="s">
        <v>73</v>
      </c>
      <c r="H3" s="1"/>
      <c r="I3" s="1"/>
      <c r="J3" s="26" t="s">
        <v>55</v>
      </c>
      <c r="K3" s="46" t="s">
        <v>74</v>
      </c>
      <c r="L3" s="1"/>
      <c r="M3" s="1"/>
      <c r="N3" s="1"/>
      <c r="O3" s="1"/>
    </row>
    <row r="4" spans="1:15" ht="15" thickBot="1" x14ac:dyDescent="0.35">
      <c r="A4" s="47" t="s">
        <v>75</v>
      </c>
      <c r="B4" s="48">
        <f>-229.081589</f>
        <v>-229.08158900000001</v>
      </c>
      <c r="C4" s="49">
        <f>-228.635688</f>
        <v>-228.63568799999999</v>
      </c>
      <c r="D4" s="49">
        <f>-229.081589</f>
        <v>-229.08158900000001</v>
      </c>
      <c r="E4" s="49">
        <f>-228.635688</f>
        <v>-228.63568799999999</v>
      </c>
      <c r="F4" s="49">
        <v>-76.409934000000007</v>
      </c>
      <c r="G4" s="50">
        <v>-76.670539000000005</v>
      </c>
      <c r="H4" s="1"/>
      <c r="I4" s="1"/>
      <c r="J4" s="27">
        <v>1.9870000000000001E-3</v>
      </c>
      <c r="K4" s="51">
        <v>4.54</v>
      </c>
      <c r="L4" s="1"/>
      <c r="M4" s="1"/>
      <c r="N4" s="1"/>
      <c r="O4" s="1"/>
    </row>
    <row r="5" spans="1:15" ht="202.2" thickBot="1" x14ac:dyDescent="0.35">
      <c r="A5" s="1"/>
      <c r="B5" s="1"/>
      <c r="C5" s="1"/>
      <c r="D5" s="1"/>
      <c r="E5" s="1"/>
      <c r="F5" s="1"/>
      <c r="G5" s="1"/>
      <c r="H5" s="1"/>
      <c r="I5" s="1"/>
      <c r="J5" s="1"/>
      <c r="K5" s="52" t="s">
        <v>76</v>
      </c>
      <c r="L5" s="1"/>
      <c r="M5" s="1"/>
      <c r="N5" s="1"/>
      <c r="O5" s="1"/>
    </row>
    <row r="6" spans="1:15" ht="15" thickBot="1" x14ac:dyDescent="0.35">
      <c r="A6" s="53"/>
      <c r="B6" s="54" t="s">
        <v>77</v>
      </c>
      <c r="C6" s="54" t="s">
        <v>78</v>
      </c>
      <c r="D6" s="54" t="s">
        <v>79</v>
      </c>
      <c r="E6" s="1"/>
      <c r="F6" s="1"/>
      <c r="G6" s="1"/>
      <c r="H6" s="1"/>
      <c r="I6" s="1"/>
      <c r="J6" s="1"/>
      <c r="K6" s="55" t="s">
        <v>80</v>
      </c>
      <c r="L6" s="1"/>
      <c r="M6" s="1"/>
      <c r="N6" s="1"/>
      <c r="O6" s="1"/>
    </row>
    <row r="7" spans="1:15" ht="15" thickBot="1" x14ac:dyDescent="0.35">
      <c r="A7" s="56" t="s">
        <v>81</v>
      </c>
      <c r="B7" s="57">
        <f>G4+C4-B4-F4</f>
        <v>0.18529600000003654</v>
      </c>
      <c r="C7" s="51">
        <f>B7*627.5</f>
        <v>116.27324000002292</v>
      </c>
      <c r="D7" s="43"/>
      <c r="E7" s="1"/>
      <c r="F7" s="1"/>
      <c r="G7" s="1"/>
      <c r="H7" s="1"/>
      <c r="I7" s="1"/>
      <c r="J7" s="1"/>
      <c r="K7" s="1"/>
      <c r="L7" s="1"/>
      <c r="M7" s="1"/>
      <c r="N7" s="1"/>
      <c r="O7" s="1"/>
    </row>
    <row r="8" spans="1:15" x14ac:dyDescent="0.3">
      <c r="A8" s="56" t="s">
        <v>82</v>
      </c>
      <c r="B8" s="58"/>
      <c r="C8" s="33">
        <v>-110.4</v>
      </c>
      <c r="D8" s="59" t="s">
        <v>85</v>
      </c>
      <c r="E8" s="1"/>
      <c r="F8" s="1"/>
      <c r="G8" s="1"/>
      <c r="H8" s="1"/>
      <c r="I8" s="1"/>
      <c r="J8" s="1"/>
      <c r="K8" s="1" t="s">
        <v>83</v>
      </c>
      <c r="L8" s="1"/>
      <c r="M8" s="1"/>
      <c r="N8" s="1"/>
      <c r="O8" s="1"/>
    </row>
    <row r="9" spans="1:15" ht="15" thickBot="1" x14ac:dyDescent="0.35">
      <c r="A9" s="56" t="s">
        <v>84</v>
      </c>
      <c r="B9" s="60"/>
      <c r="C9" s="34">
        <v>-6.32</v>
      </c>
      <c r="D9" s="20" t="s">
        <v>85</v>
      </c>
      <c r="E9" s="1"/>
      <c r="F9" s="1"/>
      <c r="G9" s="1"/>
      <c r="H9" s="1"/>
      <c r="I9" s="1"/>
      <c r="J9" s="1"/>
      <c r="K9" s="1"/>
      <c r="L9" s="1"/>
      <c r="M9" s="1"/>
      <c r="N9" s="1"/>
      <c r="O9" s="1"/>
    </row>
    <row r="10" spans="1:15" x14ac:dyDescent="0.3">
      <c r="A10" s="56" t="s">
        <v>86</v>
      </c>
      <c r="B10" s="61">
        <f>D4-B4</f>
        <v>0</v>
      </c>
      <c r="C10" s="62">
        <f>B10*627.5</f>
        <v>0</v>
      </c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</row>
    <row r="11" spans="1:15" ht="15" thickBot="1" x14ac:dyDescent="0.35">
      <c r="A11" s="56" t="s">
        <v>87</v>
      </c>
      <c r="B11" s="63">
        <f>E4-C4</f>
        <v>0</v>
      </c>
      <c r="C11" s="64">
        <f>B11*627.5</f>
        <v>0</v>
      </c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</row>
    <row r="12" spans="1:15" ht="15" thickBot="1" x14ac:dyDescent="0.35">
      <c r="A12" s="56" t="s">
        <v>88</v>
      </c>
      <c r="B12" s="65"/>
      <c r="C12" s="66">
        <f>C7+C8+C11-C9-C10</f>
        <v>12.193240000022918</v>
      </c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</row>
    <row r="13" spans="1:15" ht="15" thickBot="1" x14ac:dyDescent="0.35">
      <c r="A13" s="67"/>
      <c r="B13" s="68"/>
      <c r="C13" s="5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</row>
    <row r="14" spans="1:15" ht="15" thickBot="1" x14ac:dyDescent="0.35">
      <c r="A14" s="69" t="s">
        <v>89</v>
      </c>
      <c r="B14" s="70">
        <f>C14/627.5</f>
        <v>7.0329508867241295E-3</v>
      </c>
      <c r="C14" s="71">
        <f>C12/(2.3*J4*298)-K4</f>
        <v>4.4131766814193911</v>
      </c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</row>
    <row r="15" spans="1:15" ht="15" thickBot="1" x14ac:dyDescent="0.3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</row>
    <row r="16" spans="1:15" ht="15" thickBot="1" x14ac:dyDescent="0.35">
      <c r="A16" s="72" t="s">
        <v>90</v>
      </c>
      <c r="B16" s="73"/>
      <c r="C16" s="74">
        <v>4.76</v>
      </c>
      <c r="D16" s="43" t="s">
        <v>95</v>
      </c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</row>
    <row r="17" spans="1:15" x14ac:dyDescent="0.3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</row>
    <row r="18" spans="1:15" ht="15" thickBot="1" x14ac:dyDescent="0.3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</row>
    <row r="19" spans="1:15" ht="16.2" thickBot="1" x14ac:dyDescent="0.4">
      <c r="A19" s="42" t="s">
        <v>68</v>
      </c>
      <c r="B19" s="42" t="s">
        <v>91</v>
      </c>
      <c r="C19" s="1" t="s">
        <v>92</v>
      </c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</row>
    <row r="20" spans="1:15" ht="15" thickBot="1" x14ac:dyDescent="0.35">
      <c r="A20" s="42" t="s">
        <v>69</v>
      </c>
      <c r="B20" s="42" t="s">
        <v>93</v>
      </c>
      <c r="C20" s="1" t="s">
        <v>94</v>
      </c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</row>
    <row r="21" spans="1:15" x14ac:dyDescent="0.3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</row>
    <row r="22" spans="1:15" x14ac:dyDescent="0.3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</row>
  </sheetData>
  <hyperlinks>
    <hyperlink ref="K6" r:id="rId1" xr:uid="{40778739-D59F-40A1-A953-A7B78DF8B430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0E639A-97E9-44D6-A5E6-549C171BE794}">
  <dimension ref="B4:O33"/>
  <sheetViews>
    <sheetView workbookViewId="0">
      <selection activeCell="M13" sqref="M13"/>
    </sheetView>
  </sheetViews>
  <sheetFormatPr defaultRowHeight="14.4" x14ac:dyDescent="0.3"/>
  <cols>
    <col min="2" max="2" width="15.33203125" customWidth="1"/>
    <col min="3" max="3" width="12.109375" customWidth="1"/>
    <col min="4" max="4" width="13.109375" customWidth="1"/>
    <col min="5" max="5" width="11.77734375" customWidth="1"/>
    <col min="6" max="6" width="12.44140625" customWidth="1"/>
    <col min="8" max="8" width="12.88671875" customWidth="1"/>
    <col min="11" max="11" width="13.21875" customWidth="1"/>
    <col min="12" max="12" width="19.5546875" customWidth="1"/>
    <col min="13" max="13" width="18.88671875" customWidth="1"/>
    <col min="14" max="14" width="18.33203125" customWidth="1"/>
    <col min="15" max="15" width="13.44140625" customWidth="1"/>
  </cols>
  <sheetData>
    <row r="4" spans="2:15" x14ac:dyDescent="0.3">
      <c r="M4" s="40"/>
    </row>
    <row r="5" spans="2:15" x14ac:dyDescent="0.3">
      <c r="M5" s="22"/>
    </row>
    <row r="6" spans="2:15" x14ac:dyDescent="0.3">
      <c r="C6" t="s">
        <v>40</v>
      </c>
      <c r="M6" s="41"/>
    </row>
    <row r="7" spans="2:15" x14ac:dyDescent="0.3">
      <c r="C7" t="s">
        <v>60</v>
      </c>
      <c r="D7" t="s">
        <v>38</v>
      </c>
      <c r="E7" s="36" t="s">
        <v>61</v>
      </c>
      <c r="F7" t="s">
        <v>39</v>
      </c>
      <c r="G7" t="s">
        <v>45</v>
      </c>
      <c r="H7" t="s">
        <v>46</v>
      </c>
      <c r="K7" s="37" t="s">
        <v>64</v>
      </c>
    </row>
    <row r="8" spans="2:15" x14ac:dyDescent="0.3">
      <c r="B8" s="35" t="s">
        <v>58</v>
      </c>
      <c r="C8" s="22">
        <f>-229.051761</f>
        <v>-229.051761</v>
      </c>
      <c r="D8" s="22">
        <f>-76.409917</f>
        <v>-76.409916999999993</v>
      </c>
      <c r="E8" s="22">
        <f>-228.606288</f>
        <v>-228.60628800000001</v>
      </c>
      <c r="F8" s="22">
        <f>-76.670538</f>
        <v>-76.670537999999993</v>
      </c>
      <c r="G8" s="22">
        <f>Tabella5101316[[#This Row],[H3O+]]+Tabella5101316[[#This Row],[CH3CO2− ]]-Tabella5101316[[#This Row],[H2O]]-Tabella5101316[[#This Row],[CH₃COOH]]</f>
        <v>0.18485199999997803</v>
      </c>
      <c r="H8" s="22">
        <f>Tabella5101316[[#This Row],[DeltaG reaz '[hartree']]]*627.5</f>
        <v>115.99462999998622</v>
      </c>
      <c r="I8" s="22"/>
      <c r="L8" t="s">
        <v>60</v>
      </c>
      <c r="M8" s="25" t="s">
        <v>38</v>
      </c>
      <c r="N8" s="40" t="s">
        <v>61</v>
      </c>
      <c r="O8" s="24" t="s">
        <v>65</v>
      </c>
    </row>
    <row r="9" spans="2:15" x14ac:dyDescent="0.3">
      <c r="B9" t="s">
        <v>59</v>
      </c>
      <c r="C9" t="s">
        <v>43</v>
      </c>
      <c r="K9" t="s">
        <v>53</v>
      </c>
      <c r="L9" s="22" cm="1">
        <f t="array" ref="L9">Tabella6111417[CH₃COOH]-Tabella5101316[CH₃COOH]</f>
        <v>0</v>
      </c>
      <c r="M9" s="22" cm="1">
        <f t="array" ref="M9">Tabella6111417[H2O]-Tabella5101316[H2O]</f>
        <v>-1.4298000000010802E-2</v>
      </c>
      <c r="N9" s="22" cm="1">
        <f t="array" ref="N9">Tabella6111417[[CH3CO2− ]]-Tabella5101316[[CH3CO2− ]]</f>
        <v>0</v>
      </c>
      <c r="O9" s="22" cm="1">
        <f t="array" ref="O9">Tabella6111417[H3O+]-Tabella5101316[H3O+]</f>
        <v>-0.15394200000000069</v>
      </c>
    </row>
    <row r="10" spans="2:15" x14ac:dyDescent="0.3">
      <c r="C10" t="s">
        <v>60</v>
      </c>
      <c r="D10" t="s">
        <v>38</v>
      </c>
      <c r="E10" s="36" t="s">
        <v>61</v>
      </c>
      <c r="F10" t="s">
        <v>39</v>
      </c>
      <c r="K10" t="s">
        <v>52</v>
      </c>
      <c r="L10" s="22">
        <f>L9*627.5</f>
        <v>0</v>
      </c>
      <c r="M10" s="39">
        <f>M9*627.5</f>
        <v>-8.9719950000067783</v>
      </c>
      <c r="N10" s="41">
        <f>N9*627.5</f>
        <v>0</v>
      </c>
      <c r="O10" s="38">
        <f>O9*627.5</f>
        <v>-96.598605000000433</v>
      </c>
    </row>
    <row r="11" spans="2:15" ht="15" thickBot="1" x14ac:dyDescent="0.35">
      <c r="B11" s="35" t="s">
        <v>58</v>
      </c>
      <c r="C11">
        <f>-229.051761</f>
        <v>-229.051761</v>
      </c>
      <c r="D11">
        <f>-76.424215</f>
        <v>-76.424215000000004</v>
      </c>
      <c r="E11">
        <f>-228.606288</f>
        <v>-228.60628800000001</v>
      </c>
      <c r="F11">
        <f>-76.82448</f>
        <v>-76.824479999999994</v>
      </c>
    </row>
    <row r="12" spans="2:15" ht="15" thickBot="1" x14ac:dyDescent="0.35">
      <c r="B12" t="s">
        <v>59</v>
      </c>
      <c r="K12" s="26" t="s">
        <v>55</v>
      </c>
      <c r="M12" s="28" t="s">
        <v>54</v>
      </c>
      <c r="O12" s="30" t="s">
        <v>56</v>
      </c>
    </row>
    <row r="13" spans="2:15" x14ac:dyDescent="0.3">
      <c r="K13" s="27">
        <v>1.9870000000000001E-3</v>
      </c>
      <c r="M13" s="29" cm="1">
        <f t="array" ref="M13">Tabella5101316['[kcal/mol']]+N10+O10-M10-L10</f>
        <v>28.368019999992562</v>
      </c>
      <c r="O13" s="32">
        <f>M13/(2.3*K13*298)</f>
        <v>20.829893872464986</v>
      </c>
    </row>
    <row r="15" spans="2:15" x14ac:dyDescent="0.3">
      <c r="M15" s="22" cm="1">
        <f t="array" ref="M15">Tabella611141720[CH₃COOH]-Tabella510131619[CH₃COOH]</f>
        <v>0</v>
      </c>
    </row>
    <row r="16" spans="2:15" x14ac:dyDescent="0.3">
      <c r="C16" t="s">
        <v>40</v>
      </c>
      <c r="M16" s="41">
        <f>M15*627.5</f>
        <v>0</v>
      </c>
    </row>
    <row r="17" spans="2:15" x14ac:dyDescent="0.3">
      <c r="C17" t="s">
        <v>60</v>
      </c>
      <c r="D17" t="s">
        <v>38</v>
      </c>
      <c r="E17" s="36" t="s">
        <v>61</v>
      </c>
      <c r="F17" t="s">
        <v>39</v>
      </c>
      <c r="G17" t="s">
        <v>45</v>
      </c>
      <c r="H17" t="s">
        <v>46</v>
      </c>
      <c r="K17" s="37" t="s">
        <v>64</v>
      </c>
    </row>
    <row r="18" spans="2:15" x14ac:dyDescent="0.3">
      <c r="B18" s="35" t="s">
        <v>62</v>
      </c>
      <c r="C18" s="22">
        <f>-229.116330716</f>
        <v>-229.11633071599999</v>
      </c>
      <c r="D18" s="22">
        <f>-76.4340474468</f>
        <v>-76.434047446799994</v>
      </c>
      <c r="E18" s="22">
        <f>-228.658048339</f>
        <v>-228.658048339</v>
      </c>
      <c r="F18" s="22">
        <f>-76.7077676817</f>
        <v>-76.707767681700005</v>
      </c>
      <c r="G18" s="22">
        <f>Tabella510131619[[#This Row],[H3O+]]+Tabella510131619[[#This Row],[CH3CO2− ]]-Tabella510131619[[#This Row],[H2O]]-Tabella510131619[[#This Row],[CH₃COOH]]</f>
        <v>0.18456214209999189</v>
      </c>
      <c r="H18" s="22">
        <f>Tabella510131619[[#This Row],[DeltaG reaz '[hartree']]]*627.5</f>
        <v>115.81274416774491</v>
      </c>
      <c r="I18" s="22"/>
      <c r="L18" t="s">
        <v>60</v>
      </c>
      <c r="M18" s="25" t="s">
        <v>38</v>
      </c>
      <c r="N18" s="40" t="s">
        <v>61</v>
      </c>
      <c r="O18" s="24" t="s">
        <v>65</v>
      </c>
    </row>
    <row r="19" spans="2:15" x14ac:dyDescent="0.3">
      <c r="C19" t="s">
        <v>43</v>
      </c>
      <c r="K19" t="s">
        <v>53</v>
      </c>
      <c r="L19" s="22" cm="1">
        <f t="array" ref="L19">Tabella611141720[CH₃COOH]-Tabella510131619[CH₃COOH]</f>
        <v>0</v>
      </c>
      <c r="M19" s="22" cm="1">
        <f t="array" ref="M19">Tabella611141720[H2O]-Tabella510131619[H2O]</f>
        <v>-1.4008886400006304E-2</v>
      </c>
      <c r="N19" s="22" cm="1">
        <f t="array" ref="N19">Tabella611141720[[CH3CO2− ]]-Tabella510131619[[CH3CO2− ]]</f>
        <v>0</v>
      </c>
      <c r="O19" s="22" cm="1">
        <f t="array" ref="O19">Tabella611141720[H3O+]-Tabella510131619[H3O+]</f>
        <v>-0.15449242559999732</v>
      </c>
    </row>
    <row r="20" spans="2:15" x14ac:dyDescent="0.3">
      <c r="C20" t="s">
        <v>60</v>
      </c>
      <c r="D20" t="s">
        <v>38</v>
      </c>
      <c r="E20" s="36" t="s">
        <v>61</v>
      </c>
      <c r="F20" t="s">
        <v>39</v>
      </c>
      <c r="K20" t="s">
        <v>52</v>
      </c>
      <c r="L20" s="41">
        <f>L19*627.5</f>
        <v>0</v>
      </c>
      <c r="M20" s="22">
        <f>M19*627.5</f>
        <v>-8.7905762160039558</v>
      </c>
      <c r="N20" s="22">
        <f>N19*627.5</f>
        <v>0</v>
      </c>
      <c r="O20" s="22">
        <f>O19*627.5</f>
        <v>-96.943997063998324</v>
      </c>
    </row>
    <row r="21" spans="2:15" ht="15" thickBot="1" x14ac:dyDescent="0.35">
      <c r="B21" s="35" t="s">
        <v>62</v>
      </c>
      <c r="C21">
        <f>-229.116330716</f>
        <v>-229.11633071599999</v>
      </c>
      <c r="D21">
        <f>-76.4480563332</f>
        <v>-76.4480563332</v>
      </c>
      <c r="E21">
        <f>-228.658048339</f>
        <v>-228.658048339</v>
      </c>
      <c r="F21">
        <f>-76.8622601073</f>
        <v>-76.862260107300003</v>
      </c>
    </row>
    <row r="22" spans="2:15" ht="15" thickBot="1" x14ac:dyDescent="0.35">
      <c r="K22" s="26" t="s">
        <v>55</v>
      </c>
      <c r="M22" s="28" t="s">
        <v>54</v>
      </c>
      <c r="O22" s="30" t="s">
        <v>56</v>
      </c>
    </row>
    <row r="23" spans="2:15" x14ac:dyDescent="0.3">
      <c r="K23" s="27">
        <v>1.9870000000000001E-3</v>
      </c>
      <c r="M23" s="29" cm="1">
        <f t="array" ref="M23">Tabella510131619['[kcal/mol']]+N20+O20-M20-L20</f>
        <v>27.659323319750541</v>
      </c>
      <c r="O23" s="32">
        <f>M23/(2.3*K23*298)</f>
        <v>20.309516467301936</v>
      </c>
    </row>
    <row r="26" spans="2:15" x14ac:dyDescent="0.3">
      <c r="C26" t="s">
        <v>40</v>
      </c>
    </row>
    <row r="27" spans="2:15" x14ac:dyDescent="0.3">
      <c r="C27" t="s">
        <v>60</v>
      </c>
      <c r="D27" t="s">
        <v>38</v>
      </c>
      <c r="E27" s="36" t="s">
        <v>61</v>
      </c>
      <c r="F27" t="s">
        <v>39</v>
      </c>
      <c r="G27" t="s">
        <v>45</v>
      </c>
      <c r="H27" t="s">
        <v>46</v>
      </c>
      <c r="K27" s="37" t="s">
        <v>64</v>
      </c>
    </row>
    <row r="28" spans="2:15" x14ac:dyDescent="0.3">
      <c r="B28" s="35" t="s">
        <v>63</v>
      </c>
      <c r="C28" s="22">
        <f>-229.081589</f>
        <v>-229.08158900000001</v>
      </c>
      <c r="D28" s="22">
        <f>-76.430401</f>
        <v>-76.430401000000003</v>
      </c>
      <c r="E28" s="22">
        <f>-228.635688</f>
        <v>-228.63568799999999</v>
      </c>
      <c r="F28" s="22">
        <f>-76.692615</f>
        <v>-76.692615000000004</v>
      </c>
      <c r="G28" s="22">
        <f>Tabella510131622[[#This Row],[H3O+]]+Tabella510131622[[#This Row],[CH3CO2− ]]-Tabella510131622[[#This Row],[H2O]]-Tabella510131622[[#This Row],[CH₃COOH]]</f>
        <v>0.18368700000002036</v>
      </c>
      <c r="H28" s="22">
        <f>Tabella510131622[[#This Row],[DeltaG reaz '[hartree']]]*627.5</f>
        <v>115.26359250001278</v>
      </c>
      <c r="I28" s="22"/>
      <c r="L28" t="s">
        <v>60</v>
      </c>
      <c r="M28" t="s">
        <v>38</v>
      </c>
      <c r="N28" s="36" t="s">
        <v>61</v>
      </c>
      <c r="O28" t="s">
        <v>39</v>
      </c>
    </row>
    <row r="29" spans="2:15" x14ac:dyDescent="0.3">
      <c r="C29" t="s">
        <v>43</v>
      </c>
      <c r="K29" t="s">
        <v>53</v>
      </c>
      <c r="L29" s="22" cm="1">
        <f t="array" ref="L29">Tabella611141723[CH₃COOH]-Tabella510131622[CH₃COOH]</f>
        <v>0</v>
      </c>
      <c r="M29" s="22" cm="1">
        <f t="array" ref="M29">Tabella611141723[H2O]-Tabella510131622[H2O]</f>
        <v>-1.4313000000001352E-2</v>
      </c>
      <c r="N29" s="22" cm="1">
        <f t="array" ref="N29">Tabella611141723[[CH3CO2− ]]-Tabella510131622[[CH3CO2− ]]</f>
        <v>0</v>
      </c>
      <c r="O29" s="22" cm="1">
        <f t="array" ref="O29">Tabella611141723[H3O+]-Tabella510131622[H3O+]</f>
        <v>-0.15386999999999773</v>
      </c>
    </row>
    <row r="30" spans="2:15" x14ac:dyDescent="0.3">
      <c r="C30" t="s">
        <v>60</v>
      </c>
      <c r="D30" t="s">
        <v>38</v>
      </c>
      <c r="E30" s="36" t="s">
        <v>61</v>
      </c>
      <c r="F30" t="s">
        <v>39</v>
      </c>
      <c r="K30" t="s">
        <v>52</v>
      </c>
      <c r="L30" s="22">
        <f>L29*627.5</f>
        <v>0</v>
      </c>
      <c r="M30" s="22">
        <f>M29*627.5</f>
        <v>-8.9814075000008486</v>
      </c>
      <c r="N30" s="22">
        <f>N29*627.5</f>
        <v>0</v>
      </c>
      <c r="O30" s="22">
        <f>O29*627.5</f>
        <v>-96.553424999998583</v>
      </c>
    </row>
    <row r="31" spans="2:15" ht="15" thickBot="1" x14ac:dyDescent="0.35">
      <c r="B31" s="35" t="s">
        <v>63</v>
      </c>
      <c r="C31">
        <f>-229.081589</f>
        <v>-229.08158900000001</v>
      </c>
      <c r="D31">
        <f>-76.444714</f>
        <v>-76.444714000000005</v>
      </c>
      <c r="E31">
        <f>-228.635688</f>
        <v>-228.63568799999999</v>
      </c>
      <c r="F31">
        <f>-76.846485</f>
        <v>-76.846485000000001</v>
      </c>
    </row>
    <row r="32" spans="2:15" ht="15" thickBot="1" x14ac:dyDescent="0.35">
      <c r="K32" s="26" t="s">
        <v>55</v>
      </c>
      <c r="M32" s="28" t="s">
        <v>54</v>
      </c>
      <c r="O32" s="30" t="s">
        <v>56</v>
      </c>
    </row>
    <row r="33" spans="11:15" x14ac:dyDescent="0.3">
      <c r="K33" s="27">
        <v>1.9870000000000001E-3</v>
      </c>
      <c r="M33" s="29" cm="1">
        <f t="array" ref="M33">Tabella510131622['[kcal/mol']]+N30+O30-M30-L30</f>
        <v>27.691575000015042</v>
      </c>
      <c r="O33" s="32">
        <f>M33/(2.3*K33*298)</f>
        <v>20.333198031158648</v>
      </c>
    </row>
  </sheetData>
  <pageMargins left="0.7" right="0.7" top="0.75" bottom="0.75" header="0.3" footer="0.3"/>
  <drawing r:id="rId1"/>
  <tableParts count="9">
    <tablePart r:id="rId2"/>
    <tablePart r:id="rId3"/>
    <tablePart r:id="rId4"/>
    <tablePart r:id="rId5"/>
    <tablePart r:id="rId6"/>
    <tablePart r:id="rId7"/>
    <tablePart r:id="rId8"/>
    <tablePart r:id="rId9"/>
    <tablePart r:id="rId10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3D0F834-737A-45C4-B416-BA59A1DD70E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5</vt:i4>
      </vt:variant>
    </vt:vector>
  </HeadingPairs>
  <TitlesOfParts>
    <vt:vector size="5" baseType="lpstr">
      <vt:lpstr>Quantum Tunneling</vt:lpstr>
      <vt:lpstr>DeltaG solvataz</vt:lpstr>
      <vt:lpstr>pka H2SO4</vt:lpstr>
      <vt:lpstr>pka acetic with correction</vt:lpstr>
      <vt:lpstr>pka acetic acid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Filippo Buda</dc:creator>
  <cp:lastModifiedBy>Filippo Buda</cp:lastModifiedBy>
  <dcterms:created xsi:type="dcterms:W3CDTF">2015-06-05T18:19:34Z</dcterms:created>
  <dcterms:modified xsi:type="dcterms:W3CDTF">2024-07-01T17:10:50Z</dcterms:modified>
</cp:coreProperties>
</file>