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drawings/drawing1.xml" ContentType="application/vnd.openxmlformats-officedocument.drawing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drawings/drawing2.xml" ContentType="application/vnd.openxmlformats-officedocument.drawing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tables/table4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udaf\OneDrive - Politecnico di Milano\Desktop\MMPE\Lab9\"/>
    </mc:Choice>
  </mc:AlternateContent>
  <xr:revisionPtr revIDLastSave="0" documentId="13_ncr:1_{3AAE52FB-56B3-4AA3-AD2F-03F8A54E6056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CH4" sheetId="2" r:id="rId1"/>
    <sheet name="CH3" sheetId="3" r:id="rId2"/>
    <sheet name="H" sheetId="4" r:id="rId3"/>
    <sheet name="H2" sheetId="5" r:id="rId4"/>
    <sheet name="TST1" sheetId="1" r:id="rId5"/>
    <sheet name="Rate constant 1" sheetId="7" r:id="rId6"/>
    <sheet name="TST2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7" l="1"/>
  <c r="C26" i="7"/>
  <c r="E26" i="7"/>
  <c r="B26" i="7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L9" i="8" l="1"/>
  <c r="L8" i="8"/>
  <c r="L7" i="8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K6" i="8"/>
  <c r="L6" i="8"/>
  <c r="D2" i="5"/>
  <c r="E18" i="5" s="1" a="1"/>
  <c r="E18" i="5" s="1"/>
  <c r="C2" i="5"/>
  <c r="B2" i="7"/>
  <c r="D2" i="2"/>
  <c r="A2" i="7"/>
  <c r="D49" i="1"/>
  <c r="E61" i="1" s="1" a="1"/>
  <c r="E61" i="1" s="1"/>
  <c r="C49" i="1"/>
  <c r="E49" i="1"/>
  <c r="E14" i="2" a="1"/>
  <c r="E14" i="2" s="1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6" i="4" a="1"/>
  <c r="C6" i="4" s="1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B2" i="4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P59" i="1"/>
  <c r="O59" i="1"/>
  <c r="N59" i="1"/>
  <c r="N63" i="1" a="1"/>
  <c r="N63" i="1" s="1"/>
  <c r="N64" i="1" a="1"/>
  <c r="N64" i="1" s="1"/>
  <c r="N71" i="1" a="1"/>
  <c r="N71" i="1" s="1"/>
  <c r="N72" i="1" a="1"/>
  <c r="N72" i="1" s="1"/>
  <c r="N78" i="1" a="1"/>
  <c r="N78" i="1" s="1"/>
  <c r="O61" i="1" a="1"/>
  <c r="O61" i="1" s="1"/>
  <c r="O62" i="1" a="1"/>
  <c r="O62" i="1" s="1"/>
  <c r="O69" i="1" a="1"/>
  <c r="O69" i="1" s="1"/>
  <c r="O70" i="1" a="1"/>
  <c r="O70" i="1" s="1"/>
  <c r="O76" i="1" a="1"/>
  <c r="O76" i="1" s="1"/>
  <c r="O77" i="1" a="1"/>
  <c r="O77" i="1" s="1"/>
  <c r="O78" i="1" a="1"/>
  <c r="O78" i="1" s="1"/>
  <c r="P67" i="1" a="1"/>
  <c r="P67" i="1" s="1"/>
  <c r="P68" i="1" a="1"/>
  <c r="P68" i="1" s="1"/>
  <c r="P75" i="1" a="1"/>
  <c r="P75" i="1" s="1"/>
  <c r="P76" i="1" a="1"/>
  <c r="P76" i="1" s="1"/>
  <c r="A72" i="1"/>
  <c r="B72" i="1" s="1" a="1"/>
  <c r="B72" i="1" s="1"/>
  <c r="A71" i="1"/>
  <c r="B71" i="1" s="1" a="1"/>
  <c r="B71" i="1" s="1"/>
  <c r="A70" i="1"/>
  <c r="B70" i="1" s="1" a="1"/>
  <c r="B70" i="1" s="1"/>
  <c r="A69" i="1"/>
  <c r="A68" i="1"/>
  <c r="B68" i="1" s="1" a="1"/>
  <c r="B68" i="1" s="1"/>
  <c r="L59" i="1" s="1"/>
  <c r="A67" i="1"/>
  <c r="B67" i="1" s="1" a="1"/>
  <c r="B67" i="1" s="1"/>
  <c r="K59" i="1" s="1"/>
  <c r="A66" i="1"/>
  <c r="B66" i="1" s="1" a="1"/>
  <c r="B66" i="1" s="1"/>
  <c r="J59" i="1" s="1"/>
  <c r="A65" i="1"/>
  <c r="B65" i="1" s="1" a="1"/>
  <c r="B65" i="1" s="1"/>
  <c r="I59" i="1" s="1"/>
  <c r="A64" i="1"/>
  <c r="B64" i="1" s="1" a="1"/>
  <c r="B64" i="1" s="1"/>
  <c r="H59" i="1" s="1"/>
  <c r="A63" i="1"/>
  <c r="A62" i="1"/>
  <c r="B62" i="1" s="1" a="1"/>
  <c r="B62" i="1" s="1"/>
  <c r="F59" i="1" s="1"/>
  <c r="A61" i="1"/>
  <c r="B61" i="1" s="1" a="1"/>
  <c r="B61" i="1" s="1"/>
  <c r="E59" i="1" s="1"/>
  <c r="A52" i="1"/>
  <c r="B52" i="1" s="1" a="1"/>
  <c r="B52" i="1" s="1"/>
  <c r="A53" i="1"/>
  <c r="B53" i="1" s="1" a="1"/>
  <c r="B53" i="1" s="1"/>
  <c r="A54" i="1"/>
  <c r="B54" i="1" s="1" a="1"/>
  <c r="B54" i="1" s="1"/>
  <c r="B49" i="1"/>
  <c r="B98" i="1" a="1"/>
  <c r="B98" i="1" s="1"/>
  <c r="B97" i="1" a="1"/>
  <c r="B97" i="1" s="1"/>
  <c r="B96" i="1" a="1"/>
  <c r="B96" i="1" s="1"/>
  <c r="B95" i="1" a="1"/>
  <c r="B95" i="1" s="1"/>
  <c r="B94" i="1" a="1"/>
  <c r="B94" i="1" s="1"/>
  <c r="B93" i="1" a="1"/>
  <c r="B93" i="1" s="1"/>
  <c r="B92" i="1" a="1"/>
  <c r="B92" i="1" s="1"/>
  <c r="B91" i="1" a="1"/>
  <c r="B91" i="1" s="1"/>
  <c r="B90" i="1" a="1"/>
  <c r="B90" i="1" s="1"/>
  <c r="B89" i="1" a="1"/>
  <c r="B89" i="1" s="1"/>
  <c r="B88" i="1" a="1"/>
  <c r="B88" i="1" s="1"/>
  <c r="B87" i="1" a="1"/>
  <c r="B87" i="1" s="1"/>
  <c r="B86" i="1" a="1"/>
  <c r="B86" i="1" s="1"/>
  <c r="B85" i="1" a="1"/>
  <c r="B85" i="1" s="1"/>
  <c r="B84" i="1" a="1"/>
  <c r="B84" i="1" s="1"/>
  <c r="B83" i="1" a="1"/>
  <c r="B83" i="1" s="1"/>
  <c r="B82" i="1" a="1"/>
  <c r="B82" i="1" s="1"/>
  <c r="B81" i="1" a="1"/>
  <c r="B81" i="1" s="1"/>
  <c r="B69" i="1" a="1"/>
  <c r="B69" i="1" s="1"/>
  <c r="M59" i="1" s="1"/>
  <c r="B63" i="1" a="1"/>
  <c r="B63" i="1" s="1"/>
  <c r="G59" i="1" s="1"/>
  <c r="H49" i="1"/>
  <c r="P66" i="1" l="1" a="1"/>
  <c r="P66" i="1" s="1"/>
  <c r="N70" i="1" a="1"/>
  <c r="N70" i="1" s="1"/>
  <c r="P73" i="1" a="1"/>
  <c r="P73" i="1" s="1"/>
  <c r="P65" i="1" a="1"/>
  <c r="P65" i="1" s="1"/>
  <c r="O75" i="1" a="1"/>
  <c r="O75" i="1" s="1"/>
  <c r="O67" i="1" a="1"/>
  <c r="O67" i="1" s="1"/>
  <c r="N77" i="1" a="1"/>
  <c r="N77" i="1" s="1"/>
  <c r="N69" i="1" a="1"/>
  <c r="N69" i="1" s="1"/>
  <c r="N61" i="1" a="1"/>
  <c r="N61" i="1" s="1"/>
  <c r="E62" i="1" a="1"/>
  <c r="E62" i="1" s="1"/>
  <c r="P74" i="1" a="1"/>
  <c r="P74" i="1" s="1"/>
  <c r="O68" i="1" a="1"/>
  <c r="O68" i="1" s="1"/>
  <c r="N62" i="1" a="1"/>
  <c r="N62" i="1" s="1"/>
  <c r="P64" i="1" a="1"/>
  <c r="P64" i="1" s="1"/>
  <c r="O66" i="1" a="1"/>
  <c r="O66" i="1" s="1"/>
  <c r="N68" i="1" a="1"/>
  <c r="N68" i="1" s="1"/>
  <c r="P71" i="1" a="1"/>
  <c r="P71" i="1" s="1"/>
  <c r="N75" i="1" a="1"/>
  <c r="N75" i="1" s="1"/>
  <c r="P78" i="1" a="1"/>
  <c r="P78" i="1" s="1"/>
  <c r="P70" i="1" a="1"/>
  <c r="P70" i="1" s="1"/>
  <c r="P62" i="1" a="1"/>
  <c r="P62" i="1" s="1"/>
  <c r="O72" i="1" a="1"/>
  <c r="O72" i="1" s="1"/>
  <c r="O64" i="1" a="1"/>
  <c r="O64" i="1" s="1"/>
  <c r="N74" i="1" a="1"/>
  <c r="N74" i="1" s="1"/>
  <c r="N66" i="1" a="1"/>
  <c r="N66" i="1" s="1"/>
  <c r="C81" i="1" a="1"/>
  <c r="C81" i="1" s="1"/>
  <c r="P72" i="1" a="1"/>
  <c r="P72" i="1" s="1"/>
  <c r="O74" i="1" a="1"/>
  <c r="O74" i="1" s="1"/>
  <c r="N76" i="1" a="1"/>
  <c r="N76" i="1" s="1"/>
  <c r="P63" i="1" a="1"/>
  <c r="P63" i="1" s="1"/>
  <c r="O73" i="1" a="1"/>
  <c r="O73" i="1" s="1"/>
  <c r="O65" i="1" a="1"/>
  <c r="O65" i="1" s="1"/>
  <c r="N67" i="1" a="1"/>
  <c r="N67" i="1" s="1"/>
  <c r="P77" i="1" a="1"/>
  <c r="P77" i="1" s="1"/>
  <c r="P69" i="1" a="1"/>
  <c r="P69" i="1" s="1"/>
  <c r="P61" i="1" a="1"/>
  <c r="P61" i="1" s="1"/>
  <c r="O71" i="1" a="1"/>
  <c r="O71" i="1" s="1"/>
  <c r="O63" i="1" a="1"/>
  <c r="O63" i="1" s="1"/>
  <c r="N73" i="1" a="1"/>
  <c r="N73" i="1" s="1"/>
  <c r="N65" i="1" a="1"/>
  <c r="N65" i="1" s="1"/>
  <c r="C96" i="1" a="1"/>
  <c r="C96" i="1" s="1"/>
  <c r="C83" i="1" a="1"/>
  <c r="C83" i="1" s="1"/>
  <c r="C90" i="1" a="1"/>
  <c r="C90" i="1" s="1"/>
  <c r="C91" i="1" a="1"/>
  <c r="C91" i="1" s="1"/>
  <c r="C82" i="1" a="1"/>
  <c r="C82" i="1" s="1"/>
  <c r="C98" i="1" a="1"/>
  <c r="C98" i="1" s="1"/>
  <c r="J76" i="1" a="1"/>
  <c r="J76" i="1" s="1"/>
  <c r="J73" i="1" a="1"/>
  <c r="J73" i="1" s="1"/>
  <c r="J67" i="1" a="1"/>
  <c r="J67" i="1" s="1"/>
  <c r="J63" i="1" a="1"/>
  <c r="J63" i="1" s="1"/>
  <c r="J78" i="1" a="1"/>
  <c r="J78" i="1" s="1"/>
  <c r="J70" i="1" a="1"/>
  <c r="J70" i="1" s="1"/>
  <c r="J69" i="1" a="1"/>
  <c r="J69" i="1" s="1"/>
  <c r="J74" i="1" a="1"/>
  <c r="J74" i="1" s="1"/>
  <c r="J75" i="1" a="1"/>
  <c r="J75" i="1" s="1"/>
  <c r="J68" i="1" a="1"/>
  <c r="J68" i="1" s="1"/>
  <c r="J64" i="1" a="1"/>
  <c r="J64" i="1" s="1"/>
  <c r="J65" i="1" a="1"/>
  <c r="J65" i="1" s="1"/>
  <c r="J72" i="1" a="1"/>
  <c r="J72" i="1" s="1"/>
  <c r="J77" i="1" a="1"/>
  <c r="J77" i="1" s="1"/>
  <c r="J71" i="1" a="1"/>
  <c r="J71" i="1" s="1"/>
  <c r="J66" i="1" a="1"/>
  <c r="J66" i="1" s="1"/>
  <c r="J62" i="1" a="1"/>
  <c r="J62" i="1" s="1"/>
  <c r="J61" i="1" a="1"/>
  <c r="J61" i="1" s="1"/>
  <c r="K78" i="1" a="1"/>
  <c r="K78" i="1" s="1"/>
  <c r="K70" i="1" a="1"/>
  <c r="K70" i="1" s="1"/>
  <c r="K71" i="1" a="1"/>
  <c r="K71" i="1" s="1"/>
  <c r="K75" i="1" a="1"/>
  <c r="K75" i="1" s="1"/>
  <c r="K68" i="1" a="1"/>
  <c r="K68" i="1" s="1"/>
  <c r="K64" i="1" a="1"/>
  <c r="K64" i="1" s="1"/>
  <c r="K62" i="1" a="1"/>
  <c r="K62" i="1" s="1"/>
  <c r="K76" i="1" a="1"/>
  <c r="K76" i="1" s="1"/>
  <c r="K72" i="1" a="1"/>
  <c r="K72" i="1" s="1"/>
  <c r="K77" i="1" a="1"/>
  <c r="K77" i="1" s="1"/>
  <c r="K69" i="1" a="1"/>
  <c r="K69" i="1" s="1"/>
  <c r="K65" i="1" a="1"/>
  <c r="K65" i="1" s="1"/>
  <c r="K61" i="1" a="1"/>
  <c r="K61" i="1" s="1"/>
  <c r="K74" i="1" a="1"/>
  <c r="K74" i="1" s="1"/>
  <c r="K66" i="1" a="1"/>
  <c r="K66" i="1" s="1"/>
  <c r="K73" i="1" a="1"/>
  <c r="K73" i="1" s="1"/>
  <c r="K67" i="1" a="1"/>
  <c r="K67" i="1" s="1"/>
  <c r="K63" i="1" a="1"/>
  <c r="K63" i="1" s="1"/>
  <c r="H72" i="1" a="1"/>
  <c r="H72" i="1" s="1"/>
  <c r="H77" i="1" a="1"/>
  <c r="H77" i="1" s="1"/>
  <c r="H69" i="1" a="1"/>
  <c r="H69" i="1" s="1"/>
  <c r="H65" i="1" a="1"/>
  <c r="H65" i="1" s="1"/>
  <c r="H61" i="1" a="1"/>
  <c r="H61" i="1" s="1"/>
  <c r="H74" i="1" a="1"/>
  <c r="H74" i="1" s="1"/>
  <c r="H73" i="1" a="1"/>
  <c r="H73" i="1" s="1"/>
  <c r="H67" i="1" a="1"/>
  <c r="H67" i="1" s="1"/>
  <c r="H70" i="1" a="1"/>
  <c r="H70" i="1" s="1"/>
  <c r="H71" i="1" a="1"/>
  <c r="H71" i="1" s="1"/>
  <c r="H66" i="1" a="1"/>
  <c r="H66" i="1" s="1"/>
  <c r="H62" i="1" a="1"/>
  <c r="H62" i="1" s="1"/>
  <c r="H63" i="1" a="1"/>
  <c r="H63" i="1" s="1"/>
  <c r="H78" i="1" a="1"/>
  <c r="H78" i="1" s="1"/>
  <c r="H76" i="1" a="1"/>
  <c r="H76" i="1" s="1"/>
  <c r="H75" i="1" a="1"/>
  <c r="H75" i="1" s="1"/>
  <c r="H68" i="1" a="1"/>
  <c r="H68" i="1" s="1"/>
  <c r="H64" i="1" a="1"/>
  <c r="H64" i="1" s="1"/>
  <c r="L72" i="1" a="1"/>
  <c r="L72" i="1" s="1"/>
  <c r="L63" i="1" a="1"/>
  <c r="L63" i="1" s="1"/>
  <c r="L77" i="1" a="1"/>
  <c r="L77" i="1" s="1"/>
  <c r="L69" i="1" a="1"/>
  <c r="L69" i="1" s="1"/>
  <c r="L65" i="1" a="1"/>
  <c r="L65" i="1" s="1"/>
  <c r="L61" i="1" a="1"/>
  <c r="L61" i="1" s="1"/>
  <c r="L74" i="1" a="1"/>
  <c r="L74" i="1" s="1"/>
  <c r="L71" i="1" a="1"/>
  <c r="L71" i="1" s="1"/>
  <c r="L66" i="1" a="1"/>
  <c r="L66" i="1" s="1"/>
  <c r="L62" i="1" a="1"/>
  <c r="L62" i="1" s="1"/>
  <c r="L67" i="1" a="1"/>
  <c r="L67" i="1" s="1"/>
  <c r="L76" i="1" a="1"/>
  <c r="L76" i="1" s="1"/>
  <c r="L70" i="1" a="1"/>
  <c r="L70" i="1" s="1"/>
  <c r="L75" i="1" a="1"/>
  <c r="L75" i="1" s="1"/>
  <c r="L68" i="1" a="1"/>
  <c r="L68" i="1" s="1"/>
  <c r="L64" i="1" a="1"/>
  <c r="L64" i="1" s="1"/>
  <c r="L73" i="1" a="1"/>
  <c r="L73" i="1" s="1"/>
  <c r="L78" i="1" a="1"/>
  <c r="L78" i="1" s="1"/>
  <c r="C53" i="1" a="1"/>
  <c r="C53" i="1" s="1"/>
  <c r="I74" i="1" a="1"/>
  <c r="I74" i="1" s="1"/>
  <c r="I71" i="1" a="1"/>
  <c r="I71" i="1" s="1"/>
  <c r="I66" i="1" a="1"/>
  <c r="I66" i="1" s="1"/>
  <c r="I62" i="1" a="1"/>
  <c r="I62" i="1" s="1"/>
  <c r="I75" i="1" a="1"/>
  <c r="I75" i="1" s="1"/>
  <c r="I76" i="1" a="1"/>
  <c r="I76" i="1" s="1"/>
  <c r="I73" i="1" a="1"/>
  <c r="I73" i="1" s="1"/>
  <c r="I67" i="1" a="1"/>
  <c r="I67" i="1" s="1"/>
  <c r="I63" i="1" a="1"/>
  <c r="I63" i="1" s="1"/>
  <c r="I78" i="1" a="1"/>
  <c r="I78" i="1" s="1"/>
  <c r="I70" i="1" a="1"/>
  <c r="I70" i="1" s="1"/>
  <c r="I68" i="1" a="1"/>
  <c r="I68" i="1" s="1"/>
  <c r="I77" i="1" a="1"/>
  <c r="I77" i="1" s="1"/>
  <c r="I69" i="1" a="1"/>
  <c r="I69" i="1" s="1"/>
  <c r="I65" i="1" a="1"/>
  <c r="I65" i="1" s="1"/>
  <c r="I61" i="1" a="1"/>
  <c r="I61" i="1" s="1"/>
  <c r="I64" i="1" a="1"/>
  <c r="I64" i="1" s="1"/>
  <c r="I72" i="1" a="1"/>
  <c r="I72" i="1" s="1"/>
  <c r="C52" i="1" a="1"/>
  <c r="C52" i="1" s="1"/>
  <c r="M74" i="1" a="1"/>
  <c r="M74" i="1" s="1"/>
  <c r="M72" i="1" a="1"/>
  <c r="M72" i="1" s="1"/>
  <c r="M71" i="1" a="1"/>
  <c r="M71" i="1" s="1"/>
  <c r="M66" i="1" a="1"/>
  <c r="M66" i="1" s="1"/>
  <c r="M62" i="1" a="1"/>
  <c r="M62" i="1" s="1"/>
  <c r="M68" i="1" a="1"/>
  <c r="M68" i="1" s="1"/>
  <c r="M76" i="1" a="1"/>
  <c r="M76" i="1" s="1"/>
  <c r="M75" i="1" a="1"/>
  <c r="M75" i="1" s="1"/>
  <c r="M64" i="1" a="1"/>
  <c r="M64" i="1" s="1"/>
  <c r="M73" i="1" a="1"/>
  <c r="M73" i="1" s="1"/>
  <c r="M67" i="1" a="1"/>
  <c r="M67" i="1" s="1"/>
  <c r="M63" i="1" a="1"/>
  <c r="M63" i="1" s="1"/>
  <c r="M78" i="1" a="1"/>
  <c r="M78" i="1" s="1"/>
  <c r="M70" i="1" a="1"/>
  <c r="M70" i="1" s="1"/>
  <c r="M77" i="1" a="1"/>
  <c r="M77" i="1" s="1"/>
  <c r="M69" i="1" a="1"/>
  <c r="M69" i="1" s="1"/>
  <c r="M65" i="1" a="1"/>
  <c r="M65" i="1" s="1"/>
  <c r="M61" i="1" a="1"/>
  <c r="M61" i="1" s="1"/>
  <c r="E74" i="1" a="1"/>
  <c r="E74" i="1" s="1"/>
  <c r="E71" i="1" a="1"/>
  <c r="E71" i="1" s="1"/>
  <c r="E66" i="1" a="1"/>
  <c r="E66" i="1" s="1"/>
  <c r="E72" i="1" a="1"/>
  <c r="E72" i="1" s="1"/>
  <c r="E76" i="1" a="1"/>
  <c r="E76" i="1" s="1"/>
  <c r="E73" i="1" a="1"/>
  <c r="E73" i="1" s="1"/>
  <c r="E67" i="1" a="1"/>
  <c r="E67" i="1" s="1"/>
  <c r="E63" i="1" a="1"/>
  <c r="E63" i="1" s="1"/>
  <c r="E75" i="1" a="1"/>
  <c r="E75" i="1" s="1"/>
  <c r="E78" i="1" a="1"/>
  <c r="E78" i="1" s="1"/>
  <c r="E70" i="1" a="1"/>
  <c r="E70" i="1" s="1"/>
  <c r="E64" i="1" a="1"/>
  <c r="E64" i="1" s="1"/>
  <c r="E77" i="1" a="1"/>
  <c r="E77" i="1" s="1"/>
  <c r="E69" i="1" a="1"/>
  <c r="E69" i="1" s="1"/>
  <c r="E65" i="1" a="1"/>
  <c r="E65" i="1" s="1"/>
  <c r="E68" i="1" a="1"/>
  <c r="E68" i="1" s="1"/>
  <c r="F76" i="1" a="1"/>
  <c r="F76" i="1" s="1"/>
  <c r="F73" i="1" a="1"/>
  <c r="F73" i="1" s="1"/>
  <c r="F67" i="1" a="1"/>
  <c r="F67" i="1" s="1"/>
  <c r="F63" i="1" a="1"/>
  <c r="F63" i="1" s="1"/>
  <c r="F65" i="1" a="1"/>
  <c r="F65" i="1" s="1"/>
  <c r="F78" i="1" a="1"/>
  <c r="F78" i="1" s="1"/>
  <c r="F70" i="1" a="1"/>
  <c r="F70" i="1" s="1"/>
  <c r="F75" i="1" a="1"/>
  <c r="F75" i="1" s="1"/>
  <c r="F68" i="1" a="1"/>
  <c r="F68" i="1" s="1"/>
  <c r="F64" i="1" a="1"/>
  <c r="F64" i="1" s="1"/>
  <c r="F77" i="1" a="1"/>
  <c r="F77" i="1" s="1"/>
  <c r="F74" i="1" a="1"/>
  <c r="F74" i="1" s="1"/>
  <c r="F72" i="1" a="1"/>
  <c r="F72" i="1" s="1"/>
  <c r="F61" i="1" a="1"/>
  <c r="F61" i="1" s="1"/>
  <c r="F71" i="1" a="1"/>
  <c r="F71" i="1" s="1"/>
  <c r="F66" i="1" a="1"/>
  <c r="F66" i="1" s="1"/>
  <c r="F62" i="1" a="1"/>
  <c r="F62" i="1" s="1"/>
  <c r="F69" i="1" a="1"/>
  <c r="F69" i="1" s="1"/>
  <c r="C54" i="1" a="1"/>
  <c r="C54" i="1" s="1"/>
  <c r="G78" i="1" a="1"/>
  <c r="G78" i="1" s="1"/>
  <c r="G70" i="1" a="1"/>
  <c r="G70" i="1" s="1"/>
  <c r="G66" i="1" a="1"/>
  <c r="G66" i="1" s="1"/>
  <c r="G76" i="1" a="1"/>
  <c r="G76" i="1" s="1"/>
  <c r="G75" i="1" a="1"/>
  <c r="G75" i="1" s="1"/>
  <c r="G68" i="1" a="1"/>
  <c r="G68" i="1" s="1"/>
  <c r="G64" i="1" a="1"/>
  <c r="G64" i="1" s="1"/>
  <c r="G72" i="1" a="1"/>
  <c r="G72" i="1" s="1"/>
  <c r="G62" i="1" a="1"/>
  <c r="G62" i="1" s="1"/>
  <c r="G77" i="1" a="1"/>
  <c r="G77" i="1" s="1"/>
  <c r="G69" i="1" a="1"/>
  <c r="G69" i="1" s="1"/>
  <c r="G65" i="1" a="1"/>
  <c r="G65" i="1" s="1"/>
  <c r="G61" i="1" a="1"/>
  <c r="G61" i="1" s="1"/>
  <c r="G74" i="1" a="1"/>
  <c r="G74" i="1" s="1"/>
  <c r="G71" i="1" a="1"/>
  <c r="G71" i="1" s="1"/>
  <c r="G73" i="1" a="1"/>
  <c r="G73" i="1" s="1"/>
  <c r="G67" i="1" a="1"/>
  <c r="G67" i="1" s="1"/>
  <c r="G63" i="1" a="1"/>
  <c r="G63" i="1" s="1"/>
  <c r="C89" i="1" a="1"/>
  <c r="C89" i="1" s="1"/>
  <c r="C97" i="1" a="1"/>
  <c r="C97" i="1" s="1"/>
  <c r="C84" i="1" a="1"/>
  <c r="C84" i="1" s="1"/>
  <c r="C92" i="1" a="1"/>
  <c r="C92" i="1" s="1"/>
  <c r="C85" i="1" a="1"/>
  <c r="C85" i="1" s="1"/>
  <c r="C93" i="1" a="1"/>
  <c r="C93" i="1" s="1"/>
  <c r="C86" i="1" a="1"/>
  <c r="C86" i="1" s="1"/>
  <c r="C94" i="1" a="1"/>
  <c r="C94" i="1" s="1"/>
  <c r="C87" i="1" a="1"/>
  <c r="C87" i="1" s="1"/>
  <c r="C95" i="1" a="1"/>
  <c r="C95" i="1" s="1"/>
  <c r="C88" i="1" a="1"/>
  <c r="C88" i="1" s="1"/>
  <c r="D95" i="1" l="1"/>
  <c r="D87" i="1"/>
  <c r="D93" i="1"/>
  <c r="D92" i="1"/>
  <c r="D96" i="1"/>
  <c r="D97" i="1"/>
  <c r="D98" i="1"/>
  <c r="D88" i="1"/>
  <c r="D91" i="1"/>
  <c r="D86" i="1"/>
  <c r="D81" i="1"/>
  <c r="D83" i="1"/>
  <c r="D94" i="1"/>
  <c r="D84" i="1"/>
  <c r="D52" i="1"/>
  <c r="D90" i="1"/>
  <c r="D85" i="1"/>
  <c r="D82" i="1"/>
  <c r="D89" i="1"/>
  <c r="E93" i="1" l="1" a="1"/>
  <c r="E93" i="1" s="1"/>
  <c r="J93" i="1" s="1"/>
  <c r="E85" i="1" a="1"/>
  <c r="E85" i="1" s="1"/>
  <c r="J85" i="1" s="1"/>
  <c r="E92" i="1" a="1"/>
  <c r="E92" i="1" s="1"/>
  <c r="J92" i="1" s="1"/>
  <c r="E84" i="1" a="1"/>
  <c r="E84" i="1" s="1"/>
  <c r="J84" i="1" s="1"/>
  <c r="E88" i="1" a="1"/>
  <c r="E88" i="1" s="1"/>
  <c r="J88" i="1" s="1"/>
  <c r="E87" i="1" a="1"/>
  <c r="E87" i="1" s="1"/>
  <c r="J87" i="1" s="1"/>
  <c r="E91" i="1" a="1"/>
  <c r="E91" i="1" s="1"/>
  <c r="J91" i="1" s="1"/>
  <c r="E83" i="1" a="1"/>
  <c r="E83" i="1" s="1"/>
  <c r="J83" i="1" s="1"/>
  <c r="E96" i="1" a="1"/>
  <c r="E96" i="1" s="1"/>
  <c r="J96" i="1" s="1"/>
  <c r="E95" i="1" a="1"/>
  <c r="E95" i="1" s="1"/>
  <c r="J95" i="1" s="1"/>
  <c r="E98" i="1" a="1"/>
  <c r="E98" i="1" s="1"/>
  <c r="J98" i="1" s="1"/>
  <c r="E90" i="1" a="1"/>
  <c r="E90" i="1" s="1"/>
  <c r="J90" i="1" s="1"/>
  <c r="E82" i="1" a="1"/>
  <c r="E82" i="1" s="1"/>
  <c r="J82" i="1" s="1"/>
  <c r="E97" i="1" a="1"/>
  <c r="E97" i="1" s="1"/>
  <c r="J97" i="1" s="1"/>
  <c r="E89" i="1" a="1"/>
  <c r="E89" i="1" s="1"/>
  <c r="J89" i="1" s="1"/>
  <c r="E81" i="1" a="1"/>
  <c r="E81" i="1" s="1"/>
  <c r="J81" i="1" s="1"/>
  <c r="E94" i="1" a="1"/>
  <c r="E94" i="1" s="1"/>
  <c r="J94" i="1" s="1"/>
  <c r="E86" i="1" a="1"/>
  <c r="E86" i="1" s="1"/>
  <c r="J86" i="1" s="1"/>
  <c r="E52" i="1" a="1"/>
  <c r="E52" i="1" s="1"/>
  <c r="D13" i="7" l="1"/>
  <c r="J13" i="7"/>
  <c r="K13" i="7" s="1"/>
  <c r="D15" i="7"/>
  <c r="J15" i="7"/>
  <c r="K15" i="7" s="1"/>
  <c r="D21" i="7"/>
  <c r="J21" i="7"/>
  <c r="K21" i="7" s="1"/>
  <c r="D11" i="7"/>
  <c r="J11" i="7"/>
  <c r="K11" i="7" s="1"/>
  <c r="D20" i="7"/>
  <c r="J20" i="7"/>
  <c r="K20" i="7" s="1"/>
  <c r="D12" i="7"/>
  <c r="J12" i="7"/>
  <c r="K12" i="7" s="1"/>
  <c r="D17" i="7"/>
  <c r="J17" i="7"/>
  <c r="K17" i="7" s="1"/>
  <c r="D6" i="7"/>
  <c r="J6" i="7"/>
  <c r="K6" i="7" s="1"/>
  <c r="D8" i="7"/>
  <c r="J8" i="7"/>
  <c r="K8" i="7" s="1"/>
  <c r="D22" i="7"/>
  <c r="J22" i="7"/>
  <c r="K22" i="7" s="1"/>
  <c r="D16" i="7"/>
  <c r="J16" i="7"/>
  <c r="K16" i="7" s="1"/>
  <c r="D18" i="7"/>
  <c r="J18" i="7"/>
  <c r="K18" i="7" s="1"/>
  <c r="D7" i="7"/>
  <c r="J7" i="7"/>
  <c r="K7" i="7" s="1"/>
  <c r="D14" i="7"/>
  <c r="J14" i="7"/>
  <c r="K14" i="7" s="1"/>
  <c r="D10" i="7"/>
  <c r="J10" i="7"/>
  <c r="K10" i="7" s="1"/>
  <c r="D19" i="7"/>
  <c r="J19" i="7"/>
  <c r="K19" i="7" s="1"/>
  <c r="D9" i="7"/>
  <c r="J9" i="7"/>
  <c r="K9" i="7" s="1"/>
  <c r="D5" i="7"/>
  <c r="J5" i="7"/>
  <c r="K5" i="7" s="1"/>
  <c r="B34" i="2" a="1"/>
  <c r="B34" i="2" s="1"/>
  <c r="B35" i="2" a="1"/>
  <c r="B35" i="2" s="1"/>
  <c r="B36" i="2" a="1"/>
  <c r="B36" i="2" s="1"/>
  <c r="B37" i="2" a="1"/>
  <c r="B37" i="2"/>
  <c r="B38" i="2" a="1"/>
  <c r="B38" i="2" s="1"/>
  <c r="B39" i="2" a="1"/>
  <c r="B39" i="2" s="1"/>
  <c r="B40" i="2" a="1"/>
  <c r="B40" i="2" s="1"/>
  <c r="B41" i="2" a="1"/>
  <c r="B41" i="2"/>
  <c r="B42" i="2" a="1"/>
  <c r="B42" i="2" s="1"/>
  <c r="B43" i="2" a="1"/>
  <c r="B43" i="2" s="1"/>
  <c r="B44" i="2" a="1"/>
  <c r="B44" i="2" s="1"/>
  <c r="B45" i="2" a="1"/>
  <c r="B45" i="2"/>
  <c r="B46" i="2" a="1"/>
  <c r="B46" i="2" s="1"/>
  <c r="B47" i="2" a="1"/>
  <c r="B47" i="2" s="1"/>
  <c r="B48" i="2" a="1"/>
  <c r="B48" i="2" s="1"/>
  <c r="B49" i="2" a="1"/>
  <c r="B49" i="2"/>
  <c r="B50" i="2" a="1"/>
  <c r="B50" i="2" s="1"/>
  <c r="B51" i="2" a="1"/>
  <c r="B51" i="2" s="1"/>
  <c r="A7" i="5"/>
  <c r="A6" i="5"/>
  <c r="A20" i="5"/>
  <c r="B2" i="5"/>
  <c r="F55" i="5"/>
  <c r="B55" i="5" a="1"/>
  <c r="B55" i="5" s="1"/>
  <c r="C55" i="5" s="1" a="1"/>
  <c r="C55" i="5" s="1"/>
  <c r="F54" i="5"/>
  <c r="B54" i="5" a="1"/>
  <c r="B54" i="5" s="1"/>
  <c r="C54" i="5" s="1" a="1"/>
  <c r="C54" i="5" s="1"/>
  <c r="F53" i="5"/>
  <c r="B53" i="5" a="1"/>
  <c r="B53" i="5" s="1"/>
  <c r="C53" i="5" s="1" a="1"/>
  <c r="C53" i="5" s="1"/>
  <c r="F52" i="5"/>
  <c r="B52" i="5" a="1"/>
  <c r="B52" i="5" s="1"/>
  <c r="C52" i="5" s="1" a="1"/>
  <c r="C52" i="5" s="1"/>
  <c r="F51" i="5"/>
  <c r="B51" i="5" a="1"/>
  <c r="B51" i="5" s="1"/>
  <c r="C51" i="5" s="1" a="1"/>
  <c r="C51" i="5" s="1"/>
  <c r="F50" i="5"/>
  <c r="B50" i="5" a="1"/>
  <c r="B50" i="5" s="1"/>
  <c r="C50" i="5" s="1" a="1"/>
  <c r="C50" i="5" s="1"/>
  <c r="F49" i="5"/>
  <c r="B49" i="5" a="1"/>
  <c r="B49" i="5" s="1"/>
  <c r="C49" i="5" s="1" a="1"/>
  <c r="C49" i="5" s="1"/>
  <c r="F48" i="5"/>
  <c r="B48" i="5" a="1"/>
  <c r="B48" i="5" s="1"/>
  <c r="C48" i="5" s="1" a="1"/>
  <c r="C48" i="5" s="1"/>
  <c r="F47" i="5"/>
  <c r="B47" i="5" a="1"/>
  <c r="B47" i="5" s="1"/>
  <c r="C47" i="5" s="1" a="1"/>
  <c r="C47" i="5" s="1"/>
  <c r="F46" i="5"/>
  <c r="B46" i="5" a="1"/>
  <c r="B46" i="5" s="1"/>
  <c r="C46" i="5" s="1" a="1"/>
  <c r="C46" i="5" s="1"/>
  <c r="F45" i="5"/>
  <c r="B45" i="5" a="1"/>
  <c r="B45" i="5" s="1"/>
  <c r="C45" i="5" s="1" a="1"/>
  <c r="C45" i="5" s="1"/>
  <c r="F44" i="5"/>
  <c r="B44" i="5" a="1"/>
  <c r="B44" i="5" s="1"/>
  <c r="C44" i="5" s="1" a="1"/>
  <c r="C44" i="5" s="1"/>
  <c r="F43" i="5"/>
  <c r="B43" i="5" a="1"/>
  <c r="B43" i="5" s="1"/>
  <c r="C43" i="5" s="1" a="1"/>
  <c r="C43" i="5" s="1"/>
  <c r="F42" i="5"/>
  <c r="B42" i="5" a="1"/>
  <c r="B42" i="5" s="1"/>
  <c r="C42" i="5" s="1" a="1"/>
  <c r="C42" i="5" s="1"/>
  <c r="F41" i="5"/>
  <c r="B41" i="5" a="1"/>
  <c r="B41" i="5" s="1"/>
  <c r="C41" i="5" s="1" a="1"/>
  <c r="C41" i="5" s="1"/>
  <c r="F40" i="5"/>
  <c r="B40" i="5" a="1"/>
  <c r="B40" i="5" s="1"/>
  <c r="C40" i="5" s="1" a="1"/>
  <c r="C40" i="5" s="1"/>
  <c r="F39" i="5"/>
  <c r="B39" i="5" a="1"/>
  <c r="B39" i="5" s="1"/>
  <c r="F38" i="5"/>
  <c r="B38" i="5" a="1"/>
  <c r="B38" i="5" s="1"/>
  <c r="C38" i="5" s="1" a="1"/>
  <c r="C38" i="5" s="1"/>
  <c r="B20" i="5" a="1"/>
  <c r="B20" i="5" s="1"/>
  <c r="E16" i="5" s="1"/>
  <c r="B7" i="5" a="1"/>
  <c r="B7" i="5" s="1"/>
  <c r="C7" i="5" s="1" a="1"/>
  <c r="C7" i="5" s="1"/>
  <c r="B6" i="5" a="1"/>
  <c r="B6" i="5" s="1"/>
  <c r="C6" i="5" s="1" a="1"/>
  <c r="C6" i="5" s="1"/>
  <c r="B5" i="5" a="1"/>
  <c r="B5" i="5" s="1"/>
  <c r="C5" i="5" s="1" a="1"/>
  <c r="C5" i="5" s="1"/>
  <c r="A5" i="5"/>
  <c r="H2" i="5"/>
  <c r="D5" i="5" l="1"/>
  <c r="E52" i="5" s="1" a="1"/>
  <c r="E52" i="5" s="1"/>
  <c r="E34" i="5" a="1"/>
  <c r="E34" i="5" s="1"/>
  <c r="F34" i="5" s="1"/>
  <c r="D54" i="5" s="1"/>
  <c r="E26" i="5" a="1"/>
  <c r="E26" i="5" s="1"/>
  <c r="F26" i="5" s="1"/>
  <c r="D46" i="5" s="1"/>
  <c r="E19" i="5" a="1"/>
  <c r="E19" i="5" s="1"/>
  <c r="F19" i="5" s="1"/>
  <c r="D39" i="5" s="1"/>
  <c r="E33" i="5" a="1"/>
  <c r="E33" i="5" s="1"/>
  <c r="F33" i="5" s="1"/>
  <c r="D53" i="5" s="1"/>
  <c r="E35" i="5" a="1"/>
  <c r="E35" i="5" s="1"/>
  <c r="F35" i="5" s="1"/>
  <c r="D55" i="5" s="1"/>
  <c r="E31" i="5" a="1"/>
  <c r="E31" i="5" s="1"/>
  <c r="F31" i="5" s="1"/>
  <c r="D51" i="5" s="1"/>
  <c r="E23" i="5" a="1"/>
  <c r="E23" i="5" s="1"/>
  <c r="F23" i="5" s="1"/>
  <c r="D43" i="5" s="1"/>
  <c r="E25" i="5" a="1"/>
  <c r="E25" i="5" s="1"/>
  <c r="F25" i="5" s="1"/>
  <c r="D45" i="5" s="1"/>
  <c r="E28" i="5" a="1"/>
  <c r="E28" i="5" s="1"/>
  <c r="F28" i="5" s="1"/>
  <c r="D48" i="5" s="1"/>
  <c r="E20" i="5" a="1"/>
  <c r="E20" i="5" s="1"/>
  <c r="F20" i="5" s="1"/>
  <c r="D40" i="5" s="1"/>
  <c r="F18" i="5"/>
  <c r="D38" i="5" s="1"/>
  <c r="E30" i="5" a="1"/>
  <c r="E30" i="5" s="1"/>
  <c r="F30" i="5" s="1"/>
  <c r="D50" i="5" s="1"/>
  <c r="E22" i="5" a="1"/>
  <c r="E22" i="5" s="1"/>
  <c r="F22" i="5" s="1"/>
  <c r="D42" i="5" s="1"/>
  <c r="E27" i="5" a="1"/>
  <c r="E27" i="5" s="1"/>
  <c r="F27" i="5" s="1"/>
  <c r="D47" i="5" s="1"/>
  <c r="E32" i="5" a="1"/>
  <c r="E32" i="5" s="1"/>
  <c r="F32" i="5" s="1"/>
  <c r="D52" i="5" s="1"/>
  <c r="E24" i="5" a="1"/>
  <c r="E24" i="5" s="1"/>
  <c r="F24" i="5" s="1"/>
  <c r="D44" i="5" s="1"/>
  <c r="E29" i="5" a="1"/>
  <c r="E29" i="5" s="1"/>
  <c r="F29" i="5" s="1"/>
  <c r="D49" i="5" s="1"/>
  <c r="E21" i="5" a="1"/>
  <c r="E21" i="5" s="1"/>
  <c r="F21" i="5" s="1"/>
  <c r="D41" i="5" s="1"/>
  <c r="C39" i="5" a="1"/>
  <c r="C39" i="5" s="1"/>
  <c r="I52" i="5" l="1"/>
  <c r="E55" i="5" a="1"/>
  <c r="E55" i="5" s="1"/>
  <c r="I55" i="5" s="1"/>
  <c r="E47" i="5" a="1"/>
  <c r="E47" i="5" s="1"/>
  <c r="I47" i="5" s="1"/>
  <c r="E43" i="5" a="1"/>
  <c r="E43" i="5" s="1"/>
  <c r="I43" i="5" s="1"/>
  <c r="E54" i="5" a="1"/>
  <c r="E54" i="5" s="1"/>
  <c r="I54" i="5" s="1"/>
  <c r="E42" i="5" a="1"/>
  <c r="E42" i="5" s="1"/>
  <c r="I42" i="5" s="1"/>
  <c r="E48" i="5" a="1"/>
  <c r="E48" i="5" s="1"/>
  <c r="I48" i="5" s="1"/>
  <c r="E5" i="5" a="1"/>
  <c r="E5" i="5" s="1"/>
  <c r="E40" i="5" a="1"/>
  <c r="E40" i="5" s="1"/>
  <c r="I40" i="5" s="1"/>
  <c r="E49" i="5" a="1"/>
  <c r="E49" i="5" s="1"/>
  <c r="I49" i="5" s="1"/>
  <c r="E39" i="5" a="1"/>
  <c r="E39" i="5" s="1"/>
  <c r="I39" i="5" s="1"/>
  <c r="E50" i="5" a="1"/>
  <c r="E50" i="5" s="1"/>
  <c r="I50" i="5" s="1"/>
  <c r="E41" i="5" a="1"/>
  <c r="E41" i="5" s="1"/>
  <c r="I41" i="5" s="1"/>
  <c r="E53" i="5" a="1"/>
  <c r="E53" i="5" s="1"/>
  <c r="I53" i="5" s="1"/>
  <c r="E44" i="5" a="1"/>
  <c r="E44" i="5" s="1"/>
  <c r="I44" i="5" s="1"/>
  <c r="E45" i="5" a="1"/>
  <c r="E45" i="5" s="1"/>
  <c r="I45" i="5" s="1"/>
  <c r="E46" i="5" a="1"/>
  <c r="E46" i="5" s="1"/>
  <c r="I46" i="5" s="1"/>
  <c r="E38" i="5" a="1"/>
  <c r="E38" i="5" s="1"/>
  <c r="I38" i="5" s="1"/>
  <c r="E51" i="5" a="1"/>
  <c r="E51" i="5" s="1"/>
  <c r="I51" i="5" s="1"/>
  <c r="C47" i="2" l="1" a="1"/>
  <c r="C47" i="2" s="1"/>
  <c r="C51" i="2" a="1"/>
  <c r="C51" i="2" s="1"/>
  <c r="E34" i="3" a="1"/>
  <c r="E34" i="3" s="1"/>
  <c r="E35" i="3" a="1"/>
  <c r="E35" i="3" s="1"/>
  <c r="E36" i="3" a="1"/>
  <c r="E36" i="3" s="1"/>
  <c r="E37" i="3" a="1"/>
  <c r="E37" i="3"/>
  <c r="E38" i="3" a="1"/>
  <c r="E38" i="3" s="1"/>
  <c r="E39" i="3" a="1"/>
  <c r="E39" i="3" s="1"/>
  <c r="E40" i="3" a="1"/>
  <c r="E40" i="3" s="1"/>
  <c r="E41" i="3" a="1"/>
  <c r="E41" i="3"/>
  <c r="E42" i="3" a="1"/>
  <c r="E42" i="3" s="1"/>
  <c r="E43" i="3" a="1"/>
  <c r="E43" i="3" s="1"/>
  <c r="E44" i="3" a="1"/>
  <c r="E44" i="3" s="1"/>
  <c r="E45" i="3" a="1"/>
  <c r="E45" i="3"/>
  <c r="E46" i="3" a="1"/>
  <c r="E46" i="3" s="1"/>
  <c r="E47" i="3" a="1"/>
  <c r="E47" i="3" s="1"/>
  <c r="E48" i="3" a="1"/>
  <c r="E48" i="3" s="1"/>
  <c r="E49" i="3" a="1"/>
  <c r="E49" i="3"/>
  <c r="E50" i="3" a="1"/>
  <c r="E50" i="3" s="1"/>
  <c r="E51" i="3" a="1"/>
  <c r="E51" i="3" s="1"/>
  <c r="C34" i="3" a="1"/>
  <c r="C34" i="3" s="1"/>
  <c r="C35" i="3" a="1"/>
  <c r="C35" i="3" s="1"/>
  <c r="C36" i="3" a="1"/>
  <c r="C36" i="3" s="1"/>
  <c r="C37" i="3" a="1"/>
  <c r="C37" i="3"/>
  <c r="C38" i="3" a="1"/>
  <c r="C38" i="3" s="1"/>
  <c r="C39" i="3" a="1"/>
  <c r="C39" i="3" s="1"/>
  <c r="C40" i="3" a="1"/>
  <c r="C40" i="3" s="1"/>
  <c r="C41" i="3" a="1"/>
  <c r="C41" i="3"/>
  <c r="C42" i="3" a="1"/>
  <c r="C42" i="3" s="1"/>
  <c r="C43" i="3" a="1"/>
  <c r="C43" i="3" s="1"/>
  <c r="C44" i="3" a="1"/>
  <c r="C44" i="3" s="1"/>
  <c r="C45" i="3" a="1"/>
  <c r="C45" i="3"/>
  <c r="C46" i="3" a="1"/>
  <c r="C46" i="3" s="1"/>
  <c r="C47" i="3" a="1"/>
  <c r="C47" i="3" s="1"/>
  <c r="C48" i="3" a="1"/>
  <c r="C48" i="3" s="1"/>
  <c r="C49" i="3" a="1"/>
  <c r="C49" i="3"/>
  <c r="C50" i="3" a="1"/>
  <c r="C50" i="3" s="1"/>
  <c r="C51" i="3" a="1"/>
  <c r="C51" i="3" s="1"/>
  <c r="B34" i="3" a="1"/>
  <c r="B34" i="3" s="1"/>
  <c r="B35" i="3" a="1"/>
  <c r="B35" i="3" s="1"/>
  <c r="B36" i="3" a="1"/>
  <c r="B36" i="3" s="1"/>
  <c r="B37" i="3" a="1"/>
  <c r="B37" i="3"/>
  <c r="B38" i="3" a="1"/>
  <c r="B38" i="3" s="1"/>
  <c r="B39" i="3" a="1"/>
  <c r="B39" i="3" s="1"/>
  <c r="B40" i="3" a="1"/>
  <c r="B40" i="3" s="1"/>
  <c r="B41" i="3" a="1"/>
  <c r="B41" i="3" s="1"/>
  <c r="B42" i="3" a="1"/>
  <c r="B42" i="3" s="1"/>
  <c r="B43" i="3" a="1"/>
  <c r="B43" i="3" s="1"/>
  <c r="B44" i="3" a="1"/>
  <c r="B44" i="3" s="1"/>
  <c r="B45" i="3" a="1"/>
  <c r="B45" i="3"/>
  <c r="B46" i="3" a="1"/>
  <c r="B46" i="3" s="1"/>
  <c r="B47" i="3" a="1"/>
  <c r="B47" i="3" s="1"/>
  <c r="B48" i="3" a="1"/>
  <c r="B48" i="3" s="1"/>
  <c r="B49" i="3" a="1"/>
  <c r="B49" i="3"/>
  <c r="B50" i="3" a="1"/>
  <c r="B50" i="3" s="1"/>
  <c r="B51" i="3" a="1"/>
  <c r="B51" i="3" s="1"/>
  <c r="C14" i="4" a="1"/>
  <c r="C14" i="4" s="1"/>
  <c r="B6" i="4" a="1"/>
  <c r="B6" i="4" s="1"/>
  <c r="B7" i="4" a="1"/>
  <c r="B7" i="4" s="1"/>
  <c r="C7" i="4" s="1" a="1"/>
  <c r="C7" i="4" s="1"/>
  <c r="B8" i="4" a="1"/>
  <c r="B8" i="4" s="1"/>
  <c r="C8" i="4" s="1" a="1"/>
  <c r="C8" i="4" s="1"/>
  <c r="B9" i="4" a="1"/>
  <c r="B9" i="4" s="1"/>
  <c r="C9" i="4" s="1" a="1"/>
  <c r="C9" i="4" s="1"/>
  <c r="B10" i="4" a="1"/>
  <c r="B10" i="4" s="1"/>
  <c r="C10" i="4" s="1" a="1"/>
  <c r="C10" i="4" s="1"/>
  <c r="B11" i="4" a="1"/>
  <c r="B11" i="4" s="1"/>
  <c r="C11" i="4" s="1" a="1"/>
  <c r="C11" i="4" s="1"/>
  <c r="B12" i="4" a="1"/>
  <c r="B12" i="4" s="1"/>
  <c r="C12" i="4" s="1" a="1"/>
  <c r="C12" i="4" s="1"/>
  <c r="B13" i="4" a="1"/>
  <c r="B13" i="4" s="1"/>
  <c r="C13" i="4" s="1" a="1"/>
  <c r="C13" i="4" s="1"/>
  <c r="B14" i="4" a="1"/>
  <c r="B14" i="4" s="1"/>
  <c r="B15" i="4" a="1"/>
  <c r="B15" i="4" s="1"/>
  <c r="C15" i="4" s="1" a="1"/>
  <c r="C15" i="4" s="1"/>
  <c r="B16" i="4" a="1"/>
  <c r="B16" i="4" s="1"/>
  <c r="C16" i="4" s="1" a="1"/>
  <c r="C16" i="4" s="1"/>
  <c r="B17" i="4" a="1"/>
  <c r="B17" i="4" s="1"/>
  <c r="C17" i="4" s="1" a="1"/>
  <c r="C17" i="4" s="1"/>
  <c r="B18" i="4" a="1"/>
  <c r="B18" i="4" s="1"/>
  <c r="C18" i="4" s="1" a="1"/>
  <c r="C18" i="4" s="1"/>
  <c r="B19" i="4" a="1"/>
  <c r="B19" i="4" s="1"/>
  <c r="C19" i="4" s="1" a="1"/>
  <c r="C19" i="4" s="1"/>
  <c r="B20" i="4" a="1"/>
  <c r="B20" i="4" s="1"/>
  <c r="C20" i="4" s="1" a="1"/>
  <c r="C20" i="4" s="1"/>
  <c r="B21" i="4" a="1"/>
  <c r="B21" i="4" s="1"/>
  <c r="C21" i="4" s="1" a="1"/>
  <c r="C21" i="4" s="1"/>
  <c r="B22" i="4" a="1"/>
  <c r="B22" i="4" s="1"/>
  <c r="C22" i="4" s="1" a="1"/>
  <c r="C22" i="4" s="1"/>
  <c r="B23" i="4" a="1"/>
  <c r="B23" i="4" s="1"/>
  <c r="C23" i="4" s="1" a="1"/>
  <c r="C23" i="4" s="1"/>
  <c r="H2" i="4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A19" i="3"/>
  <c r="A18" i="3"/>
  <c r="A17" i="3"/>
  <c r="A16" i="3"/>
  <c r="A15" i="3"/>
  <c r="B15" i="3" s="1" a="1"/>
  <c r="B15" i="3" s="1"/>
  <c r="F12" i="3" s="1"/>
  <c r="A14" i="3"/>
  <c r="B14" i="3" s="1" a="1"/>
  <c r="B14" i="3" s="1"/>
  <c r="E12" i="3" s="1"/>
  <c r="A7" i="3"/>
  <c r="B7" i="3" s="1" a="1"/>
  <c r="B7" i="3" s="1"/>
  <c r="C7" i="3" s="1" a="1"/>
  <c r="C7" i="3" s="1"/>
  <c r="A6" i="3"/>
  <c r="B6" i="3" s="1" a="1"/>
  <c r="B6" i="3" s="1"/>
  <c r="C6" i="3" s="1" a="1"/>
  <c r="C6" i="3" s="1"/>
  <c r="A5" i="3"/>
  <c r="B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B19" i="3" a="1"/>
  <c r="B19" i="3" s="1"/>
  <c r="J12" i="3" s="1"/>
  <c r="B18" i="3" a="1"/>
  <c r="B18" i="3" s="1"/>
  <c r="I12" i="3" s="1"/>
  <c r="B17" i="3" a="1"/>
  <c r="B17" i="3" s="1"/>
  <c r="H12" i="3" s="1"/>
  <c r="B16" i="3" a="1"/>
  <c r="B16" i="3" s="1"/>
  <c r="G12" i="3" s="1"/>
  <c r="B5" i="3" a="1"/>
  <c r="B5" i="3" s="1"/>
  <c r="C5" i="3" s="1" a="1"/>
  <c r="C5" i="3" s="1"/>
  <c r="H2" i="3"/>
  <c r="F51" i="2"/>
  <c r="F50" i="2"/>
  <c r="C50" i="2" a="1"/>
  <c r="C50" i="2" s="1"/>
  <c r="F49" i="2"/>
  <c r="C49" i="2" a="1"/>
  <c r="C49" i="2" s="1"/>
  <c r="F48" i="2"/>
  <c r="C48" i="2" a="1"/>
  <c r="C48" i="2" s="1"/>
  <c r="F47" i="2"/>
  <c r="F46" i="2"/>
  <c r="C46" i="2" a="1"/>
  <c r="C46" i="2" s="1"/>
  <c r="F45" i="2"/>
  <c r="C45" i="2" a="1"/>
  <c r="C45" i="2" s="1"/>
  <c r="F44" i="2"/>
  <c r="C44" i="2" a="1"/>
  <c r="C44" i="2" s="1"/>
  <c r="F43" i="2"/>
  <c r="C43" i="2" a="1"/>
  <c r="C43" i="2" s="1"/>
  <c r="F42" i="2"/>
  <c r="C42" i="2" a="1"/>
  <c r="C42" i="2" s="1"/>
  <c r="F41" i="2"/>
  <c r="C41" i="2" a="1"/>
  <c r="C41" i="2" s="1"/>
  <c r="F40" i="2"/>
  <c r="C40" i="2" a="1"/>
  <c r="C40" i="2" s="1"/>
  <c r="F39" i="2"/>
  <c r="C39" i="2" a="1"/>
  <c r="C39" i="2" s="1"/>
  <c r="F38" i="2"/>
  <c r="C38" i="2" a="1"/>
  <c r="C38" i="2" s="1"/>
  <c r="F37" i="2"/>
  <c r="C37" i="2" a="1"/>
  <c r="C37" i="2" s="1"/>
  <c r="F36" i="2"/>
  <c r="C36" i="2" a="1"/>
  <c r="C36" i="2" s="1"/>
  <c r="F35" i="2"/>
  <c r="C35" i="2" a="1"/>
  <c r="C35" i="2" s="1"/>
  <c r="F34" i="2"/>
  <c r="C34" i="2" a="1"/>
  <c r="C34" i="2" s="1"/>
  <c r="K31" i="2" a="1"/>
  <c r="K31" i="2" s="1"/>
  <c r="K28" i="2" a="1"/>
  <c r="K28" i="2" s="1"/>
  <c r="B22" i="2" a="1"/>
  <c r="B22" i="2" s="1"/>
  <c r="M12" i="2" s="1"/>
  <c r="A22" i="2"/>
  <c r="B21" i="2" a="1"/>
  <c r="B21" i="2" s="1"/>
  <c r="L12" i="2" s="1"/>
  <c r="A21" i="2"/>
  <c r="A20" i="2"/>
  <c r="B20" i="2" s="1" a="1"/>
  <c r="B20" i="2" s="1"/>
  <c r="B19" i="2" a="1"/>
  <c r="B19" i="2" s="1"/>
  <c r="A19" i="2"/>
  <c r="A18" i="2"/>
  <c r="B18" i="2" s="1" a="1"/>
  <c r="B18" i="2" s="1"/>
  <c r="I12" i="2" s="1"/>
  <c r="A17" i="2"/>
  <c r="B17" i="2" s="1" a="1"/>
  <c r="B17" i="2" s="1"/>
  <c r="H12" i="2" s="1"/>
  <c r="A16" i="2"/>
  <c r="B16" i="2" s="1" a="1"/>
  <c r="B16" i="2" s="1"/>
  <c r="G12" i="2" s="1"/>
  <c r="B15" i="2" a="1"/>
  <c r="B15" i="2" s="1"/>
  <c r="F12" i="2" s="1"/>
  <c r="A15" i="2"/>
  <c r="K14" i="2" a="1"/>
  <c r="K14" i="2" s="1"/>
  <c r="A14" i="2"/>
  <c r="B14" i="2" s="1" a="1"/>
  <c r="B14" i="2" s="1"/>
  <c r="E12" i="2" s="1"/>
  <c r="K12" i="2"/>
  <c r="K30" i="2" s="1" a="1"/>
  <c r="K30" i="2" s="1"/>
  <c r="J12" i="2"/>
  <c r="B7" i="2" a="1"/>
  <c r="B7" i="2" s="1"/>
  <c r="C7" i="2" s="1" a="1"/>
  <c r="C7" i="2" s="1"/>
  <c r="A7" i="2"/>
  <c r="A6" i="2"/>
  <c r="B6" i="2" s="1" a="1"/>
  <c r="B6" i="2" s="1"/>
  <c r="C6" i="2" s="1" a="1"/>
  <c r="C6" i="2" s="1"/>
  <c r="A5" i="2"/>
  <c r="B5" i="2" s="1" a="1"/>
  <c r="B5" i="2" s="1"/>
  <c r="C5" i="2" s="1" a="1"/>
  <c r="C5" i="2" s="1"/>
  <c r="H2" i="2"/>
  <c r="B2" i="2"/>
  <c r="D5" i="2" l="1"/>
  <c r="E50" i="2" s="1" a="1"/>
  <c r="E50" i="2" s="1"/>
  <c r="E44" i="2" a="1"/>
  <c r="E44" i="2" s="1"/>
  <c r="E49" i="2" a="1"/>
  <c r="E49" i="2" s="1"/>
  <c r="E48" i="2" a="1"/>
  <c r="E48" i="2" s="1"/>
  <c r="E42" i="2" a="1"/>
  <c r="E42" i="2" s="1"/>
  <c r="E36" i="2" a="1"/>
  <c r="E36" i="2" s="1"/>
  <c r="E47" i="2" a="1"/>
  <c r="E47" i="2" s="1"/>
  <c r="E41" i="2" a="1"/>
  <c r="E41" i="2" s="1"/>
  <c r="E34" i="2" a="1"/>
  <c r="E34" i="2" s="1"/>
  <c r="D5" i="3"/>
  <c r="E5" i="3" s="1" a="1"/>
  <c r="E5" i="3" s="1"/>
  <c r="E27" i="3" a="1"/>
  <c r="E27" i="3" s="1"/>
  <c r="E14" i="3" a="1"/>
  <c r="E14" i="3" s="1"/>
  <c r="E24" i="3" a="1"/>
  <c r="E24" i="3" s="1"/>
  <c r="E19" i="3" a="1"/>
  <c r="E19" i="3" s="1"/>
  <c r="E15" i="3" a="1"/>
  <c r="E15" i="3" s="1"/>
  <c r="E29" i="3" a="1"/>
  <c r="E29" i="3" s="1"/>
  <c r="E22" i="3" a="1"/>
  <c r="E22" i="3" s="1"/>
  <c r="E18" i="3" a="1"/>
  <c r="E18" i="3" s="1"/>
  <c r="E26" i="3" a="1"/>
  <c r="E26" i="3" s="1"/>
  <c r="E20" i="3" a="1"/>
  <c r="E20" i="3" s="1"/>
  <c r="E16" i="3" a="1"/>
  <c r="E16" i="3" s="1"/>
  <c r="E30" i="3" a="1"/>
  <c r="E30" i="3" s="1"/>
  <c r="E31" i="3" a="1"/>
  <c r="E31" i="3" s="1"/>
  <c r="E23" i="3" a="1"/>
  <c r="E23" i="3" s="1"/>
  <c r="E28" i="3" a="1"/>
  <c r="E28" i="3" s="1"/>
  <c r="E21" i="3" a="1"/>
  <c r="E21" i="3" s="1"/>
  <c r="E17" i="3" a="1"/>
  <c r="E17" i="3" s="1"/>
  <c r="E25" i="3" a="1"/>
  <c r="E25" i="3" s="1"/>
  <c r="J29" i="3" a="1"/>
  <c r="J29" i="3" s="1"/>
  <c r="J26" i="3" a="1"/>
  <c r="J26" i="3" s="1"/>
  <c r="J20" i="3" a="1"/>
  <c r="J20" i="3" s="1"/>
  <c r="J16" i="3" a="1"/>
  <c r="J16" i="3" s="1"/>
  <c r="J31" i="3" a="1"/>
  <c r="J31" i="3" s="1"/>
  <c r="J23" i="3" a="1"/>
  <c r="J23" i="3" s="1"/>
  <c r="J24" i="3" a="1"/>
  <c r="J24" i="3" s="1"/>
  <c r="J28" i="3" a="1"/>
  <c r="J28" i="3" s="1"/>
  <c r="J21" i="3" a="1"/>
  <c r="J21" i="3" s="1"/>
  <c r="J17" i="3" a="1"/>
  <c r="J17" i="3" s="1"/>
  <c r="J27" i="3" a="1"/>
  <c r="J27" i="3" s="1"/>
  <c r="J19" i="3" a="1"/>
  <c r="J19" i="3" s="1"/>
  <c r="J25" i="3" a="1"/>
  <c r="J25" i="3" s="1"/>
  <c r="J30" i="3" a="1"/>
  <c r="J30" i="3" s="1"/>
  <c r="J22" i="3" a="1"/>
  <c r="J22" i="3" s="1"/>
  <c r="J18" i="3" a="1"/>
  <c r="J18" i="3" s="1"/>
  <c r="J14" i="3" a="1"/>
  <c r="J14" i="3" s="1"/>
  <c r="J15" i="3" a="1"/>
  <c r="J15" i="3" s="1"/>
  <c r="F29" i="3" a="1"/>
  <c r="F29" i="3" s="1"/>
  <c r="F26" i="3" a="1"/>
  <c r="F26" i="3" s="1"/>
  <c r="F20" i="3" a="1"/>
  <c r="F20" i="3" s="1"/>
  <c r="F16" i="3" a="1"/>
  <c r="F16" i="3" s="1"/>
  <c r="F15" i="3" a="1"/>
  <c r="F15" i="3" s="1"/>
  <c r="F31" i="3" a="1"/>
  <c r="F31" i="3" s="1"/>
  <c r="F23" i="3" a="1"/>
  <c r="F23" i="3" s="1"/>
  <c r="F27" i="3" a="1"/>
  <c r="F27" i="3" s="1"/>
  <c r="F28" i="3" a="1"/>
  <c r="F28" i="3" s="1"/>
  <c r="F21" i="3" a="1"/>
  <c r="F21" i="3" s="1"/>
  <c r="F17" i="3" a="1"/>
  <c r="F17" i="3" s="1"/>
  <c r="F25" i="3" a="1"/>
  <c r="F25" i="3" s="1"/>
  <c r="F24" i="3" a="1"/>
  <c r="F24" i="3" s="1"/>
  <c r="F19" i="3" a="1"/>
  <c r="F19" i="3" s="1"/>
  <c r="F30" i="3" a="1"/>
  <c r="F30" i="3" s="1"/>
  <c r="F22" i="3" a="1"/>
  <c r="F22" i="3" s="1"/>
  <c r="F18" i="3" a="1"/>
  <c r="F18" i="3" s="1"/>
  <c r="F14" i="3" a="1"/>
  <c r="F14" i="3" s="1"/>
  <c r="G31" i="3" a="1"/>
  <c r="G31" i="3" s="1"/>
  <c r="G23" i="3" a="1"/>
  <c r="G23" i="3" s="1"/>
  <c r="G16" i="3" a="1"/>
  <c r="G16" i="3" s="1"/>
  <c r="G28" i="3" a="1"/>
  <c r="G28" i="3" s="1"/>
  <c r="G21" i="3" a="1"/>
  <c r="G21" i="3" s="1"/>
  <c r="G17" i="3" a="1"/>
  <c r="G17" i="3" s="1"/>
  <c r="G20" i="3" a="1"/>
  <c r="G20" i="3" s="1"/>
  <c r="G25" i="3" a="1"/>
  <c r="G25" i="3" s="1"/>
  <c r="G30" i="3" a="1"/>
  <c r="G30" i="3" s="1"/>
  <c r="G22" i="3" a="1"/>
  <c r="G22" i="3" s="1"/>
  <c r="G18" i="3" a="1"/>
  <c r="G18" i="3" s="1"/>
  <c r="G14" i="3" a="1"/>
  <c r="G14" i="3" s="1"/>
  <c r="G27" i="3" a="1"/>
  <c r="G27" i="3" s="1"/>
  <c r="G29" i="3" a="1"/>
  <c r="G29" i="3" s="1"/>
  <c r="G24" i="3" a="1"/>
  <c r="G24" i="3" s="1"/>
  <c r="G19" i="3" a="1"/>
  <c r="G19" i="3" s="1"/>
  <c r="G15" i="3" a="1"/>
  <c r="G15" i="3" s="1"/>
  <c r="G26" i="3" a="1"/>
  <c r="G26" i="3" s="1"/>
  <c r="H25" i="3" a="1"/>
  <c r="H25" i="3" s="1"/>
  <c r="H28" i="3" a="1"/>
  <c r="H28" i="3" s="1"/>
  <c r="H30" i="3" a="1"/>
  <c r="H30" i="3" s="1"/>
  <c r="H22" i="3" a="1"/>
  <c r="H22" i="3" s="1"/>
  <c r="H18" i="3" a="1"/>
  <c r="H18" i="3" s="1"/>
  <c r="H14" i="3" a="1"/>
  <c r="H14" i="3" s="1"/>
  <c r="H27" i="3" a="1"/>
  <c r="H27" i="3" s="1"/>
  <c r="H24" i="3" a="1"/>
  <c r="H24" i="3" s="1"/>
  <c r="H19" i="3" a="1"/>
  <c r="H19" i="3" s="1"/>
  <c r="H15" i="3" a="1"/>
  <c r="H15" i="3" s="1"/>
  <c r="H23" i="3" a="1"/>
  <c r="H23" i="3" s="1"/>
  <c r="H17" i="3" a="1"/>
  <c r="H17" i="3" s="1"/>
  <c r="H29" i="3" a="1"/>
  <c r="H29" i="3" s="1"/>
  <c r="H26" i="3" a="1"/>
  <c r="H26" i="3" s="1"/>
  <c r="H20" i="3" a="1"/>
  <c r="H20" i="3" s="1"/>
  <c r="H16" i="3" a="1"/>
  <c r="H16" i="3" s="1"/>
  <c r="H31" i="3" a="1"/>
  <c r="H31" i="3" s="1"/>
  <c r="H21" i="3" a="1"/>
  <c r="H21" i="3" s="1"/>
  <c r="I27" i="3" a="1"/>
  <c r="I27" i="3" s="1"/>
  <c r="I24" i="3" a="1"/>
  <c r="I24" i="3" s="1"/>
  <c r="I19" i="3" a="1"/>
  <c r="I19" i="3" s="1"/>
  <c r="I15" i="3" a="1"/>
  <c r="I15" i="3" s="1"/>
  <c r="I25" i="3" a="1"/>
  <c r="I25" i="3" s="1"/>
  <c r="I29" i="3" a="1"/>
  <c r="I29" i="3" s="1"/>
  <c r="I26" i="3" a="1"/>
  <c r="I26" i="3" s="1"/>
  <c r="I20" i="3" a="1"/>
  <c r="I20" i="3" s="1"/>
  <c r="I16" i="3" a="1"/>
  <c r="I16" i="3" s="1"/>
  <c r="I31" i="3" a="1"/>
  <c r="I31" i="3" s="1"/>
  <c r="I23" i="3" a="1"/>
  <c r="I23" i="3" s="1"/>
  <c r="I14" i="3" a="1"/>
  <c r="I14" i="3" s="1"/>
  <c r="I28" i="3" a="1"/>
  <c r="I28" i="3" s="1"/>
  <c r="I21" i="3" a="1"/>
  <c r="I21" i="3" s="1"/>
  <c r="I17" i="3" a="1"/>
  <c r="I17" i="3" s="1"/>
  <c r="I30" i="3" a="1"/>
  <c r="I30" i="3" s="1"/>
  <c r="I22" i="3" a="1"/>
  <c r="I22" i="3" s="1"/>
  <c r="I18" i="3" a="1"/>
  <c r="I18" i="3" s="1"/>
  <c r="F25" i="2" a="1"/>
  <c r="F25" i="2" s="1"/>
  <c r="F30" i="2" a="1"/>
  <c r="F30" i="2" s="1"/>
  <c r="F22" i="2" a="1"/>
  <c r="F22" i="2" s="1"/>
  <c r="F18" i="2" a="1"/>
  <c r="F18" i="2" s="1"/>
  <c r="F29" i="2" a="1"/>
  <c r="F29" i="2" s="1"/>
  <c r="F17" i="2" a="1"/>
  <c r="F17" i="2" s="1"/>
  <c r="F16" i="2" a="1"/>
  <c r="F16" i="2" s="1"/>
  <c r="F31" i="2" a="1"/>
  <c r="F31" i="2" s="1"/>
  <c r="F27" i="2" a="1"/>
  <c r="F27" i="2" s="1"/>
  <c r="F28" i="2" a="1"/>
  <c r="F28" i="2" s="1"/>
  <c r="F24" i="2" a="1"/>
  <c r="F24" i="2" s="1"/>
  <c r="F26" i="2" a="1"/>
  <c r="F26" i="2" s="1"/>
  <c r="F15" i="2" a="1"/>
  <c r="F15" i="2" s="1"/>
  <c r="F21" i="2" a="1"/>
  <c r="F21" i="2" s="1"/>
  <c r="F20" i="2" a="1"/>
  <c r="F20" i="2" s="1"/>
  <c r="F19" i="2" a="1"/>
  <c r="F19" i="2" s="1"/>
  <c r="F23" i="2" a="1"/>
  <c r="F23" i="2" s="1"/>
  <c r="J25" i="2" a="1"/>
  <c r="J25" i="2" s="1"/>
  <c r="J30" i="2" a="1"/>
  <c r="J30" i="2" s="1"/>
  <c r="J22" i="2" a="1"/>
  <c r="J22" i="2" s="1"/>
  <c r="J18" i="2" a="1"/>
  <c r="J18" i="2" s="1"/>
  <c r="J23" i="2" a="1"/>
  <c r="J23" i="2" s="1"/>
  <c r="J14" i="2" a="1"/>
  <c r="J14" i="2" s="1"/>
  <c r="J28" i="2" a="1"/>
  <c r="J28" i="2" s="1"/>
  <c r="J24" i="2" a="1"/>
  <c r="J24" i="2" s="1"/>
  <c r="J21" i="2" a="1"/>
  <c r="J21" i="2" s="1"/>
  <c r="J20" i="2" a="1"/>
  <c r="J20" i="2" s="1"/>
  <c r="J19" i="2" a="1"/>
  <c r="J19" i="2" s="1"/>
  <c r="J29" i="2" a="1"/>
  <c r="J29" i="2" s="1"/>
  <c r="J17" i="2" a="1"/>
  <c r="J17" i="2" s="1"/>
  <c r="J16" i="2" a="1"/>
  <c r="J16" i="2" s="1"/>
  <c r="J15" i="2" a="1"/>
  <c r="J15" i="2" s="1"/>
  <c r="J27" i="2" a="1"/>
  <c r="J27" i="2" s="1"/>
  <c r="J26" i="2" a="1"/>
  <c r="J26" i="2" s="1"/>
  <c r="J31" i="2" a="1"/>
  <c r="J31" i="2" s="1"/>
  <c r="G27" i="2" a="1"/>
  <c r="G27" i="2" s="1"/>
  <c r="G24" i="2" a="1"/>
  <c r="G24" i="2" s="1"/>
  <c r="G19" i="2" a="1"/>
  <c r="G19" i="2" s="1"/>
  <c r="G25" i="2" a="1"/>
  <c r="G25" i="2" s="1"/>
  <c r="G30" i="2" a="1"/>
  <c r="G30" i="2" s="1"/>
  <c r="G26" i="2" a="1"/>
  <c r="G26" i="2" s="1"/>
  <c r="G15" i="2" a="1"/>
  <c r="G15" i="2" s="1"/>
  <c r="G31" i="2" a="1"/>
  <c r="G31" i="2" s="1"/>
  <c r="G23" i="2" a="1"/>
  <c r="G23" i="2" s="1"/>
  <c r="G29" i="2" a="1"/>
  <c r="G29" i="2" s="1"/>
  <c r="G17" i="2" a="1"/>
  <c r="G17" i="2" s="1"/>
  <c r="G16" i="2" a="1"/>
  <c r="G16" i="2" s="1"/>
  <c r="G22" i="2" a="1"/>
  <c r="G22" i="2" s="1"/>
  <c r="G21" i="2" a="1"/>
  <c r="G21" i="2" s="1"/>
  <c r="G20" i="2" a="1"/>
  <c r="G20" i="2" s="1"/>
  <c r="G28" i="2" a="1"/>
  <c r="G28" i="2" s="1"/>
  <c r="G18" i="2" a="1"/>
  <c r="G18" i="2" s="1"/>
  <c r="G14" i="2" a="1"/>
  <c r="G14" i="2" s="1"/>
  <c r="L29" i="2" a="1"/>
  <c r="L29" i="2" s="1"/>
  <c r="L26" i="2" a="1"/>
  <c r="L26" i="2" s="1"/>
  <c r="L20" i="2" a="1"/>
  <c r="L20" i="2" s="1"/>
  <c r="L16" i="2" a="1"/>
  <c r="L16" i="2" s="1"/>
  <c r="L25" i="2" a="1"/>
  <c r="L25" i="2" s="1"/>
  <c r="L15" i="2" a="1"/>
  <c r="L15" i="2" s="1"/>
  <c r="L24" i="2" a="1"/>
  <c r="L24" i="2" s="1"/>
  <c r="L30" i="2" a="1"/>
  <c r="L30" i="2" s="1"/>
  <c r="L31" i="2" a="1"/>
  <c r="L31" i="2" s="1"/>
  <c r="L27" i="2" a="1"/>
  <c r="L27" i="2" s="1"/>
  <c r="L23" i="2" a="1"/>
  <c r="L23" i="2" s="1"/>
  <c r="L19" i="2" a="1"/>
  <c r="L19" i="2" s="1"/>
  <c r="L14" i="2" a="1"/>
  <c r="L14" i="2" s="1"/>
  <c r="L18" i="2" a="1"/>
  <c r="L18" i="2" s="1"/>
  <c r="L22" i="2" a="1"/>
  <c r="L22" i="2" s="1"/>
  <c r="L21" i="2" a="1"/>
  <c r="L21" i="2" s="1"/>
  <c r="L28" i="2" a="1"/>
  <c r="L28" i="2" s="1"/>
  <c r="L17" i="2" a="1"/>
  <c r="L17" i="2" s="1"/>
  <c r="H29" i="2" a="1"/>
  <c r="H29" i="2" s="1"/>
  <c r="H26" i="2" a="1"/>
  <c r="H26" i="2" s="1"/>
  <c r="H20" i="2" a="1"/>
  <c r="H20" i="2" s="1"/>
  <c r="H16" i="2" a="1"/>
  <c r="H16" i="2" s="1"/>
  <c r="H31" i="2" a="1"/>
  <c r="H31" i="2" s="1"/>
  <c r="H15" i="2" a="1"/>
  <c r="H15" i="2" s="1"/>
  <c r="H22" i="2" a="1"/>
  <c r="H22" i="2" s="1"/>
  <c r="H21" i="2" a="1"/>
  <c r="H21" i="2" s="1"/>
  <c r="H27" i="2" a="1"/>
  <c r="H27" i="2" s="1"/>
  <c r="H23" i="2" a="1"/>
  <c r="H23" i="2" s="1"/>
  <c r="H18" i="2" a="1"/>
  <c r="H18" i="2" s="1"/>
  <c r="H17" i="2" a="1"/>
  <c r="H17" i="2" s="1"/>
  <c r="H14" i="2" a="1"/>
  <c r="H14" i="2" s="1"/>
  <c r="H28" i="2" a="1"/>
  <c r="H28" i="2" s="1"/>
  <c r="H19" i="2" a="1"/>
  <c r="H19" i="2" s="1"/>
  <c r="H24" i="2" a="1"/>
  <c r="H24" i="2" s="1"/>
  <c r="H25" i="2" a="1"/>
  <c r="H25" i="2" s="1"/>
  <c r="H30" i="2" a="1"/>
  <c r="H30" i="2" s="1"/>
  <c r="E31" i="2" a="1"/>
  <c r="E31" i="2" s="1"/>
  <c r="E23" i="2" a="1"/>
  <c r="E23" i="2" s="1"/>
  <c r="E28" i="2" a="1"/>
  <c r="E28" i="2" s="1"/>
  <c r="E21" i="2" a="1"/>
  <c r="E21" i="2" s="1"/>
  <c r="E17" i="2" a="1"/>
  <c r="E17" i="2" s="1"/>
  <c r="E18" i="2" a="1"/>
  <c r="E18" i="2" s="1"/>
  <c r="E24" i="2" a="1"/>
  <c r="E24" i="2" s="1"/>
  <c r="E20" i="2" a="1"/>
  <c r="E20" i="2" s="1"/>
  <c r="E29" i="2" a="1"/>
  <c r="E29" i="2" s="1"/>
  <c r="E25" i="2" a="1"/>
  <c r="E25" i="2" s="1"/>
  <c r="E16" i="2" a="1"/>
  <c r="E16" i="2" s="1"/>
  <c r="E15" i="2" a="1"/>
  <c r="E15" i="2" s="1"/>
  <c r="E19" i="2" a="1"/>
  <c r="E19" i="2" s="1"/>
  <c r="E30" i="2" a="1"/>
  <c r="E30" i="2" s="1"/>
  <c r="E26" i="2" a="1"/>
  <c r="E26" i="2" s="1"/>
  <c r="E22" i="2" a="1"/>
  <c r="E22" i="2" s="1"/>
  <c r="E27" i="2" a="1"/>
  <c r="E27" i="2" s="1"/>
  <c r="M31" i="2" a="1"/>
  <c r="M31" i="2" s="1"/>
  <c r="M23" i="2" a="1"/>
  <c r="M23" i="2" s="1"/>
  <c r="M28" i="2" a="1"/>
  <c r="M28" i="2" s="1"/>
  <c r="M21" i="2" a="1"/>
  <c r="M21" i="2" s="1"/>
  <c r="M17" i="2" a="1"/>
  <c r="M17" i="2" s="1"/>
  <c r="M26" i="2" a="1"/>
  <c r="M26" i="2" s="1"/>
  <c r="M22" i="2" a="1"/>
  <c r="M22" i="2" s="1"/>
  <c r="M27" i="2" a="1"/>
  <c r="M27" i="2" s="1"/>
  <c r="M18" i="2" a="1"/>
  <c r="M18" i="2" s="1"/>
  <c r="M29" i="2" a="1"/>
  <c r="M29" i="2" s="1"/>
  <c r="M25" i="2" a="1"/>
  <c r="M25" i="2" s="1"/>
  <c r="M15" i="2" a="1"/>
  <c r="M15" i="2" s="1"/>
  <c r="M20" i="2" a="1"/>
  <c r="M20" i="2" s="1"/>
  <c r="M19" i="2" a="1"/>
  <c r="M19" i="2" s="1"/>
  <c r="M14" i="2" a="1"/>
  <c r="M14" i="2" s="1"/>
  <c r="M24" i="2" a="1"/>
  <c r="M24" i="2" s="1"/>
  <c r="M16" i="2" a="1"/>
  <c r="M16" i="2" s="1"/>
  <c r="M30" i="2" a="1"/>
  <c r="M30" i="2" s="1"/>
  <c r="I31" i="2" a="1"/>
  <c r="I31" i="2" s="1"/>
  <c r="I23" i="2" a="1"/>
  <c r="I23" i="2" s="1"/>
  <c r="I28" i="2" a="1"/>
  <c r="I28" i="2" s="1"/>
  <c r="I21" i="2" a="1"/>
  <c r="I21" i="2" s="1"/>
  <c r="I17" i="2" a="1"/>
  <c r="I17" i="2" s="1"/>
  <c r="I27" i="2" a="1"/>
  <c r="I27" i="2" s="1"/>
  <c r="I20" i="2" a="1"/>
  <c r="I20" i="2" s="1"/>
  <c r="I19" i="2" a="1"/>
  <c r="I19" i="2" s="1"/>
  <c r="I22" i="2" a="1"/>
  <c r="I22" i="2" s="1"/>
  <c r="I18" i="2" a="1"/>
  <c r="I18" i="2" s="1"/>
  <c r="I14" i="2" a="1"/>
  <c r="I14" i="2" s="1"/>
  <c r="I29" i="2" a="1"/>
  <c r="I29" i="2" s="1"/>
  <c r="I25" i="2" a="1"/>
  <c r="I25" i="2" s="1"/>
  <c r="I16" i="2" a="1"/>
  <c r="I16" i="2" s="1"/>
  <c r="I26" i="2" a="1"/>
  <c r="I26" i="2" s="1"/>
  <c r="I24" i="2" a="1"/>
  <c r="I24" i="2" s="1"/>
  <c r="I15" i="2" a="1"/>
  <c r="I15" i="2" s="1"/>
  <c r="I30" i="2" a="1"/>
  <c r="I30" i="2" s="1"/>
  <c r="F14" i="2" a="1"/>
  <c r="F14" i="2" s="1"/>
  <c r="K20" i="2" a="1"/>
  <c r="K20" i="2" s="1"/>
  <c r="K21" i="2" a="1"/>
  <c r="K21" i="2" s="1"/>
  <c r="K22" i="2" a="1"/>
  <c r="K22" i="2" s="1"/>
  <c r="K26" i="2" a="1"/>
  <c r="K26" i="2" s="1"/>
  <c r="K27" i="2" a="1"/>
  <c r="K27" i="2" s="1"/>
  <c r="K24" i="2" a="1"/>
  <c r="K24" i="2" s="1"/>
  <c r="K19" i="2" a="1"/>
  <c r="K19" i="2" s="1"/>
  <c r="K23" i="2" a="1"/>
  <c r="K23" i="2" s="1"/>
  <c r="K15" i="2" a="1"/>
  <c r="K15" i="2" s="1"/>
  <c r="K25" i="2" a="1"/>
  <c r="K25" i="2" s="1"/>
  <c r="K16" i="2" a="1"/>
  <c r="K16" i="2" s="1"/>
  <c r="K17" i="2" a="1"/>
  <c r="K17" i="2" s="1"/>
  <c r="K18" i="2" a="1"/>
  <c r="K18" i="2" s="1"/>
  <c r="K29" i="2" a="1"/>
  <c r="K29" i="2" s="1"/>
  <c r="E38" i="2" l="1" a="1"/>
  <c r="E38" i="2" s="1"/>
  <c r="E43" i="2" a="1"/>
  <c r="E43" i="2" s="1"/>
  <c r="E45" i="2" a="1"/>
  <c r="E45" i="2" s="1"/>
  <c r="E35" i="2" a="1"/>
  <c r="E35" i="2" s="1"/>
  <c r="E5" i="2" a="1"/>
  <c r="E5" i="2" s="1"/>
  <c r="E37" i="2" a="1"/>
  <c r="E37" i="2" s="1"/>
  <c r="E39" i="2" a="1"/>
  <c r="E39" i="2" s="1"/>
  <c r="E40" i="2" a="1"/>
  <c r="E40" i="2" s="1"/>
  <c r="E46" i="2" a="1"/>
  <c r="E46" i="2" s="1"/>
  <c r="E51" i="2" a="1"/>
  <c r="E51" i="2" s="1"/>
  <c r="J10" i="4"/>
  <c r="J23" i="4"/>
  <c r="J19" i="4"/>
  <c r="J14" i="4"/>
  <c r="J8" i="4"/>
  <c r="J22" i="4"/>
  <c r="J12" i="4"/>
  <c r="J17" i="4"/>
  <c r="J18" i="4"/>
  <c r="J9" i="4"/>
  <c r="J21" i="4"/>
  <c r="J13" i="4"/>
  <c r="J7" i="4"/>
  <c r="J20" i="4"/>
  <c r="J11" i="4"/>
  <c r="J6" i="4"/>
  <c r="J15" i="4"/>
  <c r="J16" i="4"/>
  <c r="D41" i="3"/>
  <c r="J41" i="3" s="1"/>
  <c r="D38" i="3"/>
  <c r="J38" i="3" s="1"/>
  <c r="D42" i="3"/>
  <c r="J42" i="3" s="1"/>
  <c r="D43" i="3"/>
  <c r="J43" i="3" s="1"/>
  <c r="D49" i="3"/>
  <c r="J49" i="3" s="1"/>
  <c r="D48" i="3"/>
  <c r="J48" i="3" s="1"/>
  <c r="D51" i="3"/>
  <c r="J51" i="3" s="1"/>
  <c r="D35" i="3"/>
  <c r="J35" i="3" s="1"/>
  <c r="D50" i="3"/>
  <c r="J50" i="3" s="1"/>
  <c r="D39" i="3"/>
  <c r="J39" i="3" s="1"/>
  <c r="D36" i="3"/>
  <c r="J36" i="3" s="1"/>
  <c r="D44" i="3"/>
  <c r="J44" i="3" s="1"/>
  <c r="D45" i="3"/>
  <c r="J45" i="3" s="1"/>
  <c r="D40" i="3"/>
  <c r="J40" i="3" s="1"/>
  <c r="D34" i="3"/>
  <c r="J34" i="3" s="1"/>
  <c r="D37" i="3"/>
  <c r="J37" i="3" s="1"/>
  <c r="D46" i="3"/>
  <c r="J46" i="3" s="1"/>
  <c r="D47" i="3"/>
  <c r="J47" i="3" s="1"/>
  <c r="N19" i="2"/>
  <c r="D39" i="2" s="1"/>
  <c r="N30" i="2"/>
  <c r="D50" i="2" s="1"/>
  <c r="J50" i="2" s="1"/>
  <c r="B21" i="7" s="1"/>
  <c r="E21" i="7" s="1"/>
  <c r="N24" i="2"/>
  <c r="D44" i="2" s="1"/>
  <c r="J44" i="2" s="1"/>
  <c r="B15" i="7" s="1"/>
  <c r="E15" i="7" s="1"/>
  <c r="N15" i="2"/>
  <c r="D35" i="2" s="1"/>
  <c r="N17" i="2"/>
  <c r="D37" i="2" s="1"/>
  <c r="N16" i="2"/>
  <c r="D36" i="2" s="1"/>
  <c r="J36" i="2" s="1"/>
  <c r="B7" i="7" s="1"/>
  <c r="E7" i="7" s="1"/>
  <c r="N21" i="2"/>
  <c r="D41" i="2" s="1"/>
  <c r="J41" i="2" s="1"/>
  <c r="B12" i="7" s="1"/>
  <c r="E12" i="7" s="1"/>
  <c r="N25" i="2"/>
  <c r="D45" i="2" s="1"/>
  <c r="N28" i="2"/>
  <c r="D48" i="2" s="1"/>
  <c r="J48" i="2" s="1"/>
  <c r="B19" i="7" s="1"/>
  <c r="E19" i="7" s="1"/>
  <c r="N27" i="2"/>
  <c r="D47" i="2" s="1"/>
  <c r="J47" i="2" s="1"/>
  <c r="B18" i="7" s="1"/>
  <c r="E18" i="7" s="1"/>
  <c r="N29" i="2"/>
  <c r="D49" i="2" s="1"/>
  <c r="J49" i="2" s="1"/>
  <c r="B20" i="7" s="1"/>
  <c r="E20" i="7" s="1"/>
  <c r="N23" i="2"/>
  <c r="D43" i="2" s="1"/>
  <c r="J43" i="2" s="1"/>
  <c r="B14" i="7" s="1"/>
  <c r="E14" i="7" s="1"/>
  <c r="N18" i="2"/>
  <c r="D38" i="2" s="1"/>
  <c r="N22" i="2"/>
  <c r="D42" i="2" s="1"/>
  <c r="J42" i="2" s="1"/>
  <c r="B13" i="7" s="1"/>
  <c r="E13" i="7" s="1"/>
  <c r="N20" i="2"/>
  <c r="D40" i="2" s="1"/>
  <c r="N31" i="2"/>
  <c r="D51" i="2" s="1"/>
  <c r="N26" i="2"/>
  <c r="D46" i="2" s="1"/>
  <c r="N14" i="2"/>
  <c r="D34" i="2" s="1"/>
  <c r="J34" i="2" s="1"/>
  <c r="B5" i="7" s="1"/>
  <c r="E5" i="7" s="1"/>
  <c r="J46" i="2" l="1"/>
  <c r="B17" i="7" s="1"/>
  <c r="E17" i="7" s="1"/>
  <c r="J51" i="2"/>
  <c r="B22" i="7" s="1"/>
  <c r="E22" i="7" s="1"/>
  <c r="J38" i="2"/>
  <c r="B9" i="7" s="1"/>
  <c r="E9" i="7" s="1"/>
  <c r="J40" i="2"/>
  <c r="B11" i="7" s="1"/>
  <c r="E11" i="7" s="1"/>
  <c r="J37" i="2"/>
  <c r="B8" i="7" s="1"/>
  <c r="E8" i="7" s="1"/>
  <c r="J39" i="2"/>
  <c r="B10" i="7" s="1"/>
  <c r="E10" i="7" s="1"/>
  <c r="J45" i="2"/>
  <c r="B16" i="7" s="1"/>
  <c r="E16" i="7" s="1"/>
  <c r="J35" i="2"/>
  <c r="B6" i="7" s="1"/>
  <c r="E6" i="7" s="1"/>
  <c r="O10" i="1"/>
  <c r="O9" i="1"/>
  <c r="O8" i="1"/>
  <c r="O7" i="1"/>
  <c r="O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<sst xmlns="http://schemas.openxmlformats.org/spreadsheetml/2006/main" count="206" uniqueCount="70">
  <si>
    <t>Optimized geometry</t>
  </si>
  <si>
    <t>R5=distance between isolated hydrogen and</t>
  </si>
  <si>
    <t>closest hydrogen of the methane</t>
  </si>
  <si>
    <t>R4</t>
  </si>
  <si>
    <t>R4= disance between carbon and hydrogen closest to isolated atom</t>
  </si>
  <si>
    <t>from here it's starting to lower again</t>
  </si>
  <si>
    <t>i will use 1.4 as initial guess</t>
  </si>
  <si>
    <t>Energy</t>
  </si>
  <si>
    <t>using 1.4 as initial guess and calculating to transition state lead to a state where the normal</t>
  </si>
  <si>
    <t>modes are:</t>
  </si>
  <si>
    <t>Pi Greco</t>
  </si>
  <si>
    <t>Massa</t>
  </si>
  <si>
    <t>Boltzmann k</t>
  </si>
  <si>
    <t>Planck h</t>
  </si>
  <si>
    <t>Rydberg R</t>
  </si>
  <si>
    <t>Avogadro N</t>
  </si>
  <si>
    <t>Speed of Light [cm/s]</t>
  </si>
  <si>
    <t>Speed of Light [m/s]</t>
  </si>
  <si>
    <t>Rotational Constants [Ghz]</t>
  </si>
  <si>
    <t>Rotational Constant [m^-1]</t>
  </si>
  <si>
    <t>Moments of Inertia</t>
  </si>
  <si>
    <t>Total Moment of Inertia</t>
  </si>
  <si>
    <t>Theta rot</t>
  </si>
  <si>
    <t>Simmetry Number</t>
  </si>
  <si>
    <t>Frequency1</t>
  </si>
  <si>
    <t>Frequency2</t>
  </si>
  <si>
    <t>Frequency3</t>
  </si>
  <si>
    <t>Frequency4</t>
  </si>
  <si>
    <t>Frequency5</t>
  </si>
  <si>
    <t>Frequency6</t>
  </si>
  <si>
    <t>Frequency7</t>
  </si>
  <si>
    <t>Frequency8</t>
  </si>
  <si>
    <t>Frequency9</t>
  </si>
  <si>
    <t>Wavenumbers [cm^-1]</t>
  </si>
  <si>
    <t>Frequencies [s^-1]</t>
  </si>
  <si>
    <t>Temperatura</t>
  </si>
  <si>
    <t>Qvib1</t>
  </si>
  <si>
    <t>Qvib2</t>
  </si>
  <si>
    <t>Qvib3</t>
  </si>
  <si>
    <t>Qvib4</t>
  </si>
  <si>
    <t>Qvib5</t>
  </si>
  <si>
    <t>Qvib6</t>
  </si>
  <si>
    <t>Qvib7</t>
  </si>
  <si>
    <t>Qvib8</t>
  </si>
  <si>
    <t>Qvib9</t>
  </si>
  <si>
    <t>Qtot</t>
  </si>
  <si>
    <t>Volume</t>
  </si>
  <si>
    <t>Qtrasl</t>
  </si>
  <si>
    <t>Qvib</t>
  </si>
  <si>
    <t>Qrot</t>
  </si>
  <si>
    <t>Qel</t>
  </si>
  <si>
    <t>Frequency10</t>
  </si>
  <si>
    <t>Frequency11</t>
  </si>
  <si>
    <t>Frequency12</t>
  </si>
  <si>
    <t>Qvib10</t>
  </si>
  <si>
    <t>Qvib11</t>
  </si>
  <si>
    <t>Qvib12</t>
  </si>
  <si>
    <t>Temperature</t>
  </si>
  <si>
    <t>Q CH4</t>
  </si>
  <si>
    <t xml:space="preserve">Q H </t>
  </si>
  <si>
    <t>Q TST</t>
  </si>
  <si>
    <t>hn4</t>
  </si>
  <si>
    <t>kr</t>
  </si>
  <si>
    <t>Q CH3</t>
  </si>
  <si>
    <t>Q H2</t>
  </si>
  <si>
    <t>kp</t>
  </si>
  <si>
    <t>1.3 can be a good guess</t>
  </si>
  <si>
    <t>QCH4</t>
  </si>
  <si>
    <t>QTST</t>
  </si>
  <si>
    <t>QH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</si>
</sst>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8"/>
        <bgColor theme="8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164" fontId="0" fillId="0" borderId="0" xfId="0" applyNumberFormat="1"/>
    <xf numFmtId="2" fontId="0" fillId="0" borderId="0" xfId="0" applyNumberFormat="1"/>
    <xf numFmtId="11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1" fillId="3" borderId="3" xfId="0" applyFont="1" applyFill="1" applyBorder="1"/>
    <xf numFmtId="0" fontId="0" fillId="0" borderId="3" xfId="0" applyBorder="1"/>
    <xf numFmtId="0" fontId="0" fillId="0" borderId="4" xfId="0" applyBorder="1"/>
    <xf numFmtId="0" fontId="0" fillId="0" borderId="0" xfId="0" applyNumberFormat="1"/>
  </cellXfs>
  <cellStyles count="1">
    <cellStyle name="Normale" xfId="0" builtinId="0"/>
  </cellStyles>
  <dxfs count="95">
    <dxf>
      <numFmt numFmtId="15" formatCode="0.00E+00"/>
    </dxf>
    <dxf>
      <numFmt numFmtId="0" formatCode="General"/>
    </dxf>
    <dxf>
      <numFmt numFmtId="0" formatCode="General"/>
    </dxf>
    <dxf>
      <numFmt numFmtId="0" formatCode="General"/>
    </dxf>
    <dxf>
      <numFmt numFmtId="15" formatCode="0.00E+00"/>
    </dxf>
    <dxf>
      <numFmt numFmtId="164" formatCode="0.00000"/>
    </dxf>
    <dxf>
      <numFmt numFmtId="2" formatCode="0.00"/>
    </dxf>
    <dxf>
      <numFmt numFmtId="164" formatCode="0.00000"/>
    </dxf>
    <dxf>
      <numFmt numFmtId="15" formatCode="0.00E+00"/>
    </dxf>
    <dxf>
      <numFmt numFmtId="0" formatCode="General"/>
    </dxf>
    <dxf>
      <numFmt numFmtId="0" formatCode="General"/>
    </dxf>
    <dxf>
      <numFmt numFmtId="0" formatCode="General"/>
    </dxf>
    <dxf>
      <numFmt numFmtId="15" formatCode="0.00E+00"/>
    </dxf>
    <dxf>
      <numFmt numFmtId="0" formatCode="General"/>
    </dxf>
    <dxf>
      <numFmt numFmtId="15" formatCode="0.00E+00"/>
    </dxf>
    <dxf>
      <numFmt numFmtId="0" formatCode="General"/>
    </dxf>
    <dxf>
      <numFmt numFmtId="15" formatCode="0.00E+00"/>
    </dxf>
    <dxf>
      <numFmt numFmtId="15" formatCode="0.00E+00"/>
    </dxf>
    <dxf>
      <numFmt numFmtId="15" formatCode="0.00E+00"/>
    </dxf>
    <dxf>
      <numFmt numFmtId="0" formatCode="General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0" formatCode="General"/>
    </dxf>
    <dxf>
      <numFmt numFmtId="0" formatCode="General"/>
    </dxf>
    <dxf>
      <numFmt numFmtId="165" formatCode="0.00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5" formatCode="0.00E+00"/>
    </dxf>
    <dxf>
      <numFmt numFmtId="164" formatCode="0.00000"/>
    </dxf>
    <dxf>
      <numFmt numFmtId="2" formatCode="0.00"/>
    </dxf>
    <dxf>
      <numFmt numFmtId="164" formatCode="0.00000"/>
    </dxf>
    <dxf>
      <numFmt numFmtId="15" formatCode="0.00E+00"/>
    </dxf>
    <dxf>
      <numFmt numFmtId="15" formatCode="0.00E+00"/>
    </dxf>
    <dxf>
      <numFmt numFmtId="15" formatCode="0.00E+00"/>
    </dxf>
    <dxf>
      <numFmt numFmtId="0" formatCode="General"/>
    </dxf>
    <dxf>
      <numFmt numFmtId="165" formatCode="0.0000"/>
    </dxf>
    <dxf>
      <numFmt numFmtId="0" formatCode="General"/>
    </dxf>
    <dxf>
      <numFmt numFmtId="0" formatCode="General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5" formatCode="0.00E+00"/>
    </dxf>
    <dxf>
      <numFmt numFmtId="15" formatCode="0.00E+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 vs</a:t>
            </a:r>
            <a:r>
              <a:rPr lang="en-US" baseline="0"/>
              <a:t> Temperature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'Rate constant 1'!$E$4</c:f>
              <c:strCache>
                <c:ptCount val="1"/>
                <c:pt idx="0">
                  <c:v>kr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'Rate constant 1'!$A$5:$A$22</c:f>
              <c:numCache>
                <c:formatCode>General</c:formatCode>
                <c:ptCount val="18"/>
                <c:pt idx="0">
                  <c:v>298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xVal>
          <c:yVal>
            <c:numRef>
              <c:f>'Rate constant 1'!$E$5:$E$22</c:f>
              <c:numCache>
                <c:formatCode>0.00E+00</c:formatCode>
                <c:ptCount val="18"/>
                <c:pt idx="0">
                  <c:v>13174282413.128271</c:v>
                </c:pt>
                <c:pt idx="1">
                  <c:v>5960251659.7156343</c:v>
                </c:pt>
                <c:pt idx="2">
                  <c:v>3818518463.4706049</c:v>
                </c:pt>
                <c:pt idx="3">
                  <c:v>2903112204.0497065</c:v>
                </c:pt>
                <c:pt idx="4">
                  <c:v>2436354526.6592669</c:v>
                </c:pt>
                <c:pt idx="5">
                  <c:v>2172838085.9453835</c:v>
                </c:pt>
                <c:pt idx="6">
                  <c:v>2015246399.8355436</c:v>
                </c:pt>
                <c:pt idx="7">
                  <c:v>1918529414.3469939</c:v>
                </c:pt>
                <c:pt idx="8">
                  <c:v>1859376098.2292645</c:v>
                </c:pt>
                <c:pt idx="9">
                  <c:v>1824673717.7485361</c:v>
                </c:pt>
                <c:pt idx="10">
                  <c:v>1806554036.2476768</c:v>
                </c:pt>
                <c:pt idx="11">
                  <c:v>1800047742.3409178</c:v>
                </c:pt>
                <c:pt idx="12">
                  <c:v>1801883756.5241265</c:v>
                </c:pt>
                <c:pt idx="13">
                  <c:v>1809834364.3191326</c:v>
                </c:pt>
                <c:pt idx="14">
                  <c:v>1822338803.0653501</c:v>
                </c:pt>
                <c:pt idx="15">
                  <c:v>1838277151.1825092</c:v>
                </c:pt>
                <c:pt idx="16">
                  <c:v>1856829314.0231102</c:v>
                </c:pt>
                <c:pt idx="17">
                  <c:v>1877384198.2652397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9A-4526-8529-F884B77AE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7451184"/>
        <c:axId val="1107451664"/>
      </c:scatterChart>
      <c:valAx>
        <c:axId val="110745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451664"/>
        <c:crosses val="autoZero"/>
        <c:crossBetween val="midCat"/>
      </c:valAx>
      <c:valAx>
        <c:axId val="110745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451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</xdr:colOff>
      <xdr:row>0</xdr:row>
      <xdr:rowOff>137160</xdr:rowOff>
    </xdr:from>
    <xdr:to>
      <xdr:col>4</xdr:col>
      <xdr:colOff>167640</xdr:colOff>
      <xdr:row>3</xdr:row>
      <xdr:rowOff>68580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51726298-E98E-6A7D-8ADC-CA91057FB388}"/>
            </a:ext>
          </a:extLst>
        </xdr:cNvPr>
        <xdr:cNvSpPr txBox="1"/>
      </xdr:nvSpPr>
      <xdr:spPr>
        <a:xfrm>
          <a:off x="160020" y="137160"/>
          <a:ext cx="2446020" cy="480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CH4 +</a:t>
          </a:r>
          <a:r>
            <a:rPr lang="en-US" sz="2000" baseline="0"/>
            <a:t> H -&gt; CH3 + H2</a:t>
          </a:r>
          <a:endParaRPr lang="en-US" sz="2000"/>
        </a:p>
      </xdr:txBody>
    </xdr:sp>
    <xdr:clientData/>
  </xdr:twoCellAnchor>
  <xdr:twoCellAnchor>
    <xdr:from>
      <xdr:col>0</xdr:col>
      <xdr:colOff>182880</xdr:colOff>
      <xdr:row>3</xdr:row>
      <xdr:rowOff>129540</xdr:rowOff>
    </xdr:from>
    <xdr:to>
      <xdr:col>5</xdr:col>
      <xdr:colOff>289560</xdr:colOff>
      <xdr:row>22</xdr:row>
      <xdr:rowOff>45720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2BE94280-9823-0CA1-8BCC-E8A27BFF5E87}"/>
            </a:ext>
          </a:extLst>
        </xdr:cNvPr>
        <xdr:cNvSpPr txBox="1"/>
      </xdr:nvSpPr>
      <xdr:spPr>
        <a:xfrm>
          <a:off x="182880" y="678180"/>
          <a:ext cx="3977640" cy="3390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! Name  Definition              Value          Derivative Info.                !</a:t>
          </a:r>
        </a:p>
        <a:p>
          <a:r>
            <a:rPr lang="en-US" sz="1100"/>
            <a:t> --------------------------------------------------------------------------------</a:t>
          </a:r>
        </a:p>
        <a:p>
          <a:r>
            <a:rPr lang="en-US" sz="1100"/>
            <a:t> ! R1    R(1,2)                  1.0928         -DE/DX =    0.0                 !</a:t>
          </a:r>
        </a:p>
        <a:p>
          <a:r>
            <a:rPr lang="en-US" sz="1100"/>
            <a:t> ! R2    R(1,3)                  1.0928         -DE/DX =    0.0                 !</a:t>
          </a:r>
        </a:p>
        <a:p>
          <a:r>
            <a:rPr lang="en-US" sz="1100"/>
            <a:t> ! R3    R(1,4)                  1.0928         -DE/DX =    0.0                 !</a:t>
          </a:r>
        </a:p>
        <a:p>
          <a:r>
            <a:rPr lang="en-US" sz="1100"/>
            <a:t> ! R4    R(1,5)                  1.0929         -DE/DX =    0.0                 !</a:t>
          </a:r>
        </a:p>
        <a:p>
          <a:r>
            <a:rPr lang="en-US" sz="1100"/>
            <a:t> ! R5    R(5,6)                  2.6028         -DE/DX =    0.0                 !</a:t>
          </a:r>
        </a:p>
        <a:p>
          <a:r>
            <a:rPr lang="en-US" sz="1100"/>
            <a:t> ! A1    A(2,1,3)              109.4803         -DE/DX =    0.0                 !</a:t>
          </a:r>
        </a:p>
        <a:p>
          <a:r>
            <a:rPr lang="en-US" sz="1100"/>
            <a:t> ! A2    A(2,1,4)              109.4803         -DE/DX =    0.0                 !</a:t>
          </a:r>
        </a:p>
        <a:p>
          <a:r>
            <a:rPr lang="en-US" sz="1100"/>
            <a:t> ! A3    A(2,1,5)              109.4621         -DE/DX =    0.0                 !</a:t>
          </a:r>
        </a:p>
        <a:p>
          <a:r>
            <a:rPr lang="en-US" sz="1100"/>
            <a:t> ! A4    A(3,1,4)              109.4803         -DE/DX =    0.0                 !</a:t>
          </a:r>
        </a:p>
        <a:p>
          <a:r>
            <a:rPr lang="en-US" sz="1100"/>
            <a:t> ! A5    A(3,1,5)              109.4621         -DE/DX =    0.0                 !</a:t>
          </a:r>
        </a:p>
        <a:p>
          <a:r>
            <a:rPr lang="en-US" sz="1100"/>
            <a:t> ! A6    A(4,1,5)              109.4621         -DE/DX =    0.0                 !</a:t>
          </a:r>
        </a:p>
        <a:p>
          <a:r>
            <a:rPr lang="en-US" sz="1100"/>
            <a:t> ! A7    L(1,5,6,2,-1)         180.0            -DE/DX =    0.0                 !</a:t>
          </a:r>
        </a:p>
        <a:p>
          <a:r>
            <a:rPr lang="en-US" sz="1100"/>
            <a:t> ! A8    L(1,5,6,2,-2)         180.0            -DE/DX =    0.0                 !</a:t>
          </a:r>
        </a:p>
        <a:p>
          <a:r>
            <a:rPr lang="en-US" sz="1100"/>
            <a:t> ! D1    D(2,1,4,3)           -120.0224         -DE/DX =    0.0                 !</a:t>
          </a:r>
        </a:p>
        <a:p>
          <a:r>
            <a:rPr lang="en-US" sz="1100"/>
            <a:t> ! D2    D(2,1,5,3)            120.0            -DE/DX =    0.0                 !</a:t>
          </a:r>
        </a:p>
        <a:p>
          <a:r>
            <a:rPr lang="en-US" sz="1100"/>
            <a:t> ! D3    D(2,1,5,4)           -120.0            -DE/DX =    0.0                 !</a:t>
          </a:r>
        </a:p>
        <a:p>
          <a:r>
            <a:rPr lang="en-US" sz="1100"/>
            <a:t> ! D4    D(3,1,5,4)            120.0            -DE/DX =    0.0                 !</a:t>
          </a:r>
        </a:p>
        <a:p>
          <a:endParaRPr lang="en-US" sz="1100"/>
        </a:p>
      </xdr:txBody>
    </xdr:sp>
    <xdr:clientData/>
  </xdr:twoCellAnchor>
  <xdr:twoCellAnchor editAs="oneCell">
    <xdr:from>
      <xdr:col>13</xdr:col>
      <xdr:colOff>7620</xdr:colOff>
      <xdr:row>15</xdr:row>
      <xdr:rowOff>106680</xdr:rowOff>
    </xdr:from>
    <xdr:to>
      <xdr:col>16</xdr:col>
      <xdr:colOff>525780</xdr:colOff>
      <xdr:row>28</xdr:row>
      <xdr:rowOff>65620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2B47C306-CFE3-B104-F6C7-998972A03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5380" y="2849880"/>
          <a:ext cx="3025140" cy="2336380"/>
        </a:xfrm>
        <a:prstGeom prst="rect">
          <a:avLst/>
        </a:prstGeom>
      </xdr:spPr>
    </xdr:pic>
    <xdr:clientData/>
  </xdr:twoCellAnchor>
  <xdr:twoCellAnchor>
    <xdr:from>
      <xdr:col>0</xdr:col>
      <xdr:colOff>205740</xdr:colOff>
      <xdr:row>25</xdr:row>
      <xdr:rowOff>106680</xdr:rowOff>
    </xdr:from>
    <xdr:to>
      <xdr:col>9</xdr:col>
      <xdr:colOff>68580</xdr:colOff>
      <xdr:row>46</xdr:row>
      <xdr:rowOff>0</xdr:rowOff>
    </xdr:to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A66BC876-7D03-945F-F190-84A0ADFA7FE3}"/>
            </a:ext>
          </a:extLst>
        </xdr:cNvPr>
        <xdr:cNvSpPr txBox="1"/>
      </xdr:nvSpPr>
      <xdr:spPr>
        <a:xfrm>
          <a:off x="205740" y="4678680"/>
          <a:ext cx="6172200" cy="3733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Transition state geomtry</a:t>
          </a:r>
        </a:p>
        <a:p>
          <a:r>
            <a:rPr lang="en-US" sz="1100"/>
            <a:t>                      ----------------------------</a:t>
          </a:r>
        </a:p>
        <a:p>
          <a:r>
            <a:rPr lang="en-US" sz="1100"/>
            <a:t>                       !   Optimized Parameters   !</a:t>
          </a:r>
        </a:p>
        <a:p>
          <a:r>
            <a:rPr lang="en-US" sz="1100"/>
            <a:t>                       ! (Angstroms and Degrees)  !</a:t>
          </a:r>
        </a:p>
        <a:p>
          <a:r>
            <a:rPr lang="en-US" sz="1100"/>
            <a:t> ----------------------                            ----------------------</a:t>
          </a:r>
        </a:p>
        <a:p>
          <a:r>
            <a:rPr lang="en-US" sz="1100"/>
            <a:t> !      Name          Value   Derivative information (Atomic Units)	!</a:t>
          </a:r>
        </a:p>
        <a:p>
          <a:r>
            <a:rPr lang="en-US" sz="1100"/>
            <a:t> ------------------------------------------------------------------------</a:t>
          </a:r>
        </a:p>
        <a:p>
          <a:r>
            <a:rPr lang="en-US" sz="1100"/>
            <a:t> !       hc2         1.0882   -DE/DX =    0.0                    	!</a:t>
          </a:r>
        </a:p>
        <a:p>
          <a:r>
            <a:rPr lang="en-US" sz="1100"/>
            <a:t> !       hc3         1.0882   -DE/DX =    0.0                    	!</a:t>
          </a:r>
        </a:p>
        <a:p>
          <a:r>
            <a:rPr lang="en-US" sz="1100"/>
            <a:t> !      hch3       114.9682   -DE/DX =    0.0                    	!</a:t>
          </a:r>
        </a:p>
        <a:p>
          <a:r>
            <a:rPr lang="en-US" sz="1100"/>
            <a:t> !       hc4         1.0882   -DE/DX =    0.0                    	!</a:t>
          </a:r>
        </a:p>
        <a:p>
          <a:r>
            <a:rPr lang="en-US" sz="1100"/>
            <a:t> !      hch4       114.9738   -DE/DX =    0.0                    	!</a:t>
          </a:r>
        </a:p>
        <a:p>
          <a:r>
            <a:rPr lang="en-US" sz="1100"/>
            <a:t> !      dih4       136.9343   -DE/DX =    0.0                    	!</a:t>
          </a:r>
        </a:p>
        <a:p>
          <a:r>
            <a:rPr lang="en-US" sz="1100"/>
            <a:t> !      hch5       103.1619   -DE/DX =    0.0                    	!</a:t>
          </a:r>
        </a:p>
        <a:p>
          <a:r>
            <a:rPr lang="en-US" sz="1100"/>
            <a:t> !</a:t>
          </a:r>
          <a:r>
            <a:rPr lang="en-US" sz="1100" baseline="0"/>
            <a:t>      </a:t>
          </a:r>
          <a:r>
            <a:rPr lang="en-US" sz="1100"/>
            <a:t>dih5	  -111.5266   -DE/DX =    0.0                           !</a:t>
          </a:r>
        </a:p>
        <a:p>
          <a:r>
            <a:rPr lang="en-US" sz="1100"/>
            <a:t> !</a:t>
          </a:r>
          <a:r>
            <a:rPr lang="en-US" sz="1100" baseline="0"/>
            <a:t>     </a:t>
          </a:r>
          <a:r>
            <a:rPr lang="en-US" sz="1100"/>
            <a:t> hh7         0.8954   -DE/DX =    0.0                           !</a:t>
          </a:r>
        </a:p>
        <a:p>
          <a:r>
            <a:rPr lang="en-US" sz="1100"/>
            <a:t> !</a:t>
          </a:r>
          <a:r>
            <a:rPr lang="en-US" sz="1100" baseline="0"/>
            <a:t>    </a:t>
          </a:r>
          <a:r>
            <a:rPr lang="en-US" sz="1100"/>
            <a:t>hhxx7       89.9991   -DE/DX =    0.0                           !</a:t>
          </a:r>
        </a:p>
        <a:p>
          <a:r>
            <a:rPr lang="en-US" sz="1100"/>
            <a:t> !</a:t>
          </a:r>
          <a:r>
            <a:rPr lang="en-US" sz="1100" baseline="0"/>
            <a:t>    </a:t>
          </a:r>
          <a:r>
            <a:rPr lang="en-US" sz="1100"/>
            <a:t>dih7	   180.0024   -DE/DX =    0.0                           !</a:t>
          </a:r>
        </a:p>
        <a:p>
          <a:r>
            <a:rPr lang="en-US" sz="1100"/>
            <a:t> </a:t>
          </a:r>
          <a:r>
            <a:rPr lang="en-US" sz="1100" baseline="0"/>
            <a:t>!    </a:t>
          </a:r>
          <a:r>
            <a:rPr lang="en-US" sz="1100"/>
            <a:t>hc5         1.4079   -DE/DX =    0.0                           !</a:t>
          </a:r>
        </a:p>
        <a:p>
          <a:r>
            <a:rPr lang="en-US" sz="1100"/>
            <a:t> ------------------------------------------------------------------------</a:t>
          </a:r>
        </a:p>
        <a:p>
          <a:endParaRPr 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152400</xdr:colOff>
      <xdr:row>2</xdr:row>
      <xdr:rowOff>121920</xdr:rowOff>
    </xdr:from>
    <xdr:to>
      <xdr:col>19</xdr:col>
      <xdr:colOff>457200</xdr:colOff>
      <xdr:row>17</xdr:row>
      <xdr:rowOff>121920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7993AB1-6771-72CC-4017-D4263E64B4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0</xdr:row>
      <xdr:rowOff>76200</xdr:rowOff>
    </xdr:from>
    <xdr:to>
      <xdr:col>4</xdr:col>
      <xdr:colOff>457200</xdr:colOff>
      <xdr:row>2</xdr:row>
      <xdr:rowOff>152400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702F60F1-277A-248B-B92D-5D0EFEC3A1DC}"/>
            </a:ext>
          </a:extLst>
        </xdr:cNvPr>
        <xdr:cNvSpPr txBox="1"/>
      </xdr:nvSpPr>
      <xdr:spPr>
        <a:xfrm>
          <a:off x="99060" y="76200"/>
          <a:ext cx="2796540" cy="441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NH3</a:t>
          </a:r>
          <a:r>
            <a:rPr lang="en-US" sz="2000" baseline="0"/>
            <a:t> + H -&gt; NH2 + H2</a:t>
          </a:r>
          <a:endParaRPr lang="en-US" sz="2000"/>
        </a:p>
      </xdr:txBody>
    </xdr:sp>
    <xdr:clientData/>
  </xdr:twoCellAnchor>
  <xdr:twoCellAnchor>
    <xdr:from>
      <xdr:col>0</xdr:col>
      <xdr:colOff>129540</xdr:colOff>
      <xdr:row>3</xdr:row>
      <xdr:rowOff>91440</xdr:rowOff>
    </xdr:from>
    <xdr:to>
      <xdr:col>8</xdr:col>
      <xdr:colOff>76200</xdr:colOff>
      <xdr:row>21</xdr:row>
      <xdr:rowOff>121920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5E313877-E9BB-B013-CA4B-D7F12221D576}"/>
            </a:ext>
          </a:extLst>
        </xdr:cNvPr>
        <xdr:cNvSpPr txBox="1"/>
      </xdr:nvSpPr>
      <xdr:spPr>
        <a:xfrm>
          <a:off x="129540" y="640080"/>
          <a:ext cx="4823460" cy="3322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/>
            <a:t>Optimized geometry</a:t>
          </a:r>
        </a:p>
        <a:p>
          <a:r>
            <a:rPr lang="en-US" sz="1100"/>
            <a:t>                      ----------------------------</a:t>
          </a:r>
        </a:p>
        <a:p>
          <a:r>
            <a:rPr lang="en-US" sz="1100"/>
            <a:t>                       !   Optimized Parameters   !</a:t>
          </a:r>
        </a:p>
        <a:p>
          <a:r>
            <a:rPr lang="en-US" sz="1100"/>
            <a:t>                       ! (Angstroms and Degrees)  !</a:t>
          </a:r>
        </a:p>
        <a:p>
          <a:r>
            <a:rPr lang="en-US" sz="1100"/>
            <a:t> ----------------------                            ----------------------</a:t>
          </a:r>
        </a:p>
        <a:p>
          <a:r>
            <a:rPr lang="en-US" sz="1100"/>
            <a:t> !	Name          Value   Derivative information (Atomic Units)     !</a:t>
          </a:r>
        </a:p>
        <a:p>
          <a:r>
            <a:rPr lang="en-US" sz="1100"/>
            <a:t> ------------------------------------------------------------------------</a:t>
          </a:r>
        </a:p>
        <a:p>
          <a:r>
            <a:rPr lang="en-US" sz="1100"/>
            <a:t> !	 hn2         1.0158   -DE/DX =    0.0                           !</a:t>
          </a:r>
        </a:p>
        <a:p>
          <a:r>
            <a:rPr lang="en-US" sz="1100"/>
            <a:t> !	 hn3         1.0158   -DE/DX =    0.0                           !</a:t>
          </a:r>
        </a:p>
        <a:p>
          <a:r>
            <a:rPr lang="en-US" sz="1100"/>
            <a:t> !	hnh3</a:t>
          </a:r>
          <a:r>
            <a:rPr lang="en-US" sz="1100" baseline="0"/>
            <a:t>        </a:t>
          </a:r>
          <a:r>
            <a:rPr lang="en-US" sz="1100"/>
            <a:t>108.0667   -DE/DX =    0.0                           !</a:t>
          </a:r>
        </a:p>
        <a:p>
          <a:r>
            <a:rPr lang="en-US" sz="1100"/>
            <a:t> !	 hn4         1.0164   -DE/DX =    0.0                           !</a:t>
          </a:r>
        </a:p>
        <a:p>
          <a:r>
            <a:rPr lang="en-US" sz="1100"/>
            <a:t> !	hnh4</a:t>
          </a:r>
          <a:r>
            <a:rPr lang="en-US" sz="1100" baseline="0"/>
            <a:t>     </a:t>
          </a:r>
          <a:r>
            <a:rPr lang="en-US" sz="1100"/>
            <a:t>   108.047    -DE/DX =    0.0                           !</a:t>
          </a:r>
        </a:p>
        <a:p>
          <a:r>
            <a:rPr lang="en-US" sz="1100"/>
            <a:t> !	dih4</a:t>
          </a:r>
          <a:r>
            <a:rPr lang="en-US" sz="1100" baseline="0"/>
            <a:t>      </a:t>
          </a:r>
          <a:r>
            <a:rPr lang="en-US" sz="1100"/>
            <a:t>   116.6784   -DE/DX =    0.0                           !</a:t>
          </a:r>
        </a:p>
        <a:p>
          <a:r>
            <a:rPr lang="en-US" sz="1100"/>
            <a:t> !	 hh6         2.4097   -DE/DX =    0.0                           !</a:t>
          </a:r>
        </a:p>
        <a:p>
          <a:r>
            <a:rPr lang="en-US" sz="1100"/>
            <a:t> ------------------------------------------------------------------------</a:t>
          </a:r>
        </a:p>
        <a:p>
          <a:endParaRPr lang="en-US" sz="1500"/>
        </a:p>
      </xdr:txBody>
    </xdr:sp>
    <xdr:clientData/>
  </xdr:twoCellAnchor>
  <xdr:twoCellAnchor editAs="oneCell">
    <xdr:from>
      <xdr:col>10</xdr:col>
      <xdr:colOff>0</xdr:colOff>
      <xdr:row>11</xdr:row>
      <xdr:rowOff>0</xdr:rowOff>
    </xdr:from>
    <xdr:to>
      <xdr:col>15</xdr:col>
      <xdr:colOff>76495</xdr:colOff>
      <xdr:row>25</xdr:row>
      <xdr:rowOff>84049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589BCB13-594B-BD5F-187A-55EF92A3C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2011680"/>
          <a:ext cx="3406435" cy="2644369"/>
        </a:xfrm>
        <a:prstGeom prst="rect">
          <a:avLst/>
        </a:prstGeom>
      </xdr:spPr>
    </xdr:pic>
    <xdr:clientData/>
  </xdr:twoCellAnchor>
  <xdr:twoCellAnchor>
    <xdr:from>
      <xdr:col>0</xdr:col>
      <xdr:colOff>312420</xdr:colOff>
      <xdr:row>25</xdr:row>
      <xdr:rowOff>30480</xdr:rowOff>
    </xdr:from>
    <xdr:to>
      <xdr:col>10</xdr:col>
      <xdr:colOff>358140</xdr:colOff>
      <xdr:row>40</xdr:row>
      <xdr:rowOff>129540</xdr:rowOff>
    </xdr:to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4F5906D6-F0CC-1BDB-5262-BD602B18808B}"/>
            </a:ext>
          </a:extLst>
        </xdr:cNvPr>
        <xdr:cNvSpPr txBox="1"/>
      </xdr:nvSpPr>
      <xdr:spPr>
        <a:xfrm>
          <a:off x="312420" y="4602480"/>
          <a:ext cx="6141720" cy="2842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Transition</a:t>
          </a:r>
          <a:r>
            <a:rPr lang="en-US" sz="2000" baseline="0"/>
            <a:t> state optimized geometry</a:t>
          </a:r>
        </a:p>
        <a:p>
          <a:r>
            <a:rPr lang="en-US" sz="1100"/>
            <a:t>                      ----------------------------</a:t>
          </a:r>
        </a:p>
        <a:p>
          <a:r>
            <a:rPr lang="en-US" sz="1100"/>
            <a:t>                       !   Optimized Parameters   !</a:t>
          </a:r>
        </a:p>
        <a:p>
          <a:r>
            <a:rPr lang="en-US" sz="1100"/>
            <a:t>                       ! (Angstroms and Degrees)  !</a:t>
          </a:r>
        </a:p>
        <a:p>
          <a:r>
            <a:rPr lang="en-US" sz="1100"/>
            <a:t> ----------------------                            ----------------------</a:t>
          </a:r>
        </a:p>
        <a:p>
          <a:r>
            <a:rPr lang="en-US" sz="1100"/>
            <a:t> !	Name          Value   Derivative information (Atomic Units)     !</a:t>
          </a:r>
        </a:p>
        <a:p>
          <a:r>
            <a:rPr lang="en-US" sz="1100"/>
            <a:t> ------------------------------------------------------------------------</a:t>
          </a:r>
        </a:p>
        <a:p>
          <a:r>
            <a:rPr lang="en-US" sz="1100"/>
            <a:t> !       hn2         1.0289   -DE/DX =   -0.0001                        !</a:t>
          </a:r>
        </a:p>
        <a:p>
          <a:r>
            <a:rPr lang="en-US" sz="1100"/>
            <a:t> !       hn3         1.0289   -DE/DX =   -0.0001                        !</a:t>
          </a:r>
        </a:p>
        <a:p>
          <a:r>
            <a:rPr lang="en-US" sz="1100"/>
            <a:t> !</a:t>
          </a:r>
          <a:r>
            <a:rPr lang="en-US" sz="1100" baseline="0"/>
            <a:t>      </a:t>
          </a:r>
          <a:r>
            <a:rPr lang="en-US" sz="1100"/>
            <a:t>hnh3	   104.4082   -DE/DX =    0.0                           !</a:t>
          </a:r>
        </a:p>
        <a:p>
          <a:r>
            <a:rPr lang="en-US" sz="1100"/>
            <a:t> !      hnh4        99.7636   -DE/DX =    0.0                           !</a:t>
          </a:r>
        </a:p>
        <a:p>
          <a:r>
            <a:rPr lang="en-US" sz="1100"/>
            <a:t> !      dih4       102.8173   -DE/DX =    0.0                           !</a:t>
          </a:r>
        </a:p>
        <a:p>
          <a:r>
            <a:rPr lang="en-US" sz="1100"/>
            <a:t> !</a:t>
          </a:r>
          <a:r>
            <a:rPr lang="en-US" sz="1100" baseline="0"/>
            <a:t>     </a:t>
          </a:r>
          <a:r>
            <a:rPr lang="en-US" sz="1100"/>
            <a:t> hh6         0.8909   -DE/DX =    0.0                           !</a:t>
          </a:r>
        </a:p>
        <a:p>
          <a:r>
            <a:rPr lang="en-US" sz="1100"/>
            <a:t> !       hn4         1.3132   -DE/DX =    0.0001                        !</a:t>
          </a:r>
        </a:p>
        <a:p>
          <a:r>
            <a:rPr lang="en-US" sz="1100"/>
            <a:t> ------------------------------------------------------------------------</a:t>
          </a:r>
        </a:p>
        <a:p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BD6A9C-0C11-4567-92E0-5887D854544D}" name="Tabella33" displayName="Tabella33" ref="A1:H2" totalsRowShown="0">
  <autoFilter ref="A1:H2" xr:uid="{0FBD6A9C-0C11-4567-92E0-5887D854544D}"/>
  <tableColumns count="8">
    <tableColumn id="1" xr3:uid="{6303D367-ABA3-42DC-A5B0-09C5DBD2CC93}" name="Pi Greco"/>
    <tableColumn id="2" xr3:uid="{752C7216-C439-484E-9D7E-8972DDC8B1C1}" name="Massa" dataDxfId="94">
      <calculatedColumnFormula>16.04*1.6605655E-27</calculatedColumnFormula>
    </tableColumn>
    <tableColumn id="3" xr3:uid="{A86B0031-C5B0-4403-996A-8454E0E02693}" name="Boltzmann k"/>
    <tableColumn id="4" xr3:uid="{13E7017A-27D7-4476-A286-0D1767239A33}" name="Planck h">
      <calculatedColumnFormula>6.62607015E-34</calculatedColumnFormula>
    </tableColumn>
    <tableColumn id="5" xr3:uid="{4D330582-E1C5-4F9D-B8E1-7411FA8E10A8}" name="Rydberg R"/>
    <tableColumn id="6" xr3:uid="{25895B19-703D-4430-8AC1-F164B80F8E86}" name="Avogadro N"/>
    <tableColumn id="7" xr3:uid="{F6DD4FA7-7890-44FB-8729-33DE3EE2E456}" name="Speed of Light [cm/s]"/>
    <tableColumn id="8" xr3:uid="{5EAF9B5F-0D4E-47FA-800C-AE026403188F}" name="Speed of Light [m/s]">
      <calculatedColumnFormula>Tabella33[[#This Row],[Speed of Light '[cm/s']]]*POWER(10,-2)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AD3AE6-7B26-4D8D-8080-4E474A480013}" name="Tabella619" displayName="Tabella619" ref="A10:A11" totalsRowShown="0">
  <autoFilter ref="A10:A11" xr:uid="{EFAD3AE6-7B26-4D8D-8080-4E474A480013}"/>
  <tableColumns count="1">
    <tableColumn id="1" xr3:uid="{77D2223C-5ABC-4819-8C7C-8B85C1C63BD6}" name="Simmetry Numbe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8002C2-9FF2-43FE-AF72-C45EFDE8BBC7}" name="Tabella820" displayName="Tabella820" ref="D13:N31" totalsRowShown="0">
  <autoFilter ref="D13:N31" xr:uid="{2F8002C2-9FF2-43FE-AF72-C45EFDE8BBC7}"/>
  <tableColumns count="11">
    <tableColumn id="1" xr3:uid="{A4F762B6-E0EE-4126-815A-2D2AFF8F313E}" name="Temperatura"/>
    <tableColumn id="2" xr3:uid="{601AC2F4-2E0F-4A8F-8DEF-9AB32542B59C}" name="Qvib1" dataDxfId="93">
      <calculatedColumnFormula array="1">(EXP(-(Tabella33[Planck h]*Tabella49[Frequency1])/(2*Tabella33[Boltzmann k]*Tabella820[[#This Row],[Temperatura]])))/(1-EXP(-(Tabella33[Planck h]*Tabella49[Frequency1])/(Tabella33[Boltzmann k]*Tabella820[[#This Row],[Temperatura]])))</calculatedColumnFormula>
    </tableColumn>
    <tableColumn id="3" xr3:uid="{62149772-9AB5-4989-8409-48259704D582}" name="Qvib2" dataDxfId="92">
      <calculatedColumnFormula array="1">(EXP(-(Tabella33[Planck h]*Tabella49[Frequency2])/(2*Tabella33[Boltzmann k]*Tabella820[[#This Row],[Temperatura]])))/(1-EXP(-(Tabella33[Planck h]*Tabella49[Frequency2])/(Tabella33[Boltzmann k]*Tabella820[[#This Row],[Temperatura]])))</calculatedColumnFormula>
    </tableColumn>
    <tableColumn id="4" xr3:uid="{E7689C41-5868-4A5B-B13D-1E4884163927}" name="Qvib3" dataDxfId="91">
      <calculatedColumnFormula array="1">(EXP(-(Tabella33[Planck h]*Tabella49[Frequency3])/(2*Tabella33[Boltzmann k]*Tabella820[[#This Row],[Temperatura]])))/(1-EXP(-(Tabella33[Planck h]*Tabella49[Frequency3])/(Tabella33[Boltzmann k]*Tabella820[[#This Row],[Temperatura]])))</calculatedColumnFormula>
    </tableColumn>
    <tableColumn id="5" xr3:uid="{74D69B5B-B85F-42D2-8460-57E27D3EF805}" name="Qvib4" dataDxfId="90">
      <calculatedColumnFormula array="1">(EXP(-(Tabella33[Planck h]*Tabella49[Frequency4])/(2*Tabella33[Boltzmann k]*Tabella820[[#This Row],[Temperatura]])))/(1-EXP(-(Tabella33[Planck h]*Tabella49[Frequency4])/(Tabella33[Boltzmann k]*Tabella820[[#This Row],[Temperatura]])))</calculatedColumnFormula>
    </tableColumn>
    <tableColumn id="6" xr3:uid="{C13A7732-4DCD-4CDA-82CF-DCD732574EBE}" name="Qvib5" dataDxfId="89">
      <calculatedColumnFormula array="1">(EXP(-(Tabella33[Planck h]*Tabella49[Frequency5])/(2*Tabella33[Boltzmann k]*Tabella820[[#This Row],[Temperatura]])))/(1-EXP(-(Tabella33[Planck h]*Tabella49[Frequency5])/(Tabella33[Boltzmann k]*Tabella820[[#This Row],[Temperatura]])))</calculatedColumnFormula>
    </tableColumn>
    <tableColumn id="7" xr3:uid="{1D72E33C-A91E-4FED-AE0C-28A3389DA133}" name="Qvib6" dataDxfId="88">
      <calculatedColumnFormula array="1">(EXP(-(Tabella33[Planck h]*Tabella49[Frequency6])/(2*Tabella33[Boltzmann k]*Tabella820[[#This Row],[Temperatura]])))/(1-EXP(-(Tabella33[Planck h]*Tabella49[Frequency6])/(Tabella33[Boltzmann k]*Tabella820[[#This Row],[Temperatura]])))</calculatedColumnFormula>
    </tableColumn>
    <tableColumn id="8" xr3:uid="{B5DFCB95-946A-4256-9916-8C7CE7A02523}" name="Qvib7" dataDxfId="87">
      <calculatedColumnFormula array="1">(EXP(-(Tabella33[Planck h]*Tabella49[Frequency7])/(2*Tabella33[Boltzmann k]*Tabella820[[#This Row],[Temperatura]])))/(1-EXP(-(Tabella33[Planck h]*Tabella49[Frequency7])/(Tabella33[Boltzmann k]*Tabella820[[#This Row],[Temperatura]])))</calculatedColumnFormula>
    </tableColumn>
    <tableColumn id="9" xr3:uid="{23A0D8B6-27A3-4265-B1F8-B555E83B157F}" name="Qvib8" dataDxfId="86">
      <calculatedColumnFormula array="1">(EXP(-(Tabella33[Planck h]*Tabella49[Frequency8])/(2*Tabella33[Boltzmann k]*Tabella820[[#This Row],[Temperatura]])))/(1-EXP(-(Tabella33[Planck h]*Tabella49[Frequency8])/(Tabella33[Boltzmann k]*Tabella820[[#This Row],[Temperatura]])))</calculatedColumnFormula>
    </tableColumn>
    <tableColumn id="10" xr3:uid="{AC9AFCA9-99FB-4AE5-9157-07D13B5F0FDD}" name="Qvib9" dataDxfId="85">
      <calculatedColumnFormula array="1">(EXP(-(Tabella33[Planck h]*Tabella49[Frequency9])/(2*Tabella33[Boltzmann k]*Tabella820[[#This Row],[Temperatura]])))/(1-EXP(-(Tabella33[Planck h]*Tabella49[Frequency9])/(Tabella33[Boltzmann k]*Tabella820[[#This Row],[Temperatura]])))</calculatedColumnFormula>
    </tableColumn>
    <tableColumn id="13" xr3:uid="{CDCF98C5-3B9C-47AD-AB0E-6F35D518F2AC}" name="Qtot" dataDxfId="84">
      <calculatedColumnFormula>PRODUCT(Tabella820[[#This Row],[Qvib1]:[Qvib9]])</calculatedColumnFormula>
    </tableColumn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9DA4A24-CD53-4B10-9E7B-CDFFDE3C9B5A}" name="Tabella47" displayName="Tabella47" ref="A13:B22" totalsRowShown="0">
  <autoFilter ref="A13:B22" xr:uid="{19DA4A24-CD53-4B10-9E7B-CDFFDE3C9B5A}"/>
  <tableColumns count="2">
    <tableColumn id="1" xr3:uid="{100C3232-5238-4DF1-A8E6-A627ECC8C4A6}" name="Wavenumbers [cm^-1]" dataDxfId="83"/>
    <tableColumn id="2" xr3:uid="{E47B60BB-3151-408C-8D2A-4B2BC694F1FD}" name="Frequencies [s^-1]" dataDxfId="82">
      <calculatedColumnFormula array="1">Tabella47[[#This Row],[Wavenumbers '[cm^-1']]]*Tabella33[Speed of Light '[cm/s']]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988DEC-BC63-476D-BB77-49714EF51884}" name="Tabella49" displayName="Tabella49" ref="E11:M12" totalsRowShown="0">
  <autoFilter ref="E11:M12" xr:uid="{D1988DEC-BC63-476D-BB77-49714EF51884}"/>
  <tableColumns count="9">
    <tableColumn id="1" xr3:uid="{D06C3995-463F-45CA-9C94-885ED211CB16}" name="Frequency1">
      <calculatedColumnFormula>B14</calculatedColumnFormula>
    </tableColumn>
    <tableColumn id="2" xr3:uid="{0F31DB24-2E19-48BB-88AA-696BC103E6DE}" name="Frequency2">
      <calculatedColumnFormula>B15</calculatedColumnFormula>
    </tableColumn>
    <tableColumn id="3" xr3:uid="{8A95DFBD-9281-44B0-8E6E-13996835AE50}" name="Frequency3">
      <calculatedColumnFormula>B16</calculatedColumnFormula>
    </tableColumn>
    <tableColumn id="4" xr3:uid="{B4AEF80A-E306-4F10-A179-4A9E25082D23}" name="Frequency4">
      <calculatedColumnFormula>B17</calculatedColumnFormula>
    </tableColumn>
    <tableColumn id="5" xr3:uid="{46DC740C-56E3-47A3-A9F1-8CFC20FB63D5}" name="Frequency5">
      <calculatedColumnFormula>B18</calculatedColumnFormula>
    </tableColumn>
    <tableColumn id="6" xr3:uid="{C60606C8-F877-4359-9158-E66FBFEE1396}" name="Frequency6">
      <calculatedColumnFormula>B19</calculatedColumnFormula>
    </tableColumn>
    <tableColumn id="7" xr3:uid="{52777CD9-6F6A-42D1-A709-88D4B26A99C6}" name="Frequency7">
      <calculatedColumnFormula>B20</calculatedColumnFormula>
    </tableColumn>
    <tableColumn id="8" xr3:uid="{BC24E773-9005-4C78-A5B6-CF9C2CBA23E1}" name="Frequency8">
      <calculatedColumnFormula>B21</calculatedColumnFormula>
    </tableColumn>
    <tableColumn id="9" xr3:uid="{A63B3E60-617C-48E6-B38F-DAE1E9E057BF}" name="Frequency9">
      <calculatedColumnFormula>B22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FA86AC-70FB-4C66-9FD1-EA7835CABAA2}" name="Tabella50" displayName="Tabella50" ref="A4:C7" totalsRowShown="0">
  <autoFilter ref="A4:C7" xr:uid="{65FA86AC-70FB-4C66-9FD1-EA7835CABAA2}"/>
  <tableColumns count="3">
    <tableColumn id="2" xr3:uid="{2BB50624-58BE-40B1-86B6-716D50051DFB}" name="Rotational Constants [Ghz]" dataDxfId="81">
      <calculatedColumnFormula>#REF!*(0.000000000000000001)</calculatedColumnFormula>
    </tableColumn>
    <tableColumn id="1" xr3:uid="{8C989591-BE0E-422C-A8F1-A9AB9263A812}" name="Rotational Constant [m^-1]" dataDxfId="80">
      <calculatedColumnFormula array="1">((Tabella50[[#This Row],[Rotational Constants '[Ghz']]]*1000000000)/Tabella33[Speed of Light '[cm/s']])*100</calculatedColumnFormula>
    </tableColumn>
    <tableColumn id="3" xr3:uid="{E65B1566-EFD7-4C08-A910-A5A986BA6129}" name="Moments of Inertia" dataDxfId="79">
      <calculatedColumnFormula array="1">Tabella33[Planck h]/(8*POWER(Tabella33[Pi Greco],2)*Tabella50[[#This Row],[Rotational Constant '[m^-1']]]*Tabella33[Speed of Light '[m/s']])</calculatedColumnFormula>
    </tableColumn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4E4A38A-A1CC-45FA-A967-7387D030FE80}" name="Tabella19" displayName="Tabella19" ref="D4:D5" totalsRowShown="0">
  <autoFilter ref="D4:D5" xr:uid="{34E4A38A-A1CC-45FA-A967-7387D030FE80}"/>
  <tableColumns count="1">
    <tableColumn id="1" xr3:uid="{CCEAE25E-72EB-487C-B955-ED9F9F47391A}" name="Total Moment of Inertia">
      <calculatedColumnFormula>SQRT(PRODUCT(Tabella50[Moments of Inertia]))</calculatedColumnFormula>
    </tableColumn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02DA974-0D3C-4B87-AF49-0790852A40AF}" name="Tabella3" displayName="Tabella3" ref="E4:E5" totalsRowShown="0">
  <autoFilter ref="E4:E5" xr:uid="{302DA974-0D3C-4B87-AF49-0790852A40AF}"/>
  <tableColumns count="1">
    <tableColumn id="1" xr3:uid="{2CE33B12-86EB-4B8A-AC50-62950C707985}" name="Theta rot">
      <calculatedColumnFormula array="1">POWER(Tabella33[Planck h],2)/(8*POWER(Tabella33[Pi Greco],2)*Tabella19[[#This Row],[Total Moment of Inertia]]*Tabella33[Boltzmann k])</calculatedColumnFormula>
    </tableColumn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F297D1D-B9A7-47BA-9B74-703238E871EE}" name="Tabella518" displayName="Tabella518" ref="A33:F51" totalsRowShown="0">
  <autoFilter ref="A33:F51" xr:uid="{AF297D1D-B9A7-47BA-9B74-703238E871EE}"/>
  <tableColumns count="6">
    <tableColumn id="1" xr3:uid="{73D0CE8D-77D8-4BB6-9783-9E4076997EC7}" name="Temperatura"/>
    <tableColumn id="12" xr3:uid="{88FE358A-1274-4AFF-B08B-BB26B841E851}" name="Volume" dataDxfId="38">
      <calculatedColumnFormula array="1">(Tabella33[Boltzmann k]*Tabella518[[#This Row],[Temperatura]])/101325</calculatedColumnFormula>
    </tableColumn>
    <tableColumn id="2" xr3:uid="{93D9BF9E-9A4E-40E0-AC86-02638D51B696}" name="Qtrasl" dataDxfId="78">
      <calculatedColumnFormula array="1">POWER((2*Tabella33[Pi Greco]*Tabella33[Massa]*Tabella33[Boltzmann k]*Tabella518[[#This Row],[Temperatura]])/(POWER(Tabella33[Planck h],2)),1.5)*Tabella518[[#This Row],[Volume]]</calculatedColumnFormula>
    </tableColumn>
    <tableColumn id="3" xr3:uid="{9788A0F7-57BF-4B8A-B9F4-769283B83BC9}" name="Qvib" dataDxfId="77">
      <calculatedColumnFormula>N14</calculatedColumnFormula>
    </tableColumn>
    <tableColumn id="4" xr3:uid="{E1ADD945-2A75-4E2B-A08E-A6FF7A1A3074}" name="Qrot" dataDxfId="76">
      <calculatedColumnFormula array="1">(8*POWER(Tabella33[Pi Greco],2)*POWER(2*Tabella33[Pi Greco]*Tabella33[Boltzmann k]*Tabella518[[#This Row],[Temperatura]],1.5)*Tabella19[Total Moment of Inertia])/(Tabella619[Simmetry Number]*POWER(Tabella33[Planck h],3))</calculatedColumnFormula>
    </tableColumn>
    <tableColumn id="5" xr3:uid="{3E1D5C69-7C85-4324-8282-7CB473F74341}" name="Qel" dataDxfId="75">
      <calculatedColumnFormula>1</calculatedColumnFormula>
    </tableColumn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4EA5B69-4052-43F3-83F0-B02C865AB8C1}" name="Tabella3312" displayName="Tabella3312" ref="A1:H2" totalsRowShown="0">
  <autoFilter ref="A1:H2" xr:uid="{94EA5B69-4052-43F3-83F0-B02C865AB8C1}"/>
  <tableColumns count="8">
    <tableColumn id="1" xr3:uid="{40CAAA6F-7F8E-42A0-A564-E1AE506B6304}" name="Pi Greco"/>
    <tableColumn id="2" xr3:uid="{49227C66-BEC0-4EDD-89D1-596662126CC3}" name="Massa" dataDxfId="74">
      <calculatedColumnFormula>15.02348*1.6605655E-27</calculatedColumnFormula>
    </tableColumn>
    <tableColumn id="3" xr3:uid="{A7E40F45-18A8-417F-9773-AD314A37E1B7}" name="Boltzmann k"/>
    <tableColumn id="4" xr3:uid="{08963074-B15A-4A7E-AEFE-D466DCD9A8BB}" name="Planck h"/>
    <tableColumn id="5" xr3:uid="{E73D287E-0EFC-4F1A-9AC5-6E06CFACB575}" name="Rydberg R"/>
    <tableColumn id="6" xr3:uid="{0F0B4825-15C5-4781-8905-50148E14E3AB}" name="Avogadro N"/>
    <tableColumn id="7" xr3:uid="{11580902-8960-4EB0-ACF2-434B8EACE040}" name="Speed of Light [cm/s]"/>
    <tableColumn id="8" xr3:uid="{0322347B-F64B-486B-B70B-30058A5CBE9C}" name="Speed of Light [m/s]">
      <calculatedColumnFormula>Tabella3312[[#This Row],[Speed of Light '[cm/s']]]*POWER(10,-2)</calculatedColumnFormula>
    </tableColumn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6502965-5BB3-483E-8D99-2466267B1AFE}" name="Tabella61913" displayName="Tabella61913" ref="A10:A11" totalsRowShown="0">
  <autoFilter ref="A10:A11" xr:uid="{C6502965-5BB3-483E-8D99-2466267B1AFE}"/>
  <tableColumns count="1">
    <tableColumn id="1" xr3:uid="{4A8AAE8E-0AE7-49E0-8A3C-CB71A369F931}" name="Simmetry Number"/>
  </tableColumns>
  <tableStyleInfo name="TableStyleLight1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47312A9-003E-406F-847A-103BDEDF58C4}" name="Tabella82014" displayName="Tabella82014" ref="D13:K31" totalsRowShown="0">
  <autoFilter ref="D13:K31" xr:uid="{B47312A9-003E-406F-847A-103BDEDF58C4}"/>
  <tableColumns count="8">
    <tableColumn id="1" xr3:uid="{44C25781-9C09-4DB1-A9AE-685462173560}" name="Temperatura"/>
    <tableColumn id="2" xr3:uid="{A5DCF2F2-2DB0-43EE-84E6-34B8BB685571}" name="Qvib1" dataDxfId="73">
      <calculatedColumnFormula array="1">(EXP(-(Tabella3312[Planck h]*Tabella4916[Frequency1])/(2*Tabella3312[Boltzmann k]*Tabella82014[[#This Row],[Temperatura]])))/(1-EXP(-(Tabella3312[Planck h]*Tabella4916[Frequency1])/(Tabella3312[Boltzmann k]*Tabella82014[[#This Row],[Temperatura]])))</calculatedColumnFormula>
    </tableColumn>
    <tableColumn id="3" xr3:uid="{047012BF-0320-418B-B04E-AE684E6D3C99}" name="Qvib2" dataDxfId="72">
      <calculatedColumnFormula array="1">(EXP(-(Tabella3312[Planck h]*Tabella4916[Frequency2])/(2*Tabella3312[Boltzmann k]*Tabella82014[[#This Row],[Temperatura]])))/(1-EXP(-(Tabella3312[Planck h]*Tabella4916[Frequency2])/(Tabella3312[Boltzmann k]*Tabella82014[[#This Row],[Temperatura]])))</calculatedColumnFormula>
    </tableColumn>
    <tableColumn id="4" xr3:uid="{AB2E5392-AEC7-41F7-8B3A-F4875E6F6D7C}" name="Qvib3" dataDxfId="71">
      <calculatedColumnFormula array="1">(EXP(-(Tabella3312[Planck h]*Tabella4916[Frequency3])/(2*Tabella3312[Boltzmann k]*Tabella82014[[#This Row],[Temperatura]])))/(1-EXP(-(Tabella3312[Planck h]*Tabella4916[Frequency3])/(Tabella3312[Boltzmann k]*Tabella82014[[#This Row],[Temperatura]])))</calculatedColumnFormula>
    </tableColumn>
    <tableColumn id="5" xr3:uid="{B9BC95B6-165F-4584-98B4-3E9F69517C6F}" name="Qvib4" dataDxfId="70">
      <calculatedColumnFormula array="1">(EXP(-(Tabella3312[Planck h]*Tabella4916[Frequency4])/(2*Tabella3312[Boltzmann k]*Tabella82014[[#This Row],[Temperatura]])))/(1-EXP(-(Tabella3312[Planck h]*Tabella4916[Frequency4])/(Tabella3312[Boltzmann k]*Tabella82014[[#This Row],[Temperatura]])))</calculatedColumnFormula>
    </tableColumn>
    <tableColumn id="6" xr3:uid="{EC147702-FF03-425C-BE95-F596B640F128}" name="Qvib5" dataDxfId="69">
      <calculatedColumnFormula array="1">(EXP(-(Tabella3312[Planck h]*Tabella4916[Frequency5])/(2*Tabella3312[Boltzmann k]*Tabella82014[[#This Row],[Temperatura]])))/(1-EXP(-(Tabella3312[Planck h]*Tabella4916[Frequency5])/(Tabella3312[Boltzmann k]*Tabella82014[[#This Row],[Temperatura]])))</calculatedColumnFormula>
    </tableColumn>
    <tableColumn id="7" xr3:uid="{5BE768AC-5931-4E01-87B1-C49B656C2515}" name="Qvib6" dataDxfId="68">
      <calculatedColumnFormula array="1">(EXP(-(Tabella3312[Planck h]*Tabella4916[Frequency6])/(2*Tabella3312[Boltzmann k]*Tabella82014[[#This Row],[Temperatura]])))/(1-EXP(-(Tabella3312[Planck h]*Tabella4916[Frequency6])/(Tabella3312[Boltzmann k]*Tabella82014[[#This Row],[Temperatura]])))</calculatedColumnFormula>
    </tableColumn>
    <tableColumn id="13" xr3:uid="{053FD156-5E9E-488B-BB5C-BAE722531C90}" name="Qtot" dataDxfId="67">
      <calculatedColumnFormula>PRODUCT(Tabella82014[[#This Row],[Qvib1]:[Qvib6]])</calculatedColumnFormula>
    </tableColumn>
  </tableColumns>
  <tableStyleInfo name="TableStyleLight1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68AEB44-5C5E-45AA-8F21-6A11D8067562}" name="Tabella4715" displayName="Tabella4715" ref="A13:B19" totalsRowShown="0">
  <autoFilter ref="A13:B19" xr:uid="{468AEB44-5C5E-45AA-8F21-6A11D8067562}"/>
  <tableColumns count="2">
    <tableColumn id="1" xr3:uid="{4B5E779C-D575-467E-BB52-7D08837061DA}" name="Wavenumbers [cm^-1]" dataDxfId="66"/>
    <tableColumn id="2" xr3:uid="{817B3EF8-2169-4077-98C0-AB04CA7508BB}" name="Frequencies [s^-1]" dataDxfId="65">
      <calculatedColumnFormula array="1">Tabella4715[[#This Row],[Wavenumbers '[cm^-1']]]*Tabella3312[Speed of Light '[cm/s']]</calculatedColumnFormula>
    </tableColumn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8310CA2-2451-4993-8694-82028435948A}" name="Tabella4916" displayName="Tabella4916" ref="E11:J12" totalsRowShown="0">
  <autoFilter ref="E11:J12" xr:uid="{B8310CA2-2451-4993-8694-82028435948A}"/>
  <tableColumns count="6">
    <tableColumn id="1" xr3:uid="{ED5CC4A9-25AA-4891-A0A6-4E43CF56AABE}" name="Frequency1">
      <calculatedColumnFormula>B14</calculatedColumnFormula>
    </tableColumn>
    <tableColumn id="2" xr3:uid="{1F098CF1-CD83-4890-AC55-EFF4BC1419B2}" name="Frequency2">
      <calculatedColumnFormula>B15</calculatedColumnFormula>
    </tableColumn>
    <tableColumn id="3" xr3:uid="{2D1D8558-1A9B-468B-AF0D-1A0A28DE3693}" name="Frequency3">
      <calculatedColumnFormula>B16</calculatedColumnFormula>
    </tableColumn>
    <tableColumn id="4" xr3:uid="{F0FD4900-FB00-43E5-AE56-364A3E5C36A4}" name="Frequency4">
      <calculatedColumnFormula>B17</calculatedColumnFormula>
    </tableColumn>
    <tableColumn id="5" xr3:uid="{485A715C-B763-4B46-A042-2EBCBBDDB814}" name="Frequency5">
      <calculatedColumnFormula>B18</calculatedColumnFormula>
    </tableColumn>
    <tableColumn id="6" xr3:uid="{3D02D7DA-548E-42DF-84D9-BDA79DAC7BCB}" name="Frequency6">
      <calculatedColumnFormula>B19</calculatedColumnFormula>
    </tableColumn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E7294B-2498-4B6B-A638-DD310B834553}" name="Tabella5017" displayName="Tabella5017" ref="A4:C7" totalsRowShown="0">
  <autoFilter ref="A4:C7" xr:uid="{E3E7294B-2498-4B6B-A638-DD310B834553}"/>
  <tableColumns count="3">
    <tableColumn id="2" xr3:uid="{98597B07-2C39-47DC-9092-CA9D70727CAA}" name="Rotational Constants [Ghz]" dataDxfId="64">
      <calculatedColumnFormula>#REF!*(0.000000000000000001)</calculatedColumnFormula>
    </tableColumn>
    <tableColumn id="1" xr3:uid="{FBCCE844-DCBB-49AD-B72E-87CAD2398F23}" name="Rotational Constant [m^-1]" dataDxfId="63">
      <calculatedColumnFormula array="1">((Tabella5017[[#This Row],[Rotational Constants '[Ghz']]]*1000000000)/Tabella3312[Speed of Light '[cm/s']])*100</calculatedColumnFormula>
    </tableColumn>
    <tableColumn id="3" xr3:uid="{69E4933E-0C4F-49D7-BC8D-16FC3C315CA8}" name="Moments of Inertia" dataDxfId="62">
      <calculatedColumnFormula array="1">Tabella3312[Planck h]/(8*POWER(Tabella3312[Pi Greco],2)*Tabella5017[[#This Row],[Rotational Constant '[m^-1']]]*Tabella3312[Speed of Light '[m/s']])</calculatedColumnFormula>
    </tableColumn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2B58631-44E4-4C21-A801-5A08716B2F69}" name="Tabella1918" displayName="Tabella1918" ref="D4:D5" totalsRowShown="0">
  <autoFilter ref="D4:D5" xr:uid="{A2B58631-44E4-4C21-A801-5A08716B2F69}"/>
  <tableColumns count="1">
    <tableColumn id="1" xr3:uid="{DEBE50FA-87A3-427A-BA5A-DBE2B68C0612}" name="Total Moment of Inertia">
      <calculatedColumnFormula>SQRT(PRODUCT(Tabella5017[Moments of Inertia]))</calculatedColumnFormula>
    </tableColumn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71965B7-B92B-43C5-B5FB-BF9D90AE0F2E}" name="Tabella319" displayName="Tabella319" ref="E4:E5" totalsRowShown="0">
  <autoFilter ref="E4:E5" xr:uid="{771965B7-B92B-43C5-B5FB-BF9D90AE0F2E}"/>
  <tableColumns count="1">
    <tableColumn id="1" xr3:uid="{7895887A-3FBC-4D12-B574-D2B05A0BAD9F}" name="Theta rot">
      <calculatedColumnFormula array="1">POWER(Tabella3312[Planck h],2)/(8*POWER(Tabella3312[Pi Greco],2)*Tabella1918[[#This Row],[Total Moment of Inertia]]*Tabella3312[Boltzmann k])</calculatedColumnFormula>
    </tableColumn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2A77086-0A70-40E1-924D-861B2DB13B26}" name="Tabella51820" displayName="Tabella51820" ref="A33:F51" totalsRowShown="0">
  <autoFilter ref="A33:F51" xr:uid="{62A77086-0A70-40E1-924D-861B2DB13B26}"/>
  <tableColumns count="6">
    <tableColumn id="1" xr3:uid="{EA1A03E5-33A2-4A23-B852-D35443EA213C}" name="Temperatura"/>
    <tableColumn id="12" xr3:uid="{5311303D-8B31-4F04-B977-514B34259873}" name="Volume" dataDxfId="61">
      <calculatedColumnFormula array="1">(Tabella3312[Boltzmann k]*Tabella51820[[#This Row],[Temperatura]])/101325</calculatedColumnFormula>
    </tableColumn>
    <tableColumn id="2" xr3:uid="{1C798C2E-756B-4A68-8A71-AE212D36B5AE}" name="Qtrasl" dataDxfId="60">
      <calculatedColumnFormula array="1">POWER((2*Tabella3312[Pi Greco]*Tabella3312[Massa]*Tabella3312[Boltzmann k]*Tabella51820[[#This Row],[Temperatura]])/(POWER(Tabella3312[Planck h],2)),1.5)*Tabella51820[[#This Row],[Volume]]</calculatedColumnFormula>
    </tableColumn>
    <tableColumn id="3" xr3:uid="{AF9C4C56-3218-4AA5-95F2-522888FB4526}" name="Qvib" dataDxfId="59">
      <calculatedColumnFormula>K14</calculatedColumnFormula>
    </tableColumn>
    <tableColumn id="4" xr3:uid="{B6C9834D-E3B3-4B20-925D-757A394E23AC}" name="Qrot" dataDxfId="58">
      <calculatedColumnFormula array="1">(8*POWER(Tabella3312[Pi Greco],2)*POWER(2*Tabella3312[Pi Greco]*Tabella3312[Boltzmann k]*Tabella51820[[#This Row],[Temperatura]],1.5)*Tabella1918[Total Moment of Inertia])/(Tabella61913[Simmetry Number]*POWER(Tabella3312[Planck h],3))</calculatedColumnFormula>
    </tableColumn>
    <tableColumn id="5" xr3:uid="{0A0A184C-6E2B-41A8-B4ED-7653AD83BAA3}" name="Qel" dataDxfId="57">
      <calculatedColumnFormula>1</calculatedColumnFormula>
    </tableColumn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09D0C9E-554A-42D5-9FAD-B0F09D3C86A2}" name="Tabella3321" displayName="Tabella3321" ref="A1:H2" totalsRowShown="0">
  <autoFilter ref="A1:H2" xr:uid="{F09D0C9E-554A-42D5-9FAD-B0F09D3C86A2}"/>
  <tableColumns count="8">
    <tableColumn id="1" xr3:uid="{A71B55B6-FAF2-4D69-AC15-205F96747CC3}" name="Pi Greco"/>
    <tableColumn id="2" xr3:uid="{A039193B-E64B-4442-954D-AB35235B1CB6}" name="Massa" dataDxfId="56">
      <calculatedColumnFormula>1.00783*1.6605655E-27</calculatedColumnFormula>
    </tableColumn>
    <tableColumn id="3" xr3:uid="{D41F8977-95C4-4CF1-8370-63E29C3ADA3D}" name="Boltzmann k"/>
    <tableColumn id="4" xr3:uid="{28415FCD-9B75-4797-B23E-9BAB0D3487D4}" name="Planck h"/>
    <tableColumn id="5" xr3:uid="{7127BB93-35CA-4EBD-ADCA-F9E4750ADB45}" name="Rydberg R"/>
    <tableColumn id="6" xr3:uid="{25EB1AB5-7D0E-4288-9ADC-A60A1232D3C2}" name="Avogadro N"/>
    <tableColumn id="7" xr3:uid="{F7517F9C-0635-47A1-BAF3-11B0C541A8C5}" name="Speed of Light [cm/s]"/>
    <tableColumn id="8" xr3:uid="{44413F23-BC55-44FC-B7E0-3898F20C4C54}" name="Speed of Light [m/s]">
      <calculatedColumnFormula>Tabella3321[[#This Row],[Speed of Light '[cm/s']]]*POWER(10,-2)</calculatedColumnFormula>
    </tableColumn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BB9FCA9-C2EC-4B98-98B7-2FDE622CD1DE}" name="Tabella51829" displayName="Tabella51829" ref="A5:F23" totalsRowShown="0">
  <autoFilter ref="A5:F23" xr:uid="{0BB9FCA9-C2EC-4B98-98B7-2FDE622CD1DE}"/>
  <tableColumns count="6">
    <tableColumn id="1" xr3:uid="{0139D358-19C2-405F-A2A4-52E248D3600C}" name="Temperatura"/>
    <tableColumn id="12" xr3:uid="{DD998987-D916-446A-8FFE-2AD7E2D81CEA}" name="Volume" dataDxfId="55">
      <calculatedColumnFormula array="1">(Tabella3321[Boltzmann k]*Tabella51829[[#This Row],[Temperatura]])/101325</calculatedColumnFormula>
    </tableColumn>
    <tableColumn id="2" xr3:uid="{C8CBF49D-7A65-4FDF-BFCE-D325781C0BA0}" name="Qtrasl" dataDxfId="54">
      <calculatedColumnFormula array="1">POWER((2*Tabella3321[Pi Greco]*Tabella3321[Massa]*Tabella3321[Boltzmann k]*Tabella51829[[#This Row],[Temperatura]])/(POWER(Tabella3321[Planck h],2)),1.5)*Tabella51829[[#This Row],[Volume]]</calculatedColumnFormula>
    </tableColumn>
    <tableColumn id="3" xr3:uid="{5F9569F2-9087-4342-AFC3-551F27817010}" name="Qvib" dataDxfId="12">
      <calculatedColumnFormula>1</calculatedColumnFormula>
    </tableColumn>
    <tableColumn id="4" xr3:uid="{F36B585E-A00F-4B5F-93A9-9168579EC419}" name="Qrot" dataDxfId="14">
      <calculatedColumnFormula>1</calculatedColumnFormula>
    </tableColumn>
    <tableColumn id="5" xr3:uid="{B832FA13-A7D5-43B4-BD58-B9C303B5FDDF}" name="Qel" dataDxfId="13">
      <calculatedColumnFormula>2</calculatedColumnFormula>
    </tableColumn>
  </tableColumns>
  <tableStyleInfo name="TableStyleLight8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F80DC-5B3B-417F-ABA4-E466E6CC523C}" name="Tabella3397120" displayName="Tabella3397120" ref="A1:H2" totalsRowShown="0">
  <autoFilter ref="A1:H2" xr:uid="{000F80DC-5B3B-417F-ABA4-E466E6CC523C}"/>
  <tableColumns count="8">
    <tableColumn id="1" xr3:uid="{4D356250-B783-4AFE-B2BA-6B1C2F90BAE7}" name="Pi Greco"/>
    <tableColumn id="2" xr3:uid="{85554BE7-3C54-412D-9FFF-5C2A6AC66ADD}" name="Massa" dataDxfId="53">
      <calculatedColumnFormula>2*1.00784*1.6605655E-27</calculatedColumnFormula>
    </tableColumn>
    <tableColumn id="3" xr3:uid="{20FE0D5F-1F68-4992-9F0B-CD3F401FFF76}" name="Boltzmann k">
      <calculatedColumnFormula>1.380649E-23</calculatedColumnFormula>
    </tableColumn>
    <tableColumn id="4" xr3:uid="{5B089070-34FB-4E5D-BBDF-D30EE0EDB8DD}" name="Planck h">
      <calculatedColumnFormula>6.62607015E-34</calculatedColumnFormula>
    </tableColumn>
    <tableColumn id="5" xr3:uid="{9EE714F7-7024-4713-9244-6719025E0950}" name="Rydberg R"/>
    <tableColumn id="6" xr3:uid="{303D61D3-A356-4393-A26E-F714792AC612}" name="Avogadro N"/>
    <tableColumn id="7" xr3:uid="{A9C0C6A3-A949-491F-B3B4-AD2AD3C1B417}" name="Speed of Light [cm/s]"/>
    <tableColumn id="8" xr3:uid="{0722FCBB-D550-4141-90DA-F3AA0086F2F2}" name="Speed of Light [m/s]">
      <calculatedColumnFormula>Tabella3397120[[#This Row],[Speed of Light '[cm/s']]]*POWER(10,-2)</calculatedColumnFormula>
    </tableColumn>
  </tableColumns>
  <tableStyleInfo name="TableStyleLight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A4F24E3-A3AD-4A8B-8EC9-A83BC1FEEE1F}" name="Tabella51898121" displayName="Tabella51898121" ref="A37:F55" totalsRowShown="0">
  <autoFilter ref="A37:F55" xr:uid="{AA4F24E3-A3AD-4A8B-8EC9-A83BC1FEEE1F}"/>
  <tableColumns count="6">
    <tableColumn id="1" xr3:uid="{D03658C7-66F2-4001-B225-3B38796CD390}" name="Temperatura"/>
    <tableColumn id="12" xr3:uid="{0400D17E-15BD-4108-85B6-55E5FFE887AD}" name="Volume" dataDxfId="52">
      <calculatedColumnFormula array="1">(Tabella3397120[Boltzmann k]*Tabella51898121[[#This Row],[Temperatura]])/101325</calculatedColumnFormula>
    </tableColumn>
    <tableColumn id="2" xr3:uid="{6EA57A43-60F6-448E-8109-7B9FB66A244A}" name="Qtrasl" dataDxfId="51">
      <calculatedColumnFormula array="1">POWER((2*Tabella3397120[Pi Greco]*Tabella3397120[Massa]*Tabella3397120[Boltzmann k]*Tabella51898121[[#This Row],[Temperatura]])/(POWER(Tabella3397120[Planck h],2)),1.5)*Tabella51898121[[#This Row],[Volume]]</calculatedColumnFormula>
    </tableColumn>
    <tableColumn id="3" xr3:uid="{F7B31703-6B61-4EA4-9984-815846EA4FFB}" name="Qvib" dataDxfId="50">
      <calculatedColumnFormula>F18</calculatedColumnFormula>
    </tableColumn>
    <tableColumn id="4" xr3:uid="{36BE0EDB-58FA-4922-BC0B-FC6DA1BE044B}" name="Qrot" dataDxfId="49">
      <calculatedColumnFormula array="1">(8*POWER(PI(),2)*Tabella3397120[Boltzmann k]*Tabella51898121[[#This Row],[Temperatura]]*Tabella1118141[Total Moment of Inertia])/(Tabella61999122[Simmetry Number]*POWER(Tabella3397120[Planck h],2))</calculatedColumnFormula>
    </tableColumn>
    <tableColumn id="5" xr3:uid="{8A8F1871-FF53-4CDA-8540-5106C2CBDE55}" name="Qel" dataDxfId="48">
      <calculatedColumnFormula>1</calculatedColumnFormula>
    </tableColumn>
  </tableColumns>
  <tableStyleInfo name="TableStyleLight13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40B69AAC-062A-42E9-A88B-E1E336B27C70}" name="Tabella61999122" displayName="Tabella61999122" ref="A9:A10" totalsRowShown="0">
  <autoFilter ref="A9:A10" xr:uid="{40B69AAC-062A-42E9-A88B-E1E336B27C70}"/>
  <tableColumns count="1">
    <tableColumn id="1" xr3:uid="{28E7B0A9-DE9D-46AB-8547-A746BD67DF1F}" name="Simmetry Number"/>
  </tableColumns>
  <tableStyleInfo name="TableStyleLight8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CEE459D-0435-45E3-8029-72CA544BEDAB}" name="Tabella47109132" displayName="Tabella47109132" ref="A19:B20" totalsRowShown="0">
  <autoFilter ref="A19:B20" xr:uid="{BCEE459D-0435-45E3-8029-72CA544BEDAB}"/>
  <tableColumns count="2">
    <tableColumn id="1" xr3:uid="{CA367073-EC19-41EE-A4FD-AD276B10A49E}" name="Wavenumbers [cm^-1]">
      <calculatedColumnFormula>4463.851</calculatedColumnFormula>
    </tableColumn>
    <tableColumn id="2" xr3:uid="{2341CA94-C22D-4455-B8DD-80D0A073024B}" name="Frequencies [s^-1]" dataDxfId="47">
      <calculatedColumnFormula array="1">Tabella47109132[[#This Row],[Wavenumbers '[cm^-1']]]*Tabella3397120[Speed of Light '[cm/s']]</calculatedColumnFormula>
    </tableColumn>
  </tableColumns>
  <tableStyleInfo name="TableStyleLight13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37BDD4B3-C441-4BE6-BA67-FAE6D82EC9BE}" name="Tabella49110133" displayName="Tabella49110133" ref="E15:E16" totalsRowShown="0">
  <autoFilter ref="E15:E16" xr:uid="{37BDD4B3-C441-4BE6-BA67-FAE6D82EC9BE}"/>
  <tableColumns count="1">
    <tableColumn id="1" xr3:uid="{9456D02C-E29E-472B-BF1F-7D74247FA7AD}" name="Frequency1">
      <calculatedColumnFormula>B20</calculatedColumnFormula>
    </tableColumn>
  </tableColumns>
  <tableStyleInfo name="TableStyleLight13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B1610ACF-9C89-4F99-B579-84C8D5AAA4B9}" name="Tabella50111134" displayName="Tabella50111134" ref="A4:C7" totalsRowShown="0">
  <autoFilter ref="A4:C7" xr:uid="{B1610ACF-9C89-4F99-B579-84C8D5AAA4B9}"/>
  <tableColumns count="3">
    <tableColumn id="2" xr3:uid="{AEF04578-9190-45F9-A2AE-C35ACD12EC42}" name="Rotational Constants [Ghz]" dataDxfId="46">
      <calculatedColumnFormula>#REF!*(0.000000000000000001)</calculatedColumnFormula>
    </tableColumn>
    <tableColumn id="1" xr3:uid="{232A4900-238E-4091-8456-B46411D50C0D}" name="Rotational Constant [m^-1]" dataDxfId="45">
      <calculatedColumnFormula array="1">((Tabella50111134[[#This Row],[Rotational Constants '[Ghz']]]*1000000000)/Tabella3397120[Speed of Light '[cm/s']])*100</calculatedColumnFormula>
    </tableColumn>
    <tableColumn id="3" xr3:uid="{CB383B7A-EA5C-413F-B2D0-7DB50F0C75F7}" name="Moments of Inertia" dataDxfId="44">
      <calculatedColumnFormula array="1">Tabella3397120[Planck h]/(8*POWER(Tabella3397120[Pi Greco],2)*Tabella50111134[[#This Row],[Rotational Constant '[m^-1']]]*Tabella3397120[Speed of Light '[m/s']])</calculatedColumnFormula>
    </tableColumn>
  </tableColumns>
  <tableStyleInfo name="TableStyleLight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AC265AF-7669-42B9-A167-9FAC14A1856D}" name="Tabella1118141" displayName="Tabella1118141" ref="D4:D5" totalsRowShown="0">
  <autoFilter ref="D4:D5" xr:uid="{3AC265AF-7669-42B9-A167-9FAC14A1856D}"/>
  <tableColumns count="1">
    <tableColumn id="1" xr3:uid="{47A57D5E-A55E-4379-BE3E-DE16877C9105}" name="Total Moment of Inertia">
      <calculatedColumnFormula>SQRT(PRODUCT(C6:C7))</calculatedColumnFormula>
    </tableColumn>
  </tableColumns>
  <tableStyleInfo name="TableStyleLight8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731B7A79-C467-44E1-A541-5626B3E30D33}" name="Tabella3119142" displayName="Tabella3119142" ref="E4:E5" totalsRowShown="0">
  <autoFilter ref="E4:E5" xr:uid="{731B7A79-C467-44E1-A541-5626B3E30D33}"/>
  <tableColumns count="1">
    <tableColumn id="1" xr3:uid="{460494DD-5CB6-4966-951F-794CA143506A}" name="Theta rot">
      <calculatedColumnFormula array="1">POWER(Tabella3397120[Planck h],2)/(8*POWER(Tabella3397120[Pi Greco],2)*Tabella1118141[[#This Row],[Total Moment of Inertia]]*Tabella3397120[Boltzmann k])</calculatedColumnFormula>
    </tableColumn>
  </tableColumns>
  <tableStyleInfo name="TableStyleLight8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80F43F6E-A887-4CA7-BA1A-91BC8B4EE511}" name="Tabella820100123" displayName="Tabella820100123" ref="D17:F35" totalsRowShown="0">
  <autoFilter ref="D17:F35" xr:uid="{80F43F6E-A887-4CA7-BA1A-91BC8B4EE511}"/>
  <tableColumns count="3">
    <tableColumn id="1" xr3:uid="{1CAF23F9-4BDB-469E-9001-C39FFCACD0BD}" name="Temperatura"/>
    <tableColumn id="2" xr3:uid="{48156E48-679E-446B-9564-A0C796E80081}" name="Qvib1" dataDxfId="43">
      <calculatedColumnFormula array="1">(EXP(-(Tabella3397120[Planck h]*Tabella49110133[Frequency1])/(2*Tabella3397120[Boltzmann k]*Tabella820100123[[#This Row],[Temperatura]])))/(1-EXP(-(Tabella3397120[Planck h]*Tabella49110133[Frequency1])/(Tabella3397120[Boltzmann k]*Tabella820100123[[#This Row],[Temperatura]])))</calculatedColumnFormula>
    </tableColumn>
    <tableColumn id="5" xr3:uid="{9FDC0D41-8FD2-483C-AC6F-51095C1C17C0}" name="Qtot" dataDxfId="42">
      <calculatedColumnFormula>Tabella820100123[[#This Row],[Qvib1]]</calculatedColumnFormula>
    </tableColumn>
  </tableColumns>
  <tableStyleInfo name="TableStyleLight13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886DE5-4DB2-434A-930F-AF8FD5EA5E27}" name="Tabella1" displayName="Tabella1" ref="N5:O10" totalsRowShown="0" dataDxfId="41">
  <autoFilter ref="N5:O10" xr:uid="{2F886DE5-4DB2-434A-930F-AF8FD5EA5E27}"/>
  <tableColumns count="2">
    <tableColumn id="1" xr3:uid="{4702A889-114A-4EA7-9AE6-1269852ED422}" name="R4" dataDxfId="40"/>
    <tableColumn id="2" xr3:uid="{6DD55A14-3A31-4478-A43B-503FD9648580}" name="Energy" dataDxfId="39"/>
  </tableColumns>
  <tableStyleInfo name="TableStyleLight13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B1FB2A48-E03F-443D-A37D-96A3388C98B4}" name="Tabella3336" displayName="Tabella3336" ref="A48:H49" totalsRowShown="0">
  <autoFilter ref="A48:H49" xr:uid="{B1FB2A48-E03F-443D-A37D-96A3388C98B4}"/>
  <tableColumns count="8">
    <tableColumn id="1" xr3:uid="{69C3068F-19A2-4B85-8F9B-D77B74024B81}" name="Pi Greco"/>
    <tableColumn id="2" xr3:uid="{8E6EB00E-7427-4050-8E61-2B63EE4B8B8E}" name="Massa" dataDxfId="37">
      <calculatedColumnFormula>17.03913*1.6605655E-27</calculatedColumnFormula>
    </tableColumn>
    <tableColumn id="3" xr3:uid="{7D25A6D3-87A0-4729-8714-13E4A131F9BB}" name="Boltzmann k">
      <calculatedColumnFormula>1.380649E-23</calculatedColumnFormula>
    </tableColumn>
    <tableColumn id="4" xr3:uid="{0B776F9E-29AB-4C95-9A30-3A2A96CCDA6E}" name="Planck h">
      <calculatedColumnFormula>6.62607015E-34</calculatedColumnFormula>
    </tableColumn>
    <tableColumn id="5" xr3:uid="{D1D8D9BC-17AD-4A11-B46B-DD16125C128E}" name="Rydberg R">
      <calculatedColumnFormula>8.314462</calculatedColumnFormula>
    </tableColumn>
    <tableColumn id="6" xr3:uid="{6E378676-B4E3-457F-B14B-710097D4BAF4}" name="Avogadro N"/>
    <tableColumn id="7" xr3:uid="{0D8F543B-55B9-4D9B-9A2C-0149B6B08C1E}" name="Speed of Light [cm/s]"/>
    <tableColumn id="8" xr3:uid="{1BBA49F9-35A8-4F28-B8AC-CDFD33E07ABF}" name="Speed of Light [m/s]">
      <calculatedColumnFormula>Tabella3336[[#This Row],[Speed of Light '[cm/s']]]*POWER(10,-2)</calculatedColumnFormula>
    </tableColumn>
  </tableColumns>
  <tableStyleInfo name="TableStyleLight9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BC6AAA0E-4715-439A-83D5-DA94CA3B3D35}" name="Tabella61937" displayName="Tabella61937" ref="A57:A58" totalsRowShown="0">
  <autoFilter ref="A57:A58" xr:uid="{BC6AAA0E-4715-439A-83D5-DA94CA3B3D35}"/>
  <tableColumns count="1">
    <tableColumn id="1" xr3:uid="{75BC61C3-56C8-4854-B7A4-E8D8C03696AE}" name="Simmetry Number"/>
  </tableColumns>
  <tableStyleInfo name="TableStyleLight13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66976582-7A9D-4769-A025-115E85E61056}" name="Tabella82041" displayName="Tabella82041" ref="D60:Q78" totalsRowShown="0">
  <autoFilter ref="D60:Q78" xr:uid="{66976582-7A9D-4769-A025-115E85E61056}"/>
  <tableColumns count="14">
    <tableColumn id="1" xr3:uid="{8954D0D4-664F-4406-A0F2-C4E47F7971E3}" name="Temperatura"/>
    <tableColumn id="2" xr3:uid="{FE9051C5-3110-4850-A203-08B1FE278DB8}" name="Qvib1" dataDxfId="36">
      <calculatedColumnFormula array="1">(EXP(-(Tabella3336[Planck h]*Tabella4943[Frequency1])/(2*Tabella3336[Boltzmann k]*Tabella82041[[#This Row],[Temperatura]])))/(1-EXP(-(Tabella3336[Planck h]*Tabella4943[Frequency1])/(Tabella3336[Boltzmann k]*Tabella82041[[#This Row],[Temperatura]])))</calculatedColumnFormula>
    </tableColumn>
    <tableColumn id="3" xr3:uid="{FCFC3D63-55EF-497A-BD58-CE99784FCCEB}" name="Qvib2" dataDxfId="35">
      <calculatedColumnFormula array="1">(EXP(-(Tabella3336[Planck h]*Tabella4943[Frequency2])/(2*Tabella3336[Boltzmann k]*Tabella82041[[#This Row],[Temperatura]])))/(1-EXP(-(Tabella3336[Planck h]*Tabella4943[Frequency2])/(Tabella3336[Boltzmann k]*Tabella82041[[#This Row],[Temperatura]])))</calculatedColumnFormula>
    </tableColumn>
    <tableColumn id="4" xr3:uid="{F38B8B05-D05F-4B4A-B3F8-605CEE16434B}" name="Qvib3" dataDxfId="34">
      <calculatedColumnFormula array="1">(EXP(-(Tabella3336[Planck h]*Tabella4943[Frequency3])/(2*Tabella3336[Boltzmann k]*Tabella82041[[#This Row],[Temperatura]])))/(1-EXP(-(Tabella3336[Planck h]*Tabella4943[Frequency3])/(Tabella3336[Boltzmann k]*Tabella82041[[#This Row],[Temperatura]])))</calculatedColumnFormula>
    </tableColumn>
    <tableColumn id="5" xr3:uid="{5D457CDC-4EF3-4C37-A473-2E20120FDAC3}" name="Qvib4" dataDxfId="33">
      <calculatedColumnFormula array="1">(EXP(-(Tabella3336[Planck h]*Tabella4943[Frequency4])/(2*Tabella3336[Boltzmann k]*Tabella82041[[#This Row],[Temperatura]])))/(1-EXP(-(Tabella3336[Planck h]*Tabella4943[Frequency4])/(Tabella3336[Boltzmann k]*Tabella82041[[#This Row],[Temperatura]])))</calculatedColumnFormula>
    </tableColumn>
    <tableColumn id="6" xr3:uid="{38CF13C9-1C39-4E7A-AA39-3564D84BD002}" name="Qvib5" dataDxfId="32">
      <calculatedColumnFormula array="1">(EXP(-(Tabella3336[Planck h]*Tabella4943[Frequency5])/(2*Tabella3336[Boltzmann k]*Tabella82041[[#This Row],[Temperatura]])))/(1-EXP(-(Tabella3336[Planck h]*Tabella4943[Frequency5])/(Tabella3336[Boltzmann k]*Tabella82041[[#This Row],[Temperatura]])))</calculatedColumnFormula>
    </tableColumn>
    <tableColumn id="7" xr3:uid="{3DE81CD0-62F9-46E5-8207-54D3AE966AD1}" name="Qvib6" dataDxfId="31">
      <calculatedColumnFormula array="1">(EXP(-(Tabella3336[Planck h]*Tabella4943[Frequency6])/(2*Tabella3336[Boltzmann k]*Tabella82041[[#This Row],[Temperatura]])))/(1-EXP(-(Tabella3336[Planck h]*Tabella4943[Frequency6])/(Tabella3336[Boltzmann k]*Tabella82041[[#This Row],[Temperatura]])))</calculatedColumnFormula>
    </tableColumn>
    <tableColumn id="8" xr3:uid="{6ED7995F-2414-4898-9C3C-B6C8FE56CCA3}" name="Qvib7" dataDxfId="30">
      <calculatedColumnFormula array="1">(EXP(-(Tabella3336[Planck h]*Tabella4943[Frequency7])/(2*Tabella3336[Boltzmann k]*Tabella82041[[#This Row],[Temperatura]])))/(1-EXP(-(Tabella3336[Planck h]*Tabella4943[Frequency7])/(Tabella3336[Boltzmann k]*Tabella82041[[#This Row],[Temperatura]])))</calculatedColumnFormula>
    </tableColumn>
    <tableColumn id="9" xr3:uid="{D9610EEA-997C-4325-96A4-C88396EFBE20}" name="Qvib8" dataDxfId="29">
      <calculatedColumnFormula array="1">(EXP(-(Tabella3336[Planck h]*Tabella4943[Frequency8])/(2*Tabella3336[Boltzmann k]*Tabella82041[[#This Row],[Temperatura]])))/(1-EXP(-(Tabella3336[Planck h]*Tabella4943[Frequency8])/(Tabella3336[Boltzmann k]*Tabella82041[[#This Row],[Temperatura]])))</calculatedColumnFormula>
    </tableColumn>
    <tableColumn id="10" xr3:uid="{4F0FC6C1-4D5B-4909-9534-750E8A5C25B8}" name="Qvib9" dataDxfId="28">
      <calculatedColumnFormula array="1">(EXP(-(Tabella3336[Planck h]*Tabella4943[Frequency9])/(2*Tabella3336[Boltzmann k]*Tabella82041[[#This Row],[Temperatura]])))/(1-EXP(-(Tabella3336[Planck h]*Tabella4943[Frequency9])/(Tabella3336[Boltzmann k]*Tabella82041[[#This Row],[Temperatura]])))</calculatedColumnFormula>
    </tableColumn>
    <tableColumn id="11" xr3:uid="{9218832C-EBD4-4D1D-AA5C-C00392DD1F88}" name="Qvib10" dataDxfId="16">
      <calculatedColumnFormula array="1">(EXP(-(Tabella3336[Planck h]*Tabella4943[Frequency10])/(2*Tabella3336[Boltzmann k]*Tabella82041[[#This Row],[Temperatura]])))/(1-EXP(-(Tabella3336[Planck h]*Tabella4943[Frequency10])/(Tabella3336[Boltzmann k]*Tabella82041[[#This Row],[Temperatura]])))</calculatedColumnFormula>
    </tableColumn>
    <tableColumn id="12" xr3:uid="{78534420-E8B4-4311-9D01-1BF46D04D20D}" name="Qvib11" dataDxfId="17">
      <calculatedColumnFormula array="1">(EXP(-(Tabella3336[Planck h]*Tabella4943[Frequency11])/(2*Tabella3336[Boltzmann k]*Tabella82041[[#This Row],[Temperatura]])))/(1-EXP(-(Tabella3336[Planck h]*Tabella4943[Frequency11])/(Tabella3336[Boltzmann k]*Tabella82041[[#This Row],[Temperatura]])))</calculatedColumnFormula>
    </tableColumn>
    <tableColumn id="14" xr3:uid="{69F43572-D89F-4AAB-AD57-7319A87EFDC0}" name="Qvib12" dataDxfId="18">
      <calculatedColumnFormula array="1">(EXP(-(Tabella3336[Planck h]*Tabella4943[Frequency12])/(2*Tabella3336[Boltzmann k]*Tabella82041[[#This Row],[Temperatura]])))/(1-EXP(-(Tabella3336[Planck h]*Tabella4943[Frequency12])/(Tabella3336[Boltzmann k]*Tabella82041[[#This Row],[Temperatura]])))</calculatedColumnFormula>
    </tableColumn>
    <tableColumn id="13" xr3:uid="{E1570E58-208A-43E8-B290-D567EE429E54}" name="Qtot" dataDxfId="0">
      <calculatedColumnFormula>ABS(PRODUCT(Tabella82041[[#This Row],[Qvib2]:[Qvib12]]))</calculatedColumnFormula>
    </tableColumn>
  </tableColumns>
  <tableStyleInfo name="TableStyleLight13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8B756F1-9E7D-4CA3-A044-74054692618D}" name="Tabella4742" displayName="Tabella4742" ref="A60:B72" totalsRowShown="0">
  <autoFilter ref="A60:B72" xr:uid="{08B756F1-9E7D-4CA3-A044-74054692618D}"/>
  <tableColumns count="2">
    <tableColumn id="1" xr3:uid="{043B5C4A-6E0D-4597-B28F-9610C1CAEA8F}" name="Wavenumbers [cm^-1]" dataDxfId="27"/>
    <tableColumn id="2" xr3:uid="{0BBF9BD7-47F7-4410-AB40-DB65233D8FE8}" name="Frequencies [s^-1]" dataDxfId="26">
      <calculatedColumnFormula array="1">Tabella4742[[#This Row],[Wavenumbers '[cm^-1']]]*Tabella3336[Speed of Light '[cm/s']]</calculatedColumnFormula>
    </tableColumn>
  </tableColumns>
  <tableStyleInfo name="TableStyleLight9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640F2A82-0CAF-41B0-A162-0A914A49CA17}" name="Tabella4943" displayName="Tabella4943" ref="E58:P59" totalsRowShown="0">
  <autoFilter ref="E58:P59" xr:uid="{640F2A82-0CAF-41B0-A162-0A914A49CA17}"/>
  <tableColumns count="12">
    <tableColumn id="1" xr3:uid="{BA377584-EC0A-4B7A-B3ED-C9698B77EB54}" name="Frequency1">
      <calculatedColumnFormula>B61</calculatedColumnFormula>
    </tableColumn>
    <tableColumn id="2" xr3:uid="{EB8D387C-D8B3-4620-9875-D66721EA8B71}" name="Frequency2">
      <calculatedColumnFormula>B62</calculatedColumnFormula>
    </tableColumn>
    <tableColumn id="3" xr3:uid="{AB1119B6-398F-43DE-8735-C2B3285C939F}" name="Frequency3">
      <calculatedColumnFormula>B63</calculatedColumnFormula>
    </tableColumn>
    <tableColumn id="4" xr3:uid="{3127C88C-4699-469C-A474-0E8EF587BBE6}" name="Frequency4">
      <calculatedColumnFormula>B64</calculatedColumnFormula>
    </tableColumn>
    <tableColumn id="5" xr3:uid="{C57E04B5-054F-4C9E-8073-E84DD4F6BDC8}" name="Frequency5">
      <calculatedColumnFormula>B65</calculatedColumnFormula>
    </tableColumn>
    <tableColumn id="6" xr3:uid="{95D46B06-91E9-4D42-83E0-6F6783969AA1}" name="Frequency6">
      <calculatedColumnFormula>B66</calculatedColumnFormula>
    </tableColumn>
    <tableColumn id="7" xr3:uid="{26908F9D-2F53-4C9C-AF33-AB20AF1F043C}" name="Frequency7">
      <calculatedColumnFormula>B67</calculatedColumnFormula>
    </tableColumn>
    <tableColumn id="8" xr3:uid="{3A51BB8E-A4F2-4652-8881-E98676C418E6}" name="Frequency8">
      <calculatedColumnFormula>B68</calculatedColumnFormula>
    </tableColumn>
    <tableColumn id="9" xr3:uid="{019FFCFA-136C-4079-964C-B9B9DFA37F22}" name="Frequency9">
      <calculatedColumnFormula>B69</calculatedColumnFormula>
    </tableColumn>
    <tableColumn id="10" xr3:uid="{EA2EF00E-3FAF-4550-9918-9B8F056F694F}" name="Frequency10">
      <calculatedColumnFormula>B70</calculatedColumnFormula>
    </tableColumn>
    <tableColumn id="11" xr3:uid="{8843F757-57AF-4FA7-AF5C-96EBE8F63236}" name="Frequency11">
      <calculatedColumnFormula>B71</calculatedColumnFormula>
    </tableColumn>
    <tableColumn id="12" xr3:uid="{29120398-EC62-4417-BDA2-4221BA4FB5D3}" name="Frequency12">
      <calculatedColumnFormula>B72</calculatedColumnFormula>
    </tableColumn>
  </tableColumns>
  <tableStyleInfo name="TableStyleLight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B64F43CA-B3BD-415A-8A58-A2D2F0C67609}" name="Tabella5044" displayName="Tabella5044" ref="A51:C54" totalsRowShown="0">
  <autoFilter ref="A51:C54" xr:uid="{B64F43CA-B3BD-415A-8A58-A2D2F0C67609}"/>
  <tableColumns count="3">
    <tableColumn id="2" xr3:uid="{9C70B751-DEE5-4038-9723-135F60EA4236}" name="Rotational Constants [Ghz]" dataDxfId="19">
      <calculatedColumnFormula>#REF!*(0.000000000000000001)</calculatedColumnFormula>
    </tableColumn>
    <tableColumn id="1" xr3:uid="{9F6A5A4C-C771-4C4B-9E1D-34F1CCB75890}" name="Rotational Constant [m^-1]" dataDxfId="25">
      <calculatedColumnFormula array="1">((Tabella5044[[#This Row],[Rotational Constants '[Ghz']]]*1000000000)/Tabella3336[Speed of Light '[cm/s']])*100</calculatedColumnFormula>
    </tableColumn>
    <tableColumn id="3" xr3:uid="{11F1A207-9028-4E73-B1D7-944405669371}" name="Moments of Inertia" dataDxfId="24">
      <calculatedColumnFormula array="1">Tabella3336[Planck h]/(8*POWER(Tabella3336[Pi Greco],2)*Tabella5044[[#This Row],[Rotational Constant '[m^-1']]]*Tabella3336[Speed of Light '[m/s']])</calculatedColumnFormula>
    </tableColumn>
  </tableColumns>
  <tableStyleInfo name="TableStyleLight9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FAF7B1E9-4A06-4BD2-A7FC-6D2E40A7FBAB}" name="Tabella1945" displayName="Tabella1945" ref="D51:D52" totalsRowShown="0">
  <autoFilter ref="D51:D52" xr:uid="{FAF7B1E9-4A06-4BD2-A7FC-6D2E40A7FBAB}"/>
  <tableColumns count="1">
    <tableColumn id="1" xr3:uid="{B204A515-F118-460C-B9AD-62C03A09C030}" name="Total Moment of Inertia">
      <calculatedColumnFormula>SQRT(PRODUCT(Tabella5044[Moments of Inertia]))</calculatedColumnFormula>
    </tableColumn>
  </tableColumns>
  <tableStyleInfo name="TableStyleLight9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7C98E72B-15E8-4BC5-BB68-F39E196D3D5E}" name="Tabella346" displayName="Tabella346" ref="E51:E52" totalsRowShown="0">
  <autoFilter ref="E51:E52" xr:uid="{7C98E72B-15E8-4BC5-BB68-F39E196D3D5E}"/>
  <tableColumns count="1">
    <tableColumn id="1" xr3:uid="{D10E67C3-2F0E-47C4-B5C9-39631D0E1689}" name="Theta rot">
      <calculatedColumnFormula array="1">POWER(Tabella3336[Planck h],2)/(8*POWER(Tabella3336[Pi Greco],2)*Tabella1945[[#This Row],[Total Moment of Inertia]]*Tabella3336[Boltzmann k])</calculatedColumnFormula>
    </tableColumn>
  </tableColumns>
  <tableStyleInfo name="TableStyleLight9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8659BEF3-57D9-406B-A397-778A9E07AE84}" name="Tabella51847" displayName="Tabella51847" ref="A80:F98" totalsRowShown="0">
  <autoFilter ref="A80:F98" xr:uid="{8659BEF3-57D9-406B-A397-778A9E07AE84}"/>
  <tableColumns count="6">
    <tableColumn id="1" xr3:uid="{C925C538-58B7-4131-970D-2B24B5F612DC}" name="Temperatura"/>
    <tableColumn id="12" xr3:uid="{8E3AA964-293C-4541-85B0-CE759EA2AB5F}" name="Volume" dataDxfId="23">
      <calculatedColumnFormula array="1">(Tabella3336[Boltzmann k]*Tabella51847[[#This Row],[Temperatura]])/101325</calculatedColumnFormula>
    </tableColumn>
    <tableColumn id="2" xr3:uid="{9F6DF356-6C1E-4F5E-A6B2-9B4228D51F2D}" name="Qtrasl" dataDxfId="22">
      <calculatedColumnFormula array="1">POWER((2*Tabella3336[Pi Greco]*Tabella3336[Massa]*Tabella3336[Boltzmann k]*Tabella51847[[#This Row],[Temperatura]])/(POWER(Tabella3336[Planck h],2)),1.5)*Tabella51847[[#This Row],[Volume]]</calculatedColumnFormula>
    </tableColumn>
    <tableColumn id="3" xr3:uid="{03AB32ED-E023-4BCC-9CD0-48CB7306B480}" name="Qvib" dataDxfId="21">
      <calculatedColumnFormula>Q61</calculatedColumnFormula>
    </tableColumn>
    <tableColumn id="4" xr3:uid="{F1F4615B-B254-49F4-B9EA-8B8CEE56AFC5}" name="Qrot" dataDxfId="20">
      <calculatedColumnFormula array="1">(8*POWER(Tabella3336[Pi Greco],2)*POWER(2*Tabella3336[Pi Greco]*Tabella3336[Boltzmann k]*Tabella51847[[#This Row],[Temperatura]],1.5)*Tabella1945[Total Moment of Inertia])/(Tabella61937[Simmetry Number]*POWER(Tabella3336[Planck h],3))</calculatedColumnFormula>
    </tableColumn>
    <tableColumn id="5" xr3:uid="{1A6CC709-8E7B-4E5D-B0EA-7827B24D544C}" name="Qel" dataDxfId="15">
      <calculatedColumnFormula>2</calculatedColumnFormula>
    </tableColumn>
  </tableColumns>
  <tableStyleInfo name="TableStyleLight8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36FEC474-226C-40C0-9060-5953D1CEA17F}" name="Tabella48" displayName="Tabella48" ref="A4:E22" totalsRowShown="0">
  <autoFilter ref="A4:E22" xr:uid="{36FEC474-226C-40C0-9060-5953D1CEA17F}"/>
  <tableColumns count="5">
    <tableColumn id="1" xr3:uid="{429DD2DB-F387-4642-94FF-9E2F35B10533}" name="Temperature"/>
    <tableColumn id="2" xr3:uid="{CF52F517-6339-491F-8A60-42FC019EEA66}" name="Q CH4" dataDxfId="11">
      <calculatedColumnFormula>'CH4'!J34</calculatedColumnFormula>
    </tableColumn>
    <tableColumn id="3" xr3:uid="{52FB61F8-154E-4B78-8845-3D5556053C43}" name="Q H " dataDxfId="10">
      <calculatedColumnFormula>H!J6</calculatedColumnFormula>
    </tableColumn>
    <tableColumn id="4" xr3:uid="{4BA1EE7E-E3EA-4C50-88D6-0E286C242B60}" name="Q TST" dataDxfId="9">
      <calculatedColumnFormula>'TST1'!J81</calculatedColumnFormula>
    </tableColumn>
    <tableColumn id="5" xr3:uid="{4AD59EDB-CA99-4BFF-9AD0-D107C4F82D93}" name="kr" dataDxfId="8">
      <calculatedColumnFormula>(Tabella51[Boltzmann k]*Tabella48[[#This Row],[Temperature]]*Tabella48[[#This Row],[Q TST]])/(Tabella51[Planck h]*(Tabella48[[#This Row],[Q CH4]]*Tabella48[[#This Row],[Q H ]]))</calculatedColumnFormula>
    </tableColumn>
  </tableColumns>
  <tableStyleInfo name="TableStyleLight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5006F743-87B3-464E-A65E-EFF44C1E0227}" name="Tabella51" displayName="Tabella51" ref="A1:B2" totalsRowShown="0">
  <autoFilter ref="A1:B2" xr:uid="{5006F743-87B3-464E-A65E-EFF44C1E0227}"/>
  <tableColumns count="2">
    <tableColumn id="1" xr3:uid="{20A79671-8BC7-46DB-98C7-583C0E00872F}" name="Planck h">
      <calculatedColumnFormula>6.62607015E-34</calculatedColumnFormula>
    </tableColumn>
    <tableColumn id="2" xr3:uid="{A7F0930B-1FF0-4F7D-B6A0-FD69EFEC26A4}" name="Boltzmann k">
      <calculatedColumnFormula>1.380649E-23</calculatedColumnFormula>
    </tableColumn>
  </tableColumns>
  <tableStyleInfo name="TableStyleLight9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89CE40A2-526F-4915-BAC7-10EC564C0CF3}" name="Tabella4852" displayName="Tabella4852" ref="G4:K22" totalsRowShown="0">
  <autoFilter ref="G4:K22" xr:uid="{89CE40A2-526F-4915-BAC7-10EC564C0CF3}"/>
  <tableColumns count="5">
    <tableColumn id="1" xr3:uid="{7F7CB268-CF0D-43C7-A755-43E9F7DCB6D1}" name="Temperature"/>
    <tableColumn id="2" xr3:uid="{A139367B-3A56-4AFF-AC6A-49327A3A0112}" name="Q CH3" dataDxfId="2">
      <calculatedColumnFormula>'CH3'!J34</calculatedColumnFormula>
    </tableColumn>
    <tableColumn id="3" xr3:uid="{6D7E35CA-88B4-4F3F-A571-55443693F538}" name="Q H2" dataDxfId="1">
      <calculatedColumnFormula>'H2'!I38</calculatedColumnFormula>
    </tableColumn>
    <tableColumn id="4" xr3:uid="{763A5894-4B44-41A4-A8EA-4A40B23AB5EA}" name="Q TST" dataDxfId="3">
      <calculatedColumnFormula>'TST1'!J81</calculatedColumnFormula>
    </tableColumn>
    <tableColumn id="5" xr3:uid="{15A74503-7473-489E-B9EB-5112AD00439C}" name="kp" dataDxfId="4">
      <calculatedColumnFormula>(Tabella51[Boltzmann k]*Tabella4852[[#This Row],[Temperature]]*Tabella4852[[#This Row],[Q TST]])/(Tabella51[Planck h]*(Tabella4852[[#This Row],[Q CH3]]*Tabella4852[[#This Row],[Q H2]]))</calculatedColumnFormula>
    </tableColumn>
  </tableColumns>
  <tableStyleInfo name="TableStyleLight9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370F4E4E-4BC2-4070-A08C-F4E30BB35DB6}" name="Tabella52" displayName="Tabella52" ref="A25:E26" totalsRowShown="0">
  <autoFilter ref="A25:E26" xr:uid="{370F4E4E-4BC2-4070-A08C-F4E30BB35DB6}"/>
  <tableColumns count="5">
    <tableColumn id="9" xr3:uid="{67AE64F1-0886-456C-9380-28C15CFA260F}" name="Temperature"/>
    <tableColumn id="1" xr3:uid="{D756BD2F-7BCD-467A-AB6C-BF162F75C4E1}" name="QCH4">
      <calculatedColumnFormula>11.5965852*1.00594088*6.29E+31*1</calculatedColumnFormula>
    </tableColumn>
    <tableColumn id="2" xr3:uid="{8DABB3A5-CDBD-4C35-9BD8-CF9576CBE93F}" name="QH">
      <calculatedColumnFormula>1*1*9.91E+29*2</calculatedColumnFormula>
    </tableColumn>
    <tableColumn id="3" xr3:uid="{3A6ED35C-CE18-4DBB-9C97-CB81AC81D6B2}" name="QTST">
      <calculatedColumnFormula>130.079708*1.18917491*6.89E+31*1</calculatedColumnFormula>
    </tableColumn>
    <tableColumn id="4" xr3:uid="{F61C902F-748A-42BA-A820-02FCDD5F8828}" name="kr">
      <calculatedColumnFormula>(Tabella51[Boltzmann k]*Tabella52[[#This Row],[Temperature]]*Tabella52[[#This Row],[QTST]])/(Tabella51[Planck h]*(Tabella52[[#This Row],[QCH4]]*Tabella52[[#This Row],[QH]]))</calculatedColumnFormula>
    </tableColumn>
  </tableColumns>
  <tableStyleInfo name="TableStyleLight9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323197B6-4A18-43A2-BE68-192DE5B52336}" name="Tabella151" displayName="Tabella151" ref="K5:L9" totalsRowShown="0" dataDxfId="7">
  <autoFilter ref="K5:L9" xr:uid="{323197B6-4A18-43A2-BE68-192DE5B52336}"/>
  <tableColumns count="2">
    <tableColumn id="1" xr3:uid="{B4EF7979-BCED-49AB-8873-DC3E0F3E88F3}" name="hn4" dataDxfId="6"/>
    <tableColumn id="2" xr3:uid="{72D2AAFF-0FCA-443E-A537-829CB065F36A}" name="Energy" dataDxfId="5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7.xml"/><Relationship Id="rId3" Type="http://schemas.openxmlformats.org/officeDocument/2006/relationships/table" Target="../tables/table12.xml"/><Relationship Id="rId7" Type="http://schemas.openxmlformats.org/officeDocument/2006/relationships/table" Target="../tables/table16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Relationship Id="rId6" Type="http://schemas.openxmlformats.org/officeDocument/2006/relationships/table" Target="../tables/table15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Relationship Id="rId9" Type="http://schemas.openxmlformats.org/officeDocument/2006/relationships/table" Target="../tables/table18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8.xml"/><Relationship Id="rId3" Type="http://schemas.openxmlformats.org/officeDocument/2006/relationships/table" Target="../tables/table23.xml"/><Relationship Id="rId7" Type="http://schemas.openxmlformats.org/officeDocument/2006/relationships/table" Target="../tables/table27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6" Type="http://schemas.openxmlformats.org/officeDocument/2006/relationships/table" Target="../tables/table26.xml"/><Relationship Id="rId5" Type="http://schemas.openxmlformats.org/officeDocument/2006/relationships/table" Target="../tables/table25.xml"/><Relationship Id="rId4" Type="http://schemas.openxmlformats.org/officeDocument/2006/relationships/table" Target="../tables/table24.xml"/><Relationship Id="rId9" Type="http://schemas.openxmlformats.org/officeDocument/2006/relationships/table" Target="../tables/table29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5.xml"/><Relationship Id="rId3" Type="http://schemas.openxmlformats.org/officeDocument/2006/relationships/table" Target="../tables/table30.xml"/><Relationship Id="rId7" Type="http://schemas.openxmlformats.org/officeDocument/2006/relationships/table" Target="../tables/table34.xml"/><Relationship Id="rId12" Type="http://schemas.openxmlformats.org/officeDocument/2006/relationships/table" Target="../tables/table3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33.xml"/><Relationship Id="rId11" Type="http://schemas.openxmlformats.org/officeDocument/2006/relationships/table" Target="../tables/table38.xml"/><Relationship Id="rId5" Type="http://schemas.openxmlformats.org/officeDocument/2006/relationships/table" Target="../tables/table32.xml"/><Relationship Id="rId10" Type="http://schemas.openxmlformats.org/officeDocument/2006/relationships/table" Target="../tables/table37.xml"/><Relationship Id="rId4" Type="http://schemas.openxmlformats.org/officeDocument/2006/relationships/table" Target="../tables/table31.xml"/><Relationship Id="rId9" Type="http://schemas.openxmlformats.org/officeDocument/2006/relationships/table" Target="../tables/table3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1.xml"/><Relationship Id="rId2" Type="http://schemas.openxmlformats.org/officeDocument/2006/relationships/table" Target="../tables/table40.xml"/><Relationship Id="rId1" Type="http://schemas.openxmlformats.org/officeDocument/2006/relationships/drawing" Target="../drawings/drawing2.xml"/><Relationship Id="rId5" Type="http://schemas.openxmlformats.org/officeDocument/2006/relationships/table" Target="../tables/table43.xml"/><Relationship Id="rId4" Type="http://schemas.openxmlformats.org/officeDocument/2006/relationships/table" Target="../tables/table4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4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97E9-94E3-4E8F-99BF-230A0A87CB4D}">
  <dimension ref="A1:N51"/>
  <sheetViews>
    <sheetView topLeftCell="A13" zoomScale="107" zoomScaleNormal="70" workbookViewId="0">
      <selection activeCell="A12" sqref="A12"/>
    </sheetView>
  </sheetViews>
  <sheetFormatPr defaultRowHeight="14.4" x14ac:dyDescent="0.3"/>
  <cols>
    <col min="1" max="1" width="12" customWidth="1"/>
    <col min="2" max="2" width="12.33203125" bestFit="1" customWidth="1"/>
    <col min="3" max="3" width="9" customWidth="1"/>
    <col min="4" max="4" width="9" bestFit="1" customWidth="1"/>
    <col min="5" max="6" width="12.33203125" bestFit="1" customWidth="1"/>
    <col min="7" max="7" width="11.88671875" customWidth="1"/>
    <col min="8" max="13" width="12.33203125" bestFit="1" customWidth="1"/>
    <col min="14" max="14" width="9" bestFit="1" customWidth="1"/>
  </cols>
  <sheetData>
    <row r="1" spans="1:14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14" x14ac:dyDescent="0.3">
      <c r="A2">
        <v>3.1415899999999999</v>
      </c>
      <c r="B2" s="4">
        <f>16.04*1.6605655E-27</f>
        <v>2.6635470619999996E-26</v>
      </c>
      <c r="C2" s="4">
        <v>1.3806490000000001E-23</v>
      </c>
      <c r="D2" s="4">
        <f>6.62607015E-34</f>
        <v>6.6260701499999998E-34</v>
      </c>
      <c r="E2" s="4">
        <v>8.3144620000000007</v>
      </c>
      <c r="F2" s="4">
        <v>6.0221410000000001E+23</v>
      </c>
      <c r="G2">
        <v>29979300000</v>
      </c>
      <c r="H2">
        <f>Tabella33[[#This Row],[Speed of Light '[cm/s']]]*POWER(10,-2)</f>
        <v>299793000</v>
      </c>
    </row>
    <row r="4" spans="1:14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</row>
    <row r="5" spans="1:14" x14ac:dyDescent="0.3">
      <c r="A5" s="1">
        <f>157.48724</f>
        <v>157.48724000000001</v>
      </c>
      <c r="B5" cm="1">
        <f t="array" ref="B5">((Tabella50[[#This Row],[Rotational Constants '[Ghz']]]*1000000000)/Tabella33[Speed of Light '[cm/s']])*100</f>
        <v>525.31993742348891</v>
      </c>
      <c r="C5" s="4" cm="1">
        <f t="array" ref="C5">Tabella33[Planck h]/(8*POWER(Tabella33[Pi Greco],2)*Tabella50[[#This Row],[Rotational Constant '[m^-1']]]*Tabella33[Speed of Light '[m/s']])</f>
        <v>5.3287047624129001E-47</v>
      </c>
      <c r="D5">
        <f>SQRT(PRODUCT(Tabella50[Moments of Inertia]))</f>
        <v>3.8900314799104037E-70</v>
      </c>
      <c r="E5" s="4" cm="1">
        <f t="array" ref="E5">POWER(Tabella33[Planck h],2)/(8*POWER(Tabella33[Pi Greco],2)*Tabella19[[#This Row],[Total Moment of Inertia]]*Tabella33[Boltzmann k])</f>
        <v>1.0353487455225901E+24</v>
      </c>
      <c r="F5" s="4"/>
    </row>
    <row r="6" spans="1:14" x14ac:dyDescent="0.3">
      <c r="A6">
        <f>157.47976</f>
        <v>157.47976</v>
      </c>
      <c r="B6" cm="1">
        <f t="array" ref="B6">((Tabella50[[#This Row],[Rotational Constants '[Ghz']]]*1000000000)/Tabella33[Speed of Light '[cm/s']])*100</f>
        <v>525.29498687427656</v>
      </c>
      <c r="C6" s="4" cm="1">
        <f t="array" ref="C6">Tabella33[Planck h]/(8*POWER(Tabella33[Pi Greco],2)*Tabella50[[#This Row],[Rotational Constant '[m^-1']]]*Tabella33[Speed of Light '[m/s']])</f>
        <v>5.328957866123643E-47</v>
      </c>
    </row>
    <row r="7" spans="1:14" x14ac:dyDescent="0.3">
      <c r="A7">
        <f>157.47976</f>
        <v>157.47976</v>
      </c>
      <c r="B7" cm="1">
        <f t="array" ref="B7">((Tabella50[[#This Row],[Rotational Constants '[Ghz']]]*1000000000)/Tabella33[Speed of Light '[cm/s']])*100</f>
        <v>525.29498687427656</v>
      </c>
      <c r="C7" s="4" cm="1">
        <f t="array" ref="C7">Tabella33[Planck h]/(8*POWER(Tabella33[Pi Greco],2)*Tabella50[[#This Row],[Rotational Constant '[m^-1']]]*Tabella33[Speed of Light '[m/s']])</f>
        <v>5.328957866123643E-47</v>
      </c>
    </row>
    <row r="9" spans="1:14" x14ac:dyDescent="0.3">
      <c r="E9" s="4"/>
    </row>
    <row r="10" spans="1:14" x14ac:dyDescent="0.3">
      <c r="A10" t="s">
        <v>23</v>
      </c>
    </row>
    <row r="11" spans="1:14" x14ac:dyDescent="0.3">
      <c r="A11">
        <v>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32</v>
      </c>
    </row>
    <row r="12" spans="1:14" x14ac:dyDescent="0.3">
      <c r="E12">
        <f>B14</f>
        <v>40391551585710</v>
      </c>
      <c r="F12">
        <f>B15</f>
        <v>40391590558800</v>
      </c>
      <c r="G12">
        <f>B16</f>
        <v>40398194998590</v>
      </c>
      <c r="H12">
        <f>B17</f>
        <v>46879716660660</v>
      </c>
      <c r="I12">
        <f>B18</f>
        <v>46879755633750</v>
      </c>
      <c r="J12">
        <f>B19</f>
        <v>91062561447780</v>
      </c>
      <c r="K12">
        <f>B20</f>
        <v>94443926694780</v>
      </c>
      <c r="L12">
        <f>B21</f>
        <v>94443935688570</v>
      </c>
      <c r="M12">
        <f>B22</f>
        <v>94450186372620</v>
      </c>
    </row>
    <row r="13" spans="1:14" x14ac:dyDescent="0.3">
      <c r="A13" t="s">
        <v>33</v>
      </c>
      <c r="B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  <c r="J13" t="s">
        <v>41</v>
      </c>
      <c r="K13" t="s">
        <v>42</v>
      </c>
      <c r="L13" t="s">
        <v>43</v>
      </c>
      <c r="M13" t="s">
        <v>44</v>
      </c>
      <c r="N13" t="s">
        <v>45</v>
      </c>
    </row>
    <row r="14" spans="1:14" x14ac:dyDescent="0.3">
      <c r="A14" s="5">
        <f>1347.3147</f>
        <v>1347.3146999999999</v>
      </c>
      <c r="B14" cm="1">
        <f t="array" ref="B14">Tabella47[[#This Row],[Wavenumbers '[cm^-1']]]*Tabella33[Speed of Light '[cm/s']]</f>
        <v>40391551585710</v>
      </c>
      <c r="D14">
        <v>298</v>
      </c>
      <c r="E14" s="4" cm="1">
        <f t="array" ref="E14">(EXP(-(Tabella33[Planck h]*Tabella49[Frequency1])/(2*Tabella33[Boltzmann k]*Tabella820[[#This Row],[Temperatura]])))/(1-EXP(-(Tabella33[Planck h]*Tabella49[Frequency1])/(Tabella33[Boltzmann k]*Tabella820[[#This Row],[Temperatura]])))</f>
        <v>3.8735421177909832E-2</v>
      </c>
      <c r="F14" s="4" cm="1">
        <f t="array" ref="F14">(EXP(-(Tabella33[Planck h]*Tabella49[Frequency2])/(2*Tabella33[Boltzmann k]*Tabella820[[#This Row],[Temperatura]])))/(1-EXP(-(Tabella33[Planck h]*Tabella49[Frequency2])/(Tabella33[Boltzmann k]*Tabella820[[#This Row],[Temperatura]])))</f>
        <v>3.8735299251359517E-2</v>
      </c>
      <c r="G14" s="4" cm="1">
        <f t="array" ref="G14">(EXP(-(Tabella33[Planck h]*Tabella49[Frequency3])/(2*Tabella33[Boltzmann k]*Tabella820[[#This Row],[Temperatura]])))/(1-EXP(-(Tabella33[Planck h]*Tabella49[Frequency3])/(Tabella33[Boltzmann k]*Tabella820[[#This Row],[Temperatura]])))</f>
        <v>3.8714642965764753E-2</v>
      </c>
      <c r="H14" s="4" cm="1">
        <f t="array" ref="H14">(EXP(-(Tabella33[Planck h]*Tabella49[Frequency4])/(2*Tabella33[Boltzmann k]*Tabella820[[#This Row],[Temperatura]])))/(1-EXP(-(Tabella33[Planck h]*Tabella49[Frequency4])/(Tabella33[Boltzmann k]*Tabella820[[#This Row],[Temperatura]])))</f>
        <v>2.29502609060801E-2</v>
      </c>
      <c r="I14" s="4" cm="1">
        <f t="array" ref="I14">(EXP(-(Tabella33[Planck h]*Tabella49[Frequency5])/(2*Tabella33[Boltzmann k]*Tabella820[[#This Row],[Temperatura]])))/(1-EXP(-(Tabella33[Planck h]*Tabella49[Frequency5])/(Tabella33[Boltzmann k]*Tabella820[[#This Row],[Temperatura]])))</f>
        <v>2.295018880607623E-2</v>
      </c>
      <c r="J14" s="4" cm="1">
        <f t="array" ref="J14">(EXP(-(Tabella33[Planck h]*Tabella49[Frequency6])/(2*Tabella33[Boltzmann k]*Tabella820[[#This Row],[Temperatura]])))/(1-EXP(-(Tabella33[Planck h]*Tabella49[Frequency6])/(Tabella33[Boltzmann k]*Tabella820[[#This Row],[Temperatura]])))</f>
        <v>6.5377935953506541E-4</v>
      </c>
      <c r="K14" s="4" cm="1">
        <f t="array" ref="K14">(EXP(-(Tabella33[Planck h]*Tabella49[Frequency7])/(2*Tabella33[Boltzmann k]*Tabella820[[#This Row],[Temperatura]])))/(1-EXP(-(Tabella33[Planck h]*Tabella49[Frequency7])/(Tabella33[Boltzmann k]*Tabella820[[#This Row],[Temperatura]])))</f>
        <v>4.9794417390589191E-4</v>
      </c>
      <c r="L14" s="4" cm="1">
        <f t="array" ref="L14">(EXP(-(Tabella33[Planck h]*Tabella49[Frequency8])/(2*Tabella33[Boltzmann k]*Tabella820[[#This Row],[Temperatura]])))/(1-EXP(-(Tabella33[Planck h]*Tabella49[Frequency8])/(Tabella33[Boltzmann k]*Tabella820[[#This Row],[Temperatura]])))</f>
        <v>4.9794381328578012E-4</v>
      </c>
      <c r="M14" s="4" cm="1">
        <f t="array" ref="M14">(EXP(-(Tabella33[Planck h]*Tabella49[Frequency9])/(2*Tabella33[Boltzmann k]*Tabella820[[#This Row],[Temperatura]])))/(1-EXP(-(Tabella33[Planck h]*Tabella49[Frequency9])/(Tabella33[Boltzmann k]*Tabella820[[#This Row],[Temperatura]])))</f>
        <v>4.9769324546377084E-4</v>
      </c>
      <c r="N14" s="4">
        <f>PRODUCT(Tabella820[[#This Row],[Qvib1]:[Qvib9]])</f>
        <v>2.4684156686781186E-21</v>
      </c>
    </row>
    <row r="15" spans="1:14" x14ac:dyDescent="0.3">
      <c r="A15" s="5">
        <f>1347.316</f>
        <v>1347.316</v>
      </c>
      <c r="B15" cm="1">
        <f t="array" ref="B15">Tabella47[[#This Row],[Wavenumbers '[cm^-1']]]*Tabella33[Speed of Light '[cm/s']]</f>
        <v>40391590558800</v>
      </c>
      <c r="D15">
        <v>400</v>
      </c>
      <c r="E15" s="4" cm="1">
        <f t="array" ref="E15">(EXP(-(Tabella33[Planck h]*Tabella49[Frequency1])/(2*Tabella33[Boltzmann k]*Tabella820[[#This Row],[Temperatura]])))/(1-EXP(-(Tabella33[Planck h]*Tabella49[Frequency1])/(Tabella33[Boltzmann k]*Tabella820[[#This Row],[Temperatura]])))</f>
        <v>8.9347512294194367E-2</v>
      </c>
      <c r="F15" s="4" cm="1">
        <f t="array" ref="F15">(EXP(-(Tabella33[Planck h]*Tabella49[Frequency2])/(2*Tabella33[Boltzmann k]*Tabella820[[#This Row],[Temperatura]])))/(1-EXP(-(Tabella33[Planck h]*Tabella49[Frequency2])/(Tabella33[Boltzmann k]*Tabella820[[#This Row],[Temperatura]])))</f>
        <v>8.9347300089466897E-2</v>
      </c>
      <c r="G15" s="4" cm="1">
        <f t="array" ref="G15">(EXP(-(Tabella33[Planck h]*Tabella49[Frequency3])/(2*Tabella33[Boltzmann k]*Tabella820[[#This Row],[Temperatura]])))/(1-EXP(-(Tabella33[Planck h]*Tabella49[Frequency3])/(Tabella33[Boltzmann k]*Tabella820[[#This Row],[Temperatura]])))</f>
        <v>8.9311347053400977E-2</v>
      </c>
      <c r="H15" s="4" cm="1">
        <f t="array" ref="H15">(EXP(-(Tabella33[Planck h]*Tabella49[Frequency4])/(2*Tabella33[Boltzmann k]*Tabella820[[#This Row],[Temperatura]])))/(1-EXP(-(Tabella33[Planck h]*Tabella49[Frequency4])/(Tabella33[Boltzmann k]*Tabella820[[#This Row],[Temperatura]])))</f>
        <v>6.0281790756733129E-2</v>
      </c>
      <c r="I15" s="4" cm="1">
        <f t="array" ref="I15">(EXP(-(Tabella33[Planck h]*Tabella49[Frequency5])/(2*Tabella33[Boltzmann k]*Tabella820[[#This Row],[Temperatura]])))/(1-EXP(-(Tabella33[Planck h]*Tabella49[Frequency5])/(Tabella33[Boltzmann k]*Tabella820[[#This Row],[Temperatura]])))</f>
        <v>6.0281648796446603E-2</v>
      </c>
      <c r="J15" s="4" cm="1">
        <f t="array" ref="J15">(EXP(-(Tabella33[Planck h]*Tabella49[Frequency6])/(2*Tabella33[Boltzmann k]*Tabella820[[#This Row],[Temperatura]])))/(1-EXP(-(Tabella33[Planck h]*Tabella49[Frequency6])/(Tabella33[Boltzmann k]*Tabella820[[#This Row],[Temperatura]])))</f>
        <v>4.2413481416414406E-3</v>
      </c>
      <c r="K15" s="4" cm="1">
        <f t="array" ref="K15">(EXP(-(Tabella33[Planck h]*Tabella49[Frequency7])/(2*Tabella33[Boltzmann k]*Tabella820[[#This Row],[Temperatura]])))/(1-EXP(-(Tabella33[Planck h]*Tabella49[Frequency7])/(Tabella33[Boltzmann k]*Tabella820[[#This Row],[Temperatura]])))</f>
        <v>3.4626190578272865E-3</v>
      </c>
      <c r="L15" s="4" cm="1">
        <f t="array" ref="L15">(EXP(-(Tabella33[Planck h]*Tabella49[Frequency8])/(2*Tabella33[Boltzmann k]*Tabella820[[#This Row],[Temperatura]])))/(1-EXP(-(Tabella33[Planck h]*Tabella49[Frequency8])/(Tabella33[Boltzmann k]*Tabella820[[#This Row],[Temperatura]])))</f>
        <v>3.4626171895535268E-3</v>
      </c>
      <c r="M15" s="4" cm="1">
        <f t="array" ref="M15">(EXP(-(Tabella33[Planck h]*Tabella49[Frequency9])/(2*Tabella33[Boltzmann k]*Tabella820[[#This Row],[Temperatura]])))/(1-EXP(-(Tabella33[Planck h]*Tabella49[Frequency9])/(Tabella33[Boltzmann k]*Tabella820[[#This Row],[Temperatura]])))</f>
        <v>3.461318983074863E-3</v>
      </c>
      <c r="N15" s="4">
        <f>PRODUCT(Tabella820[[#This Row],[Qvib1]:[Qvib9]])</f>
        <v>4.5603329076358544E-16</v>
      </c>
    </row>
    <row r="16" spans="1:14" x14ac:dyDescent="0.3">
      <c r="A16" s="5">
        <f>1347.5363</f>
        <v>1347.5363</v>
      </c>
      <c r="B16" cm="1">
        <f t="array" ref="B16">Tabella47[[#This Row],[Wavenumbers '[cm^-1']]]*Tabella33[Speed of Light '[cm/s']]</f>
        <v>40398194998590</v>
      </c>
      <c r="D16">
        <v>500</v>
      </c>
      <c r="E16" s="4" cm="1">
        <f t="array" ref="E16">(EXP(-(Tabella33[Planck h]*Tabella49[Frequency1])/(2*Tabella33[Boltzmann k]*Tabella820[[#This Row],[Temperatura]])))/(1-EXP(-(Tabella33[Planck h]*Tabella49[Frequency1])/(Tabella33[Boltzmann k]*Tabella820[[#This Row],[Temperatura]])))</f>
        <v>0.14696543228597136</v>
      </c>
      <c r="F16" s="4" cm="1">
        <f t="array" ref="F16">(EXP(-(Tabella33[Planck h]*Tabella49[Frequency2])/(2*Tabella33[Boltzmann k]*Tabella820[[#This Row],[Temperatura]])))/(1-EXP(-(Tabella33[Planck h]*Tabella49[Frequency2])/(Tabella33[Boltzmann k]*Tabella820[[#This Row],[Temperatura]])))</f>
        <v>0.14696514577168879</v>
      </c>
      <c r="G16" s="4" cm="1">
        <f t="array" ref="G16">(EXP(-(Tabella33[Planck h]*Tabella49[Frequency3])/(2*Tabella33[Boltzmann k]*Tabella820[[#This Row],[Temperatura]])))/(1-EXP(-(Tabella33[Planck h]*Tabella49[Frequency3])/(Tabella33[Boltzmann k]*Tabella820[[#This Row],[Temperatura]])))</f>
        <v>0.14691660132851186</v>
      </c>
      <c r="H16" s="4" cm="1">
        <f t="array" ref="H16">(EXP(-(Tabella33[Planck h]*Tabella49[Frequency4])/(2*Tabella33[Boltzmann k]*Tabella820[[#This Row],[Temperatura]])))/(1-EXP(-(Tabella33[Planck h]*Tabella49[Frequency4])/(Tabella33[Boltzmann k]*Tabella820[[#This Row],[Temperatura]])))</f>
        <v>0.10659725626856913</v>
      </c>
      <c r="I16" s="4" cm="1">
        <f t="array" ref="I16">(EXP(-(Tabella33[Planck h]*Tabella49[Frequency5])/(2*Tabella33[Boltzmann k]*Tabella820[[#This Row],[Temperatura]])))/(1-EXP(-(Tabella33[Planck h]*Tabella49[Frequency5])/(Tabella33[Boltzmann k]*Tabella820[[#This Row],[Temperatura]])))</f>
        <v>0.10659705240707243</v>
      </c>
      <c r="J16" s="4" cm="1">
        <f t="array" ref="J16">(EXP(-(Tabella33[Planck h]*Tabella49[Frequency6])/(2*Tabella33[Boltzmann k]*Tabella820[[#This Row],[Temperatura]])))/(1-EXP(-(Tabella33[Planck h]*Tabella49[Frequency6])/(Tabella33[Boltzmann k]*Tabella820[[#This Row],[Temperatura]])))</f>
        <v>1.2649296140697765E-2</v>
      </c>
      <c r="K16" s="4" cm="1">
        <f t="array" ref="K16">(EXP(-(Tabella33[Planck h]*Tabella49[Frequency7])/(2*Tabella33[Boltzmann k]*Tabella820[[#This Row],[Temperatura]])))/(1-EXP(-(Tabella33[Planck h]*Tabella49[Frequency7])/(Tabella33[Boltzmann k]*Tabella820[[#This Row],[Temperatura]])))</f>
        <v>1.0753994825481658E-2</v>
      </c>
      <c r="L16" s="4" cm="1">
        <f t="array" ref="L16">(EXP(-(Tabella33[Planck h]*Tabella49[Frequency8])/(2*Tabella33[Boltzmann k]*Tabella820[[#This Row],[Temperatura]])))/(1-EXP(-(Tabella33[Planck h]*Tabella49[Frequency8])/(Tabella33[Boltzmann k]*Tabella820[[#This Row],[Temperatura]])))</f>
        <v>1.0753990182621027E-2</v>
      </c>
      <c r="M16" s="4" cm="1">
        <f t="array" ref="M16">(EXP(-(Tabella33[Planck h]*Tabella49[Frequency9])/(2*Tabella33[Boltzmann k]*Tabella820[[#This Row],[Temperatura]])))/(1-EXP(-(Tabella33[Planck h]*Tabella49[Frequency9])/(Tabella33[Boltzmann k]*Tabella820[[#This Row],[Temperatura]])))</f>
        <v>1.0750763879465799E-2</v>
      </c>
      <c r="N16" s="4">
        <f>PRODUCT(Tabella820[[#This Row],[Qvib1]:[Qvib9]])</f>
        <v>5.6707014620515153E-13</v>
      </c>
    </row>
    <row r="17" spans="1:14" x14ac:dyDescent="0.3">
      <c r="A17" s="5">
        <f>1563.7362</f>
        <v>1563.7362000000001</v>
      </c>
      <c r="B17" cm="1">
        <f t="array" ref="B17">Tabella47[[#This Row],[Wavenumbers '[cm^-1']]]*Tabella33[Speed of Light '[cm/s']]</f>
        <v>46879716660660</v>
      </c>
      <c r="D17">
        <v>600</v>
      </c>
      <c r="E17" s="4" cm="1">
        <f t="array" ref="E17">(EXP(-(Tabella33[Planck h]*Tabella49[Frequency1])/(2*Tabella33[Boltzmann k]*Tabella820[[#This Row],[Temperatura]])))/(1-EXP(-(Tabella33[Planck h]*Tabella49[Frequency1])/(Tabella33[Boltzmann k]*Tabella820[[#This Row],[Temperatura]])))</f>
        <v>0.20699106352273494</v>
      </c>
      <c r="F17" s="4" cm="1">
        <f t="array" ref="F17">(EXP(-(Tabella33[Planck h]*Tabella49[Frequency2])/(2*Tabella33[Boltzmann k]*Tabella820[[#This Row],[Temperatura]])))/(1-EXP(-(Tabella33[Planck h]*Tabella49[Frequency2])/(Tabella33[Boltzmann k]*Tabella820[[#This Row],[Temperatura]])))</f>
        <v>0.20699071433688043</v>
      </c>
      <c r="G17" s="4" cm="1">
        <f t="array" ref="G17">(EXP(-(Tabella33[Planck h]*Tabella49[Frequency3])/(2*Tabella33[Boltzmann k]*Tabella820[[#This Row],[Temperatura]])))/(1-EXP(-(Tabella33[Planck h]*Tabella49[Frequency3])/(Tabella33[Boltzmann k]*Tabella820[[#This Row],[Temperatura]])))</f>
        <v>0.20693155051617557</v>
      </c>
      <c r="H17" s="4" cm="1">
        <f t="array" ref="H17">(EXP(-(Tabella33[Planck h]*Tabella49[Frequency4])/(2*Tabella33[Boltzmann k]*Tabella820[[#This Row],[Temperatura]])))/(1-EXP(-(Tabella33[Planck h]*Tabella49[Frequency4])/(Tabella33[Boltzmann k]*Tabella820[[#This Row],[Temperatura]])))</f>
        <v>0.15706601189607286</v>
      </c>
      <c r="I17" s="4" cm="1">
        <f t="array" ref="I17">(EXP(-(Tabella33[Planck h]*Tabella49[Frequency5])/(2*Tabella33[Boltzmann k]*Tabella820[[#This Row],[Temperatura]])))/(1-EXP(-(Tabella33[Planck h]*Tabella49[Frequency5])/(Tabella33[Boltzmann k]*Tabella820[[#This Row],[Temperatura]])))</f>
        <v>0.15706575528607758</v>
      </c>
      <c r="J17" s="4" cm="1">
        <f t="array" ref="J17">(EXP(-(Tabella33[Planck h]*Tabella49[Frequency6])/(2*Tabella33[Boltzmann k]*Tabella820[[#This Row],[Temperatura]])))/(1-EXP(-(Tabella33[Planck h]*Tabella49[Frequency6])/(Tabella33[Boltzmann k]*Tabella820[[#This Row],[Temperatura]])))</f>
        <v>2.6219777364898045E-2</v>
      </c>
      <c r="K17" s="4" cm="1">
        <f t="array" ref="K17">(EXP(-(Tabella33[Planck h]*Tabella49[Frequency7])/(2*Tabella33[Boltzmann k]*Tabella820[[#This Row],[Temperatura]])))/(1-EXP(-(Tabella33[Planck h]*Tabella49[Frequency7])/(Tabella33[Boltzmann k]*Tabella820[[#This Row],[Temperatura]])))</f>
        <v>2.2899565012685832E-2</v>
      </c>
      <c r="L17" s="4" cm="1">
        <f t="array" ref="L17">(EXP(-(Tabella33[Planck h]*Tabella49[Frequency8])/(2*Tabella33[Boltzmann k]*Tabella820[[#This Row],[Temperatura]])))/(1-EXP(-(Tabella33[Planck h]*Tabella49[Frequency8])/(Tabella33[Boltzmann k]*Tabella820[[#This Row],[Temperatura]])))</f>
        <v>2.2899556767197141E-2</v>
      </c>
      <c r="M17" s="4" cm="1">
        <f t="array" ref="M17">(EXP(-(Tabella33[Planck h]*Tabella49[Frequency9])/(2*Tabella33[Boltzmann k]*Tabella820[[#This Row],[Temperatura]])))/(1-EXP(-(Tabella33[Planck h]*Tabella49[Frequency9])/(Tabella33[Boltzmann k]*Tabella820[[#This Row],[Temperatura]])))</f>
        <v>2.2893826872074099E-2</v>
      </c>
      <c r="N17" s="4">
        <f>PRODUCT(Tabella820[[#This Row],[Qvib1]:[Qvib9]])</f>
        <v>6.8848518278132965E-11</v>
      </c>
    </row>
    <row r="18" spans="1:14" x14ac:dyDescent="0.3">
      <c r="A18" s="5">
        <f>1563.7375</f>
        <v>1563.7375</v>
      </c>
      <c r="B18" cm="1">
        <f t="array" ref="B18">Tabella47[[#This Row],[Wavenumbers '[cm^-1']]]*Tabella33[Speed of Light '[cm/s']]</f>
        <v>46879755633750</v>
      </c>
      <c r="D18">
        <v>700</v>
      </c>
      <c r="E18" s="4" cm="1">
        <f t="array" ref="E18">(EXP(-(Tabella33[Planck h]*Tabella49[Frequency1])/(2*Tabella33[Boltzmann k]*Tabella820[[#This Row],[Temperatura]])))/(1-EXP(-(Tabella33[Planck h]*Tabella49[Frequency1])/(Tabella33[Boltzmann k]*Tabella820[[#This Row],[Temperatura]])))</f>
        <v>0.26716879497031626</v>
      </c>
      <c r="F18" s="4" cm="1">
        <f t="array" ref="F18">(EXP(-(Tabella33[Planck h]*Tabella49[Frequency2])/(2*Tabella33[Boltzmann k]*Tabella820[[#This Row],[Temperatura]])))/(1-EXP(-(Tabella33[Planck h]*Tabella49[Frequency2])/(Tabella33[Boltzmann k]*Tabella820[[#This Row],[Temperatura]])))</f>
        <v>0.26716839026982109</v>
      </c>
      <c r="G18" s="4" cm="1">
        <f t="array" ref="G18">(EXP(-(Tabella33[Planck h]*Tabella49[Frequency3])/(2*Tabella33[Boltzmann k]*Tabella820[[#This Row],[Temperatura]])))/(1-EXP(-(Tabella33[Planck h]*Tabella49[Frequency3])/(Tabella33[Boltzmann k]*Tabella820[[#This Row],[Temperatura]])))</f>
        <v>0.26709981992042903</v>
      </c>
      <c r="H18" s="4" cm="1">
        <f t="array" ref="H18">(EXP(-(Tabella33[Planck h]*Tabella49[Frequency4])/(2*Tabella33[Boltzmann k]*Tabella820[[#This Row],[Temperatura]])))/(1-EXP(-(Tabella33[Planck h]*Tabella49[Frequency4])/(Tabella33[Boltzmann k]*Tabella820[[#This Row],[Temperatura]])))</f>
        <v>0.20887282179099134</v>
      </c>
      <c r="I18" s="4" cm="1">
        <f t="array" ref="I18">(EXP(-(Tabella33[Planck h]*Tabella49[Frequency5])/(2*Tabella33[Boltzmann k]*Tabella820[[#This Row],[Temperatura]])))/(1-EXP(-(Tabella33[Planck h]*Tabella49[Frequency5])/(Tabella33[Boltzmann k]*Tabella820[[#This Row],[Temperatura]])))</f>
        <v>0.20887251936455864</v>
      </c>
      <c r="J18" s="4" cm="1">
        <f t="array" ref="J18">(EXP(-(Tabella33[Planck h]*Tabella49[Frequency6])/(2*Tabella33[Boltzmann k]*Tabella820[[#This Row],[Temperatura]])))/(1-EXP(-(Tabella33[Planck h]*Tabella49[Frequency6])/(Tabella33[Boltzmann k]*Tabella820[[#This Row],[Temperatura]])))</f>
        <v>4.4170094625916395E-2</v>
      </c>
      <c r="K18" s="4" cm="1">
        <f t="array" ref="K18">(EXP(-(Tabella33[Planck h]*Tabella49[Frequency7])/(2*Tabella33[Boltzmann k]*Tabella820[[#This Row],[Temperatura]])))/(1-EXP(-(Tabella33[Planck h]*Tabella49[Frequency7])/(Tabella33[Boltzmann k]*Tabella820[[#This Row],[Temperatura]])))</f>
        <v>3.9319905677642035E-2</v>
      </c>
      <c r="L18" s="4" cm="1">
        <f t="array" ref="L18">(EXP(-(Tabella33[Planck h]*Tabella49[Frequency8])/(2*Tabella33[Boltzmann k]*Tabella820[[#This Row],[Temperatura]])))/(1-EXP(-(Tabella33[Planck h]*Tabella49[Frequency8])/(Tabella33[Boltzmann k]*Tabella820[[#This Row],[Temperatura]])))</f>
        <v>3.9319893517501203E-2</v>
      </c>
      <c r="M18" s="4" cm="1">
        <f t="array" ref="M18">(EXP(-(Tabella33[Planck h]*Tabella49[Frequency9])/(2*Tabella33[Boltzmann k]*Tabella820[[#This Row],[Temperatura]])))/(1-EXP(-(Tabella33[Planck h]*Tabella49[Frequency9])/(Tabella33[Boltzmann k]*Tabella820[[#This Row],[Temperatura]])))</f>
        <v>3.9311443134701994E-2</v>
      </c>
      <c r="N18" s="4">
        <f>PRODUCT(Tabella820[[#This Row],[Qvib1]:[Qvib9]])</f>
        <v>2.2329538994490243E-9</v>
      </c>
    </row>
    <row r="19" spans="1:14" x14ac:dyDescent="0.3">
      <c r="A19" s="5">
        <f>3037.5146</f>
        <v>3037.5146</v>
      </c>
      <c r="B19" cm="1">
        <f t="array" ref="B19">Tabella47[[#This Row],[Wavenumbers '[cm^-1']]]*Tabella33[Speed of Light '[cm/s']]</f>
        <v>91062561447780</v>
      </c>
      <c r="D19">
        <v>800</v>
      </c>
      <c r="E19" s="4" cm="1">
        <f t="array" ref="E19">(EXP(-(Tabella33[Planck h]*Tabella49[Frequency1])/(2*Tabella33[Boltzmann k]*Tabella820[[#This Row],[Temperatura]])))/(1-EXP(-(Tabella33[Planck h]*Tabella49[Frequency1])/(Tabella33[Boltzmann k]*Tabella820[[#This Row],[Temperatura]])))</f>
        <v>0.32669370524333408</v>
      </c>
      <c r="F19" s="4" cm="1">
        <f t="array" ref="F19">(EXP(-(Tabella33[Planck h]*Tabella49[Frequency2])/(2*Tabella33[Boltzmann k]*Tabella820[[#This Row],[Temperatura]])))/(1-EXP(-(Tabella33[Planck h]*Tabella49[Frequency2])/(Tabella33[Boltzmann k]*Tabella820[[#This Row],[Temperatura]])))</f>
        <v>0.32669324904148084</v>
      </c>
      <c r="G19" s="4" cm="1">
        <f t="array" ref="G19">(EXP(-(Tabella33[Planck h]*Tabella49[Frequency3])/(2*Tabella33[Boltzmann k]*Tabella820[[#This Row],[Temperatura]])))/(1-EXP(-(Tabella33[Planck h]*Tabella49[Frequency3])/(Tabella33[Boltzmann k]*Tabella820[[#This Row],[Temperatura]])))</f>
        <v>0.32661595232574719</v>
      </c>
      <c r="H19" s="4" cm="1">
        <f t="array" ref="H19">(EXP(-(Tabella33[Planck h]*Tabella49[Frequency4])/(2*Tabella33[Boltzmann k]*Tabella820[[#This Row],[Temperatura]])))/(1-EXP(-(Tabella33[Planck h]*Tabella49[Frequency4])/(Tabella33[Boltzmann k]*Tabella820[[#This Row],[Temperatura]])))</f>
        <v>0.26074146978123336</v>
      </c>
      <c r="I19" s="4" cm="1">
        <f t="array" ref="I19">(EXP(-(Tabella33[Planck h]*Tabella49[Frequency5])/(2*Tabella33[Boltzmann k]*Tabella820[[#This Row],[Temperatura]])))/(1-EXP(-(Tabella33[Planck h]*Tabella49[Frequency5])/(Tabella33[Boltzmann k]*Tabella820[[#This Row],[Temperatura]])))</f>
        <v>0.26074112601640576</v>
      </c>
      <c r="J19" s="4" cm="1">
        <f t="array" ref="J19">(EXP(-(Tabella33[Planck h]*Tabella49[Frequency6])/(2*Tabella33[Boltzmann k]*Tabella820[[#This Row],[Temperatura]])))/(1-EXP(-(Tabella33[Planck h]*Tabella49[Frequency6])/(Tabella33[Boltzmann k]*Tabella820[[#This Row],[Temperatura]])))</f>
        <v>6.5402437282765333E-2</v>
      </c>
      <c r="K19" s="4" cm="1">
        <f t="array" ref="K19">(EXP(-(Tabella33[Planck h]*Tabella49[Frequency7])/(2*Tabella33[Boltzmann k]*Tabella820[[#This Row],[Temperatura]])))/(1-EXP(-(Tabella33[Planck h]*Tabella49[Frequency7])/(Tabella33[Boltzmann k]*Tabella820[[#This Row],[Temperatura]])))</f>
        <v>5.9048129098654381E-2</v>
      </c>
      <c r="L19" s="4" cm="1">
        <f t="array" ref="L19">(EXP(-(Tabella33[Planck h]*Tabella49[Frequency8])/(2*Tabella33[Boltzmann k]*Tabella820[[#This Row],[Temperatura]])))/(1-EXP(-(Tabella33[Planck h]*Tabella49[Frequency8])/(Tabella33[Boltzmann k]*Tabella820[[#This Row],[Temperatura]])))</f>
        <v>5.904811305847734E-2</v>
      </c>
      <c r="M19" s="4" cm="1">
        <f t="array" ref="M19">(EXP(-(Tabella33[Planck h]*Tabella49[Frequency9])/(2*Tabella33[Boltzmann k]*Tabella820[[#This Row],[Temperatura]])))/(1-EXP(-(Tabella33[Planck h]*Tabella49[Frequency9])/(Tabella33[Boltzmann k]*Tabella820[[#This Row],[Temperatura]])))</f>
        <v>5.9036966203697853E-2</v>
      </c>
      <c r="N19" s="4">
        <f>PRODUCT(Tabella820[[#This Row],[Qvib1]:[Qvib9]])</f>
        <v>3.1905686644379746E-8</v>
      </c>
    </row>
    <row r="20" spans="1:14" x14ac:dyDescent="0.3">
      <c r="A20" s="5">
        <f>3150.3046</f>
        <v>3150.3045999999999</v>
      </c>
      <c r="B20" cm="1">
        <f t="array" ref="B20">Tabella47[[#This Row],[Wavenumbers '[cm^-1']]]*Tabella33[Speed of Light '[cm/s']]</f>
        <v>94443926694780</v>
      </c>
      <c r="D20">
        <v>900</v>
      </c>
      <c r="E20" s="4" cm="1">
        <f t="array" ref="E20">(EXP(-(Tabella33[Planck h]*Tabella49[Frequency1])/(2*Tabella33[Boltzmann k]*Tabella820[[#This Row],[Temperatura]])))/(1-EXP(-(Tabella33[Planck h]*Tabella49[Frequency1])/(Tabella33[Boltzmann k]*Tabella820[[#This Row],[Temperatura]])))</f>
        <v>0.38535045634811188</v>
      </c>
      <c r="F20" s="4" cm="1">
        <f t="array" ref="F20">(EXP(-(Tabella33[Planck h]*Tabella49[Frequency2])/(2*Tabella33[Boltzmann k]*Tabella820[[#This Row],[Temperatura]])))/(1-EXP(-(Tabella33[Planck h]*Tabella49[Frequency2])/(Tabella33[Boltzmann k]*Tabella820[[#This Row],[Temperatura]])))</f>
        <v>0.38534995080058687</v>
      </c>
      <c r="G20" s="4" cm="1">
        <f t="array" ref="G20">(EXP(-(Tabella33[Planck h]*Tabella49[Frequency3])/(2*Tabella33[Boltzmann k]*Tabella820[[#This Row],[Temperatura]])))/(1-EXP(-(Tabella33[Planck h]*Tabella49[Frequency3])/(Tabella33[Boltzmann k]*Tabella820[[#This Row],[Temperatura]])))</f>
        <v>0.38526429308618743</v>
      </c>
      <c r="H20" s="4" cm="1">
        <f t="array" ref="H20">(EXP(-(Tabella33[Planck h]*Tabella49[Frequency4])/(2*Tabella33[Boltzmann k]*Tabella820[[#This Row],[Temperatura]])))/(1-EXP(-(Tabella33[Planck h]*Tabella49[Frequency4])/(Tabella33[Boltzmann k]*Tabella820[[#This Row],[Temperatura]])))</f>
        <v>0.31215188641515518</v>
      </c>
      <c r="I20" s="4" cm="1">
        <f t="array" ref="I20">(EXP(-(Tabella33[Planck h]*Tabella49[Frequency5])/(2*Tabella33[Boltzmann k]*Tabella820[[#This Row],[Temperatura]])))/(1-EXP(-(Tabella33[Planck h]*Tabella49[Frequency5])/(Tabella33[Boltzmann k]*Tabella820[[#This Row],[Temperatura]])))</f>
        <v>0.31215150403102543</v>
      </c>
      <c r="J20" s="4" cm="1">
        <f t="array" ref="J20">(EXP(-(Tabella33[Planck h]*Tabella49[Frequency6])/(2*Tabella33[Boltzmann k]*Tabella820[[#This Row],[Temperatura]])))/(1-EXP(-(Tabella33[Planck h]*Tabella49[Frequency6])/(Tabella33[Boltzmann k]*Tabella820[[#This Row],[Temperatura]])))</f>
        <v>8.8909231010686832E-2</v>
      </c>
      <c r="K20" s="4" cm="1">
        <f t="array" ref="K20">(EXP(-(Tabella33[Planck h]*Tabella49[Frequency7])/(2*Tabella33[Boltzmann k]*Tabella820[[#This Row],[Temperatura]])))/(1-EXP(-(Tabella33[Planck h]*Tabella49[Frequency7])/(Tabella33[Boltzmann k]*Tabella820[[#This Row],[Temperatura]])))</f>
        <v>8.1139282966634835E-2</v>
      </c>
      <c r="L20" s="4" cm="1">
        <f t="array" ref="L20">(EXP(-(Tabella33[Planck h]*Tabella49[Frequency8])/(2*Tabella33[Boltzmann k]*Tabella820[[#This Row],[Temperatura]])))/(1-EXP(-(Tabella33[Planck h]*Tabella49[Frequency8])/(Tabella33[Boltzmann k]*Tabella820[[#This Row],[Temperatura]])))</f>
        <v>8.1139263255187055E-2</v>
      </c>
      <c r="M20" s="4" cm="1">
        <f t="array" ref="M20">(EXP(-(Tabella33[Planck h]*Tabella49[Frequency9])/(2*Tabella33[Boltzmann k]*Tabella820[[#This Row],[Temperatura]])))/(1-EXP(-(Tabella33[Planck h]*Tabella49[Frequency9])/(Tabella33[Boltzmann k]*Tabella820[[#This Row],[Temperatura]])))</f>
        <v>8.1125564986767026E-2</v>
      </c>
      <c r="N20" s="4">
        <f>PRODUCT(Tabella820[[#This Row],[Qvib1]:[Qvib9]])</f>
        <v>2.6470866318275023E-7</v>
      </c>
    </row>
    <row r="21" spans="1:14" x14ac:dyDescent="0.3">
      <c r="A21" s="5">
        <f>3150.3049</f>
        <v>3150.3049000000001</v>
      </c>
      <c r="B21" cm="1">
        <f t="array" ref="B21">Tabella47[[#This Row],[Wavenumbers '[cm^-1']]]*Tabella33[Speed of Light '[cm/s']]</f>
        <v>94443935688570</v>
      </c>
      <c r="D21">
        <v>1000</v>
      </c>
      <c r="E21" s="4" cm="1">
        <f t="array" ref="E21">(EXP(-(Tabella33[Planck h]*Tabella49[Frequency1])/(2*Tabella33[Boltzmann k]*Tabella820[[#This Row],[Temperatura]])))/(1-EXP(-(Tabella33[Planck h]*Tabella49[Frequency1])/(Tabella33[Boltzmann k]*Tabella820[[#This Row],[Temperatura]])))</f>
        <v>0.44314802730047714</v>
      </c>
      <c r="F21" s="4" cm="1">
        <f t="array" ref="F21">(EXP(-(Tabella33[Planck h]*Tabella49[Frequency2])/(2*Tabella33[Boltzmann k]*Tabella820[[#This Row],[Temperatura]])))/(1-EXP(-(Tabella33[Planck h]*Tabella49[Frequency2])/(Tabella33[Boltzmann k]*Tabella820[[#This Row],[Temperatura]])))</f>
        <v>0.44314747351894901</v>
      </c>
      <c r="G21" s="4" cm="1">
        <f t="array" ref="G21">(EXP(-(Tabella33[Planck h]*Tabella49[Frequency3])/(2*Tabella33[Boltzmann k]*Tabella820[[#This Row],[Temperatura]])))/(1-EXP(-(Tabella33[Planck h]*Tabella49[Frequency3])/(Tabella33[Boltzmann k]*Tabella820[[#This Row],[Temperatura]])))</f>
        <v>0.44305364323957802</v>
      </c>
      <c r="H21" s="4" cm="1">
        <f t="array" ref="H21">(EXP(-(Tabella33[Planck h]*Tabella49[Frequency4])/(2*Tabella33[Boltzmann k]*Tabella820[[#This Row],[Temperatura]])))/(1-EXP(-(Tabella33[Planck h]*Tabella49[Frequency4])/(Tabella33[Boltzmann k]*Tabella820[[#This Row],[Temperatura]])))</f>
        <v>0.36293086333051633</v>
      </c>
      <c r="I21" s="4" cm="1">
        <f t="array" ref="I21">(EXP(-(Tabella33[Planck h]*Tabella49[Frequency5])/(2*Tabella33[Boltzmann k]*Tabella820[[#This Row],[Temperatura]])))/(1-EXP(-(Tabella33[Planck h]*Tabella49[Frequency5])/(Tabella33[Boltzmann k]*Tabella820[[#This Row],[Temperatura]])))</f>
        <v>0.36293044392616414</v>
      </c>
      <c r="J21" s="4" cm="1">
        <f t="array" ref="J21">(EXP(-(Tabella33[Planck h]*Tabella49[Frequency6])/(2*Tabella33[Boltzmann k]*Tabella820[[#This Row],[Temperatura]])))/(1-EXP(-(Tabella33[Planck h]*Tabella49[Frequency6])/(Tabella33[Boltzmann k]*Tabella820[[#This Row],[Temperatura]])))</f>
        <v>0.11390062674287962</v>
      </c>
      <c r="K21" s="4" cm="1">
        <f t="array" ref="K21">(EXP(-(Tabella33[Planck h]*Tabella49[Frequency7])/(2*Tabella33[Boltzmann k]*Tabella820[[#This Row],[Temperatura]])))/(1-EXP(-(Tabella33[Planck h]*Tabella49[Frequency7])/(Tabella33[Boltzmann k]*Tabella820[[#This Row],[Temperatura]])))</f>
        <v>0.10482260592063605</v>
      </c>
      <c r="L21" s="4" cm="1">
        <f t="array" ref="L21">(EXP(-(Tabella33[Planck h]*Tabella49[Frequency8])/(2*Tabella33[Boltzmann k]*Tabella820[[#This Row],[Temperatura]])))/(1-EXP(-(Tabella33[Planck h]*Tabella49[Frequency8])/(Tabella33[Boltzmann k]*Tabella820[[#This Row],[Temperatura]])))</f>
        <v>0.10482258280635029</v>
      </c>
      <c r="M21" s="4" cm="1">
        <f t="array" ref="M21">(EXP(-(Tabella33[Planck h]*Tabella49[Frequency9])/(2*Tabella33[Boltzmann k]*Tabella820[[#This Row],[Temperatura]])))/(1-EXP(-(Tabella33[Planck h]*Tabella49[Frequency9])/(Tabella33[Boltzmann k]*Tabella820[[#This Row],[Temperatura]])))</f>
        <v>0.10480651966233252</v>
      </c>
      <c r="N21" s="4">
        <f>PRODUCT(Tabella820[[#This Row],[Qvib1]:[Qvib9]])</f>
        <v>1.5032282671174634E-6</v>
      </c>
    </row>
    <row r="22" spans="1:14" x14ac:dyDescent="0.3">
      <c r="A22" s="5">
        <f>3150.5134</f>
        <v>3150.5133999999998</v>
      </c>
      <c r="B22" cm="1">
        <f t="array" ref="B22">Tabella47[[#This Row],[Wavenumbers '[cm^-1']]]*Tabella33[Speed of Light '[cm/s']]</f>
        <v>94450186372620</v>
      </c>
      <c r="D22">
        <v>1100</v>
      </c>
      <c r="E22" s="4" cm="1">
        <f t="array" ref="E22">(EXP(-(Tabella33[Planck h]*Tabella49[Frequency1])/(2*Tabella33[Boltzmann k]*Tabella820[[#This Row],[Temperatura]])))/(1-EXP(-(Tabella33[Planck h]*Tabella49[Frequency1])/(Tabella33[Boltzmann k]*Tabella820[[#This Row],[Temperatura]])))</f>
        <v>0.50017140487536194</v>
      </c>
      <c r="F22" s="4" cm="1">
        <f t="array" ref="F22">(EXP(-(Tabella33[Planck h]*Tabella49[Frequency2])/(2*Tabella33[Boltzmann k]*Tabella820[[#This Row],[Temperatura]])))/(1-EXP(-(Tabella33[Planck h]*Tabella49[Frequency2])/(Tabella33[Boltzmann k]*Tabella820[[#This Row],[Temperatura]])))</f>
        <v>0.50017080339311726</v>
      </c>
      <c r="G22" s="4" cm="1">
        <f t="array" ref="G22">(EXP(-(Tabella33[Planck h]*Tabella49[Frequency3])/(2*Tabella33[Boltzmann k]*Tabella820[[#This Row],[Temperatura]])))/(1-EXP(-(Tabella33[Planck h]*Tabella49[Frequency3])/(Tabella33[Boltzmann k]*Tabella820[[#This Row],[Temperatura]])))</f>
        <v>0.50006889095647644</v>
      </c>
      <c r="H22" s="4" cm="1">
        <f t="array" ref="H22">(EXP(-(Tabella33[Planck h]*Tabella49[Frequency4])/(2*Tabella33[Boltzmann k]*Tabella820[[#This Row],[Temperatura]])))/(1-EXP(-(Tabella33[Planck h]*Tabella49[Frequency4])/(Tabella33[Boltzmann k]*Tabella820[[#This Row],[Temperatura]])))</f>
        <v>0.41305720732684431</v>
      </c>
      <c r="I22" s="4" cm="1">
        <f t="array" ref="I22">(EXP(-(Tabella33[Planck h]*Tabella49[Frequency5])/(2*Tabella33[Boltzmann k]*Tabella820[[#This Row],[Temperatura]])))/(1-EXP(-(Tabella33[Planck h]*Tabella49[Frequency5])/(Tabella33[Boltzmann k]*Tabella820[[#This Row],[Temperatura]])))</f>
        <v>0.41305675181696894</v>
      </c>
      <c r="J22" s="4" cm="1">
        <f t="array" ref="J22">(EXP(-(Tabella33[Planck h]*Tabella49[Frequency6])/(2*Tabella33[Boltzmann k]*Tabella820[[#This Row],[Temperatura]])))/(1-EXP(-(Tabella33[Planck h]*Tabella49[Frequency6])/(Tabella33[Boltzmann k]*Tabella820[[#This Row],[Temperatura]])))</f>
        <v>0.13980449941386722</v>
      </c>
      <c r="K22" s="4" cm="1">
        <f t="array" ref="K22">(EXP(-(Tabella33[Planck h]*Tabella49[Frequency7])/(2*Tabella33[Boltzmann k]*Tabella820[[#This Row],[Temperatura]])))/(1-EXP(-(Tabella33[Planck h]*Tabella49[Frequency7])/(Tabella33[Boltzmann k]*Tabella820[[#This Row],[Temperatura]])))</f>
        <v>0.12952247920968438</v>
      </c>
      <c r="L22" s="4" cm="1">
        <f t="array" ref="L22">(EXP(-(Tabella33[Planck h]*Tabella49[Frequency8])/(2*Tabella33[Boltzmann k]*Tabella820[[#This Row],[Temperatura]])))/(1-EXP(-(Tabella33[Planck h]*Tabella49[Frequency8])/(Tabella33[Boltzmann k]*Tabella820[[#This Row],[Temperatura]])))</f>
        <v>0.1295224529589569</v>
      </c>
      <c r="M22" s="4" cm="1">
        <f t="array" ref="M22">(EXP(-(Tabella33[Planck h]*Tabella49[Frequency9])/(2*Tabella33[Boltzmann k]*Tabella820[[#This Row],[Temperatura]])))/(1-EXP(-(Tabella33[Planck h]*Tabella49[Frequency9])/(Tabella33[Boltzmann k]*Tabella820[[#This Row],[Temperatura]])))</f>
        <v>0.12950421007095539</v>
      </c>
      <c r="N22" s="4">
        <f>PRODUCT(Tabella820[[#This Row],[Qvib1]:[Qvib9]])</f>
        <v>6.4830923741909241E-6</v>
      </c>
    </row>
    <row r="23" spans="1:14" x14ac:dyDescent="0.3">
      <c r="D23">
        <v>1200</v>
      </c>
      <c r="E23" s="4" cm="1">
        <f t="array" ref="E23">(EXP(-(Tabella33[Planck h]*Tabella49[Frequency1])/(2*Tabella33[Boltzmann k]*Tabella820[[#This Row],[Temperatura]])))/(1-EXP(-(Tabella33[Planck h]*Tabella49[Frequency1])/(Tabella33[Boltzmann k]*Tabella820[[#This Row],[Temperatura]])))</f>
        <v>0.55652294233814636</v>
      </c>
      <c r="F23" s="4" cm="1">
        <f t="array" ref="F23">(EXP(-(Tabella33[Planck h]*Tabella49[Frequency2])/(2*Tabella33[Boltzmann k]*Tabella820[[#This Row],[Temperatura]])))/(1-EXP(-(Tabella33[Planck h]*Tabella49[Frequency2])/(Tabella33[Boltzmann k]*Tabella820[[#This Row],[Temperatura]])))</f>
        <v>0.55652229336971126</v>
      </c>
      <c r="G23" s="4" cm="1">
        <f t="array" ref="G23">(EXP(-(Tabella33[Planck h]*Tabella49[Frequency3])/(2*Tabella33[Boltzmann k]*Tabella820[[#This Row],[Temperatura]])))/(1-EXP(-(Tabella33[Planck h]*Tabella49[Frequency3])/(Tabella33[Boltzmann k]*Tabella820[[#This Row],[Temperatura]])))</f>
        <v>0.55641233515608612</v>
      </c>
      <c r="H23" s="4" cm="1">
        <f t="array" ref="H23">(EXP(-(Tabella33[Planck h]*Tabella49[Frequency4])/(2*Tabella33[Boltzmann k]*Tabella820[[#This Row],[Temperatura]])))/(1-EXP(-(Tabella33[Planck h]*Tabella49[Frequency4])/(Tabella33[Boltzmann k]*Tabella820[[#This Row],[Temperatura]])))</f>
        <v>0.46257187324346027</v>
      </c>
      <c r="I23" s="4" cm="1">
        <f t="array" ref="I23">(EXP(-(Tabella33[Planck h]*Tabella49[Frequency5])/(2*Tabella33[Boltzmann k]*Tabella820[[#This Row],[Temperatura]])))/(1-EXP(-(Tabella33[Planck h]*Tabella49[Frequency5])/(Tabella33[Boltzmann k]*Tabella820[[#This Row],[Temperatura]])))</f>
        <v>0.46257138213042931</v>
      </c>
      <c r="J23" s="4" cm="1">
        <f t="array" ref="J23">(EXP(-(Tabella33[Planck h]*Tabella49[Frequency6])/(2*Tabella33[Boltzmann k]*Tabella820[[#This Row],[Temperatura]])))/(1-EXP(-(Tabella33[Planck h]*Tabella49[Frequency6])/(Tabella33[Boltzmann k]*Tabella820[[#This Row],[Temperatura]])))</f>
        <v>0.1662250192906915</v>
      </c>
      <c r="K23" s="4" cm="1">
        <f t="array" ref="K23">(EXP(-(Tabella33[Planck h]*Tabella49[Frequency7])/(2*Tabella33[Boltzmann k]*Tabella820[[#This Row],[Temperatura]])))/(1-EXP(-(Tabella33[Planck h]*Tabella49[Frequency7])/(Tabella33[Boltzmann k]*Tabella820[[#This Row],[Temperatura]])))</f>
        <v>0.15483006554510517</v>
      </c>
      <c r="L23" s="4" cm="1">
        <f t="array" ref="L23">(EXP(-(Tabella33[Planck h]*Tabella49[Frequency8])/(2*Tabella33[Boltzmann k]*Tabella820[[#This Row],[Temperatura]])))/(1-EXP(-(Tabella33[Planck h]*Tabella49[Frequency8])/(Tabella33[Boltzmann k]*Tabella820[[#This Row],[Temperatura]])))</f>
        <v>0.15483003639481627</v>
      </c>
      <c r="M23" s="4" cm="1">
        <f t="array" ref="M23">(EXP(-(Tabella33[Planck h]*Tabella49[Frequency9])/(2*Tabella33[Boltzmann k]*Tabella820[[#This Row],[Temperatura]])))/(1-EXP(-(Tabella33[Planck h]*Tabella49[Frequency9])/(Tabella33[Boltzmann k]*Tabella820[[#This Row],[Temperatura]])))</f>
        <v>0.15480977838745844</v>
      </c>
      <c r="N23" s="4">
        <f>PRODUCT(Tabella820[[#This Row],[Qvib1]:[Qvib9]])</f>
        <v>2.2747080536235654E-5</v>
      </c>
    </row>
    <row r="24" spans="1:14" x14ac:dyDescent="0.3">
      <c r="D24">
        <v>1300</v>
      </c>
      <c r="E24" s="4" cm="1">
        <f t="array" ref="E24">(EXP(-(Tabella33[Planck h]*Tabella49[Frequency1])/(2*Tabella33[Boltzmann k]*Tabella820[[#This Row],[Temperatura]])))/(1-EXP(-(Tabella33[Planck h]*Tabella49[Frequency1])/(Tabella33[Boltzmann k]*Tabella820[[#This Row],[Temperatura]])))</f>
        <v>0.61230036774769903</v>
      </c>
      <c r="F24" s="4" cm="1">
        <f t="array" ref="F24">(EXP(-(Tabella33[Planck h]*Tabella49[Frequency2])/(2*Tabella33[Boltzmann k]*Tabella820[[#This Row],[Temperatura]])))/(1-EXP(-(Tabella33[Planck h]*Tabella49[Frequency2])/(Tabella33[Boltzmann k]*Tabella820[[#This Row],[Temperatura]])))</f>
        <v>0.61229967133336427</v>
      </c>
      <c r="G24" s="4" cm="1">
        <f t="array" ref="G24">(EXP(-(Tabella33[Planck h]*Tabella49[Frequency3])/(2*Tabella33[Boltzmann k]*Tabella820[[#This Row],[Temperatura]])))/(1-EXP(-(Tabella33[Planck h]*Tabella49[Frequency3])/(Tabella33[Boltzmann k]*Tabella820[[#This Row],[Temperatura]])))</f>
        <v>0.61218167418971869</v>
      </c>
      <c r="H24" s="4" cm="1">
        <f t="array" ref="H24">(EXP(-(Tabella33[Planck h]*Tabella49[Frequency4])/(2*Tabella33[Boltzmann k]*Tabella820[[#This Row],[Temperatura]])))/(1-EXP(-(Tabella33[Planck h]*Tabella49[Frequency4])/(Tabella33[Boltzmann k]*Tabella820[[#This Row],[Temperatura]])))</f>
        <v>0.51153723145281771</v>
      </c>
      <c r="I24" s="4" cm="1">
        <f t="array" ref="I24">(EXP(-(Tabella33[Planck h]*Tabella49[Frequency5])/(2*Tabella33[Boltzmann k]*Tabella820[[#This Row],[Temperatura]])))/(1-EXP(-(Tabella33[Planck h]*Tabella49[Frequency5])/(Tabella33[Boltzmann k]*Tabella820[[#This Row],[Temperatura]])))</f>
        <v>0.51153670499174198</v>
      </c>
      <c r="J24" s="4" cm="1">
        <f t="array" ref="J24">(EXP(-(Tabella33[Planck h]*Tabella49[Frequency6])/(2*Tabella33[Boltzmann k]*Tabella820[[#This Row],[Temperatura]])))/(1-EXP(-(Tabella33[Planck h]*Tabella49[Frequency6])/(Tabella33[Boltzmann k]*Tabella820[[#This Row],[Temperatura]])))</f>
        <v>0.19289659949977128</v>
      </c>
      <c r="K24" s="4" cm="1">
        <f t="array" ref="K24">(EXP(-(Tabella33[Planck h]*Tabella49[Frequency7])/(2*Tabella33[Boltzmann k]*Tabella820[[#This Row],[Temperatura]])))/(1-EXP(-(Tabella33[Planck h]*Tabella49[Frequency7])/(Tabella33[Boltzmann k]*Tabella820[[#This Row],[Temperatura]])))</f>
        <v>0.18046422722318256</v>
      </c>
      <c r="L24" s="4" cm="1">
        <f t="array" ref="L24">(EXP(-(Tabella33[Planck h]*Tabella49[Frequency8])/(2*Tabella33[Boltzmann k]*Tabella820[[#This Row],[Temperatura]])))/(1-EXP(-(Tabella33[Planck h]*Tabella49[Frequency8])/(Tabella33[Boltzmann k]*Tabella820[[#This Row],[Temperatura]])))</f>
        <v>0.18046419537209979</v>
      </c>
      <c r="M24" s="4" cm="1">
        <f t="array" ref="M24">(EXP(-(Tabella33[Planck h]*Tabella49[Frequency9])/(2*Tabella33[Boltzmann k]*Tabella820[[#This Row],[Temperatura]])))/(1-EXP(-(Tabella33[Planck h]*Tabella49[Frequency9])/(Tabella33[Boltzmann k]*Tabella820[[#This Row],[Temperatura]])))</f>
        <v>0.18044206038584445</v>
      </c>
      <c r="N24" s="4">
        <f>PRODUCT(Tabella820[[#This Row],[Qvib1]:[Qvib9]])</f>
        <v>6.8078103134747373E-5</v>
      </c>
    </row>
    <row r="25" spans="1:14" x14ac:dyDescent="0.3">
      <c r="D25">
        <v>1400</v>
      </c>
      <c r="E25" s="4" cm="1">
        <f t="array" ref="E25">(EXP(-(Tabella33[Planck h]*Tabella49[Frequency1])/(2*Tabella33[Boltzmann k]*Tabella820[[#This Row],[Temperatura]])))/(1-EXP(-(Tabella33[Planck h]*Tabella49[Frequency1])/(Tabella33[Boltzmann k]*Tabella820[[#This Row],[Temperatura]])))</f>
        <v>0.66758968322517642</v>
      </c>
      <c r="F25" s="4" cm="1">
        <f t="array" ref="F25">(EXP(-(Tabella33[Planck h]*Tabella49[Frequency2])/(2*Tabella33[Boltzmann k]*Tabella820[[#This Row],[Temperatura]])))/(1-EXP(-(Tabella33[Planck h]*Tabella49[Frequency2])/(Tabella33[Boltzmann k]*Tabella820[[#This Row],[Temperatura]])))</f>
        <v>0.66758893931195584</v>
      </c>
      <c r="G25" s="4" cm="1">
        <f t="array" ref="G25">(EXP(-(Tabella33[Planck h]*Tabella49[Frequency3])/(2*Tabella33[Boltzmann k]*Tabella820[[#This Row],[Temperatura]])))/(1-EXP(-(Tabella33[Planck h]*Tabella49[Frequency3])/(Tabella33[Boltzmann k]*Tabella820[[#This Row],[Temperatura]])))</f>
        <v>0.66746289427327499</v>
      </c>
      <c r="H25" s="4" cm="1">
        <f t="array" ref="H25">(EXP(-(Tabella33[Planck h]*Tabella49[Frequency4])/(2*Tabella33[Boltzmann k]*Tabella820[[#This Row],[Temperatura]])))/(1-EXP(-(Tabella33[Planck h]*Tabella49[Frequency4])/(Tabella33[Boltzmann k]*Tabella820[[#This Row],[Temperatura]])))</f>
        <v>0.56001908681614176</v>
      </c>
      <c r="I25" s="4" cm="1">
        <f t="array" ref="I25">(EXP(-(Tabella33[Planck h]*Tabella49[Frequency5])/(2*Tabella33[Boltzmann k]*Tabella820[[#This Row],[Temperatura]])))/(1-EXP(-(Tabella33[Planck h]*Tabella49[Frequency5])/(Tabella33[Boltzmann k]*Tabella820[[#This Row],[Temperatura]])))</f>
        <v>0.56001852511440053</v>
      </c>
      <c r="J25" s="4" cm="1">
        <f t="array" ref="J25">(EXP(-(Tabella33[Planck h]*Tabella49[Frequency6])/(2*Tabella33[Boltzmann k]*Tabella820[[#This Row],[Temperatura]])))/(1-EXP(-(Tabella33[Planck h]*Tabella49[Frequency6])/(Tabella33[Boltzmann k]*Tabella820[[#This Row],[Temperatura]])))</f>
        <v>0.21964540892088624</v>
      </c>
      <c r="K25" s="4" cm="1">
        <f t="array" ref="K25">(EXP(-(Tabella33[Planck h]*Tabella49[Frequency7])/(2*Tabella33[Boltzmann k]*Tabella820[[#This Row],[Temperatura]])))/(1-EXP(-(Tabella33[Planck h]*Tabella49[Frequency7])/(Tabella33[Boltzmann k]*Tabella820[[#This Row],[Temperatura]])))</f>
        <v>0.20623629584086128</v>
      </c>
      <c r="L25" s="4" cm="1">
        <f t="array" ref="L25">(EXP(-(Tabella33[Planck h]*Tabella49[Frequency8])/(2*Tabella33[Boltzmann k]*Tabella820[[#This Row],[Temperatura]])))/(1-EXP(-(Tabella33[Planck h]*Tabella49[Frequency8])/(Tabella33[Boltzmann k]*Tabella820[[#This Row],[Temperatura]])))</f>
        <v>0.20623626145022206</v>
      </c>
      <c r="M25" s="4" cm="1">
        <f t="array" ref="M25">(EXP(-(Tabella33[Planck h]*Tabella49[Frequency9])/(2*Tabella33[Boltzmann k]*Tabella820[[#This Row],[Temperatura]])))/(1-EXP(-(Tabella33[Planck h]*Tabella49[Frequency9])/(Tabella33[Boltzmann k]*Tabella820[[#This Row],[Temperatura]])))</f>
        <v>0.20621236154450803</v>
      </c>
      <c r="N25" s="4">
        <f>PRODUCT(Tabella820[[#This Row],[Qvib1]:[Qvib9]])</f>
        <v>1.7972895619725306E-4</v>
      </c>
    </row>
    <row r="26" spans="1:14" x14ac:dyDescent="0.3">
      <c r="D26">
        <v>1500</v>
      </c>
      <c r="E26" s="4" cm="1">
        <f t="array" ref="E26">(EXP(-(Tabella33[Planck h]*Tabella49[Frequency1])/(2*Tabella33[Boltzmann k]*Tabella820[[#This Row],[Temperatura]])))/(1-EXP(-(Tabella33[Planck h]*Tabella49[Frequency1])/(Tabella33[Boltzmann k]*Tabella820[[#This Row],[Temperatura]])))</f>
        <v>0.72246397656615646</v>
      </c>
      <c r="F26" s="4" cm="1">
        <f t="array" ref="F26">(EXP(-(Tabella33[Planck h]*Tabella49[Frequency2])/(2*Tabella33[Boltzmann k]*Tabella820[[#This Row],[Temperatura]])))/(1-EXP(-(Tabella33[Planck h]*Tabella49[Frequency2])/(Tabella33[Boltzmann k]*Tabella820[[#This Row],[Temperatura]])))</f>
        <v>0.72246318505344653</v>
      </c>
      <c r="G26" s="4" cm="1">
        <f t="array" ref="G26">(EXP(-(Tabella33[Planck h]*Tabella49[Frequency3])/(2*Tabella33[Boltzmann k]*Tabella820[[#This Row],[Temperatura]])))/(1-EXP(-(Tabella33[Planck h]*Tabella49[Frequency3])/(Tabella33[Boltzmann k]*Tabella820[[#This Row],[Temperatura]])))</f>
        <v>0.72232907508173771</v>
      </c>
      <c r="H26" s="4" cm="1">
        <f t="array" ref="H26">(EXP(-(Tabella33[Planck h]*Tabella49[Frequency4])/(2*Tabella33[Boltzmann k]*Tabella820[[#This Row],[Temperatura]])))/(1-EXP(-(Tabella33[Planck h]*Tabella49[Frequency4])/(Tabella33[Boltzmann k]*Tabella820[[#This Row],[Temperatura]])))</f>
        <v>0.60807920741284827</v>
      </c>
      <c r="I26" s="4" cm="1">
        <f t="array" ref="I26">(EXP(-(Tabella33[Planck h]*Tabella49[Frequency5])/(2*Tabella33[Boltzmann k]*Tabella820[[#This Row],[Temperatura]])))/(1-EXP(-(Tabella33[Planck h]*Tabella49[Frequency5])/(Tabella33[Boltzmann k]*Tabella820[[#This Row],[Temperatura]])))</f>
        <v>0.60807861049024325</v>
      </c>
      <c r="J26" s="4" cm="1">
        <f t="array" ref="J26">(EXP(-(Tabella33[Planck h]*Tabella49[Frequency6])/(2*Tabella33[Boltzmann k]*Tabella820[[#This Row],[Temperatura]])))/(1-EXP(-(Tabella33[Planck h]*Tabella49[Frequency6])/(Tabella33[Boltzmann k]*Tabella820[[#This Row],[Temperatura]])))</f>
        <v>0.24636053759165105</v>
      </c>
      <c r="K26" s="4" cm="1">
        <f t="array" ref="K26">(EXP(-(Tabella33[Planck h]*Tabella49[Frequency7])/(2*Tabella33[Boltzmann k]*Tabella820[[#This Row],[Temperatura]])))/(1-EXP(-(Tabella33[Planck h]*Tabella49[Frequency7])/(Tabella33[Boltzmann k]*Tabella820[[#This Row],[Temperatura]])))</f>
        <v>0.23202249479316867</v>
      </c>
      <c r="L26" s="4" cm="1">
        <f t="array" ref="L26">(EXP(-(Tabella33[Planck h]*Tabella49[Frequency8])/(2*Tabella33[Boltzmann k]*Tabella820[[#This Row],[Temperatura]])))/(1-EXP(-(Tabella33[Planck h]*Tabella49[Frequency8])/(Tabella33[Boltzmann k]*Tabella820[[#This Row],[Temperatura]])))</f>
        <v>0.2320224579910535</v>
      </c>
      <c r="M26" s="4" cm="1">
        <f t="array" ref="M26">(EXP(-(Tabella33[Planck h]*Tabella49[Frequency9])/(2*Tabella33[Boltzmann k]*Tabella820[[#This Row],[Temperatura]])))/(1-EXP(-(Tabella33[Planck h]*Tabella49[Frequency9])/(Tabella33[Boltzmann k]*Tabella820[[#This Row],[Temperatura]])))</f>
        <v>0.2319968821828402</v>
      </c>
      <c r="N26" s="4">
        <f>PRODUCT(Tabella820[[#This Row],[Qvib1]:[Qvib9]])</f>
        <v>4.2894370885485442E-4</v>
      </c>
    </row>
    <row r="27" spans="1:14" x14ac:dyDescent="0.3">
      <c r="D27">
        <v>1600</v>
      </c>
      <c r="E27" s="4" cm="1">
        <f t="array" ref="E27">(EXP(-(Tabella33[Planck h]*Tabella49[Frequency1])/(2*Tabella33[Boltzmann k]*Tabella820[[#This Row],[Temperatura]])))/(1-EXP(-(Tabella33[Planck h]*Tabella49[Frequency1])/(Tabella33[Boltzmann k]*Tabella820[[#This Row],[Temperatura]])))</f>
        <v>0.77698442012416902</v>
      </c>
      <c r="F27" s="4" cm="1">
        <f t="array" ref="F27">(EXP(-(Tabella33[Planck h]*Tabella49[Frequency2])/(2*Tabella33[Boltzmann k]*Tabella820[[#This Row],[Temperatura]])))/(1-EXP(-(Tabella33[Planck h]*Tabella49[Frequency2])/(Tabella33[Boltzmann k]*Tabella820[[#This Row],[Temperatura]])))</f>
        <v>0.77698358088958308</v>
      </c>
      <c r="G27" s="4" cm="1">
        <f t="array" ref="G27">(EXP(-(Tabella33[Planck h]*Tabella49[Frequency3])/(2*Tabella33[Boltzmann k]*Tabella820[[#This Row],[Temperatura]])))/(1-EXP(-(Tabella33[Planck h]*Tabella49[Frequency3])/(Tabella33[Boltzmann k]*Tabella820[[#This Row],[Temperatura]])))</f>
        <v>0.77684138525280466</v>
      </c>
      <c r="H27" s="4" cm="1">
        <f t="array" ref="H27">(EXP(-(Tabella33[Planck h]*Tabella49[Frequency4])/(2*Tabella33[Boltzmann k]*Tabella820[[#This Row],[Temperatura]])))/(1-EXP(-(Tabella33[Planck h]*Tabella49[Frequency4])/(Tabella33[Boltzmann k]*Tabella820[[#This Row],[Temperatura]])))</f>
        <v>0.65577267444768927</v>
      </c>
      <c r="I27" s="4" cm="1">
        <f t="array" ref="I27">(EXP(-(Tabella33[Planck h]*Tabella49[Frequency5])/(2*Tabella33[Boltzmann k]*Tabella820[[#This Row],[Temperatura]])))/(1-EXP(-(Tabella33[Planck h]*Tabella49[Frequency5])/(Tabella33[Boltzmann k]*Tabella820[[#This Row],[Temperatura]])))</f>
        <v>0.65577204227299712</v>
      </c>
      <c r="J27" s="4" cm="1">
        <f t="array" ref="J27">(EXP(-(Tabella33[Planck h]*Tabella49[Frequency6])/(2*Tabella33[Boltzmann k]*Tabella820[[#This Row],[Temperatura]])))/(1-EXP(-(Tabella33[Planck h]*Tabella49[Frequency6])/(Tabella33[Boltzmann k]*Tabella820[[#This Row],[Temperatura]])))</f>
        <v>0.27297350953982613</v>
      </c>
      <c r="K27" s="4" cm="1">
        <f t="array" ref="K27">(EXP(-(Tabella33[Planck h]*Tabella49[Frequency7])/(2*Tabella33[Boltzmann k]*Tabella820[[#This Row],[Temperatura]])))/(1-EXP(-(Tabella33[Planck h]*Tabella49[Frequency7])/(Tabella33[Boltzmann k]*Tabella820[[#This Row],[Temperatura]])))</f>
        <v>0.25774373024073727</v>
      </c>
      <c r="L27" s="4" cm="1">
        <f t="array" ref="L27">(EXP(-(Tabella33[Planck h]*Tabella49[Frequency8])/(2*Tabella33[Boltzmann k]*Tabella820[[#This Row],[Temperatura]])))/(1-EXP(-(Tabella33[Planck h]*Tabella49[Frequency8])/(Tabella33[Boltzmann k]*Tabella820[[#This Row],[Temperatura]])))</f>
        <v>0.25774369112750944</v>
      </c>
      <c r="M27" s="4" cm="1">
        <f t="array" ref="M27">(EXP(-(Tabella33[Planck h]*Tabella49[Frequency9])/(2*Tabella33[Boltzmann k]*Tabella820[[#This Row],[Temperatura]])))/(1-EXP(-(Tabella33[Planck h]*Tabella49[Frequency9])/(Tabella33[Boltzmann k]*Tabella820[[#This Row],[Temperatura]])))</f>
        <v>0.25771650917096789</v>
      </c>
      <c r="N27" s="4">
        <f>PRODUCT(Tabella820[[#This Row],[Qvib1]:[Qvib9]])</f>
        <v>9.4254396304753007E-4</v>
      </c>
    </row>
    <row r="28" spans="1:14" x14ac:dyDescent="0.3">
      <c r="D28">
        <v>1700</v>
      </c>
      <c r="E28" s="4" cm="1">
        <f t="array" ref="E28">(EXP(-(Tabella33[Planck h]*Tabella49[Frequency1])/(2*Tabella33[Boltzmann k]*Tabella820[[#This Row],[Temperatura]])))/(1-EXP(-(Tabella33[Planck h]*Tabella49[Frequency1])/(Tabella33[Boltzmann k]*Tabella820[[#This Row],[Temperatura]])))</f>
        <v>0.8312019223240914</v>
      </c>
      <c r="F28" s="4" cm="1">
        <f t="array" ref="F28">(EXP(-(Tabella33[Planck h]*Tabella49[Frequency2])/(2*Tabella33[Boltzmann k]*Tabella820[[#This Row],[Temperatura]])))/(1-EXP(-(Tabella33[Planck h]*Tabella49[Frequency2])/(Tabella33[Boltzmann k]*Tabella820[[#This Row],[Temperatura]])))</f>
        <v>0.83120103523801914</v>
      </c>
      <c r="G28" s="4" cm="1">
        <f t="array" ref="G28">(EXP(-(Tabella33[Planck h]*Tabella49[Frequency3])/(2*Tabella33[Boltzmann k]*Tabella820[[#This Row],[Temperatura]])))/(1-EXP(-(Tabella33[Planck h]*Tabella49[Frequency3])/(Tabella33[Boltzmann k]*Tabella820[[#This Row],[Temperatura]])))</f>
        <v>0.83105073197821444</v>
      </c>
      <c r="H28" s="4" cm="1">
        <f t="array" ref="H28">(EXP(-(Tabella33[Planck h]*Tabella49[Frequency4])/(2*Tabella33[Boltzmann k]*Tabella820[[#This Row],[Temperatura]])))/(1-EXP(-(Tabella33[Planck h]*Tabella49[Frequency4])/(Tabella33[Boltzmann k]*Tabella820[[#This Row],[Temperatura]])))</f>
        <v>0.70314739345438249</v>
      </c>
      <c r="I28" s="4" cm="1">
        <f t="array" ref="I28">(EXP(-(Tabella33[Planck h]*Tabella49[Frequency5])/(2*Tabella33[Boltzmann k]*Tabella820[[#This Row],[Temperatura]])))/(1-EXP(-(Tabella33[Planck h]*Tabella49[Frequency5])/(Tabella33[Boltzmann k]*Tabella820[[#This Row],[Temperatura]])))</f>
        <v>0.70314672596767969</v>
      </c>
      <c r="J28" s="4" cm="1">
        <f t="array" ref="J28">(EXP(-(Tabella33[Planck h]*Tabella49[Frequency6])/(2*Tabella33[Boltzmann k]*Tabella820[[#This Row],[Temperatura]])))/(1-EXP(-(Tabella33[Planck h]*Tabella49[Frequency6])/(Tabella33[Boltzmann k]*Tabella820[[#This Row],[Temperatura]])))</f>
        <v>0.2994441303295024</v>
      </c>
      <c r="K28" s="4" cm="1">
        <f t="array" ref="K28">(EXP(-(Tabella33[Planck h]*Tabella49[Frequency7])/(2*Tabella33[Boltzmann k]*Tabella820[[#This Row],[Temperatura]])))/(1-EXP(-(Tabella33[Planck h]*Tabella49[Frequency7])/(Tabella33[Boltzmann k]*Tabella820[[#This Row],[Temperatura]])))</f>
        <v>0.28335128828400513</v>
      </c>
      <c r="L28" s="4" cm="1">
        <f t="array" ref="L28">(EXP(-(Tabella33[Planck h]*Tabella49[Frequency8])/(2*Tabella33[Boltzmann k]*Tabella820[[#This Row],[Temperatura]])))/(1-EXP(-(Tabella33[Planck h]*Tabella49[Frequency8])/(Tabella33[Boltzmann k]*Tabella820[[#This Row],[Temperatura]])))</f>
        <v>0.28335124693756847</v>
      </c>
      <c r="M28" s="4" cm="1">
        <f t="array" ref="M28">(EXP(-(Tabella33[Planck h]*Tabella49[Frequency9])/(2*Tabella33[Boltzmann k]*Tabella820[[#This Row],[Temperatura]])))/(1-EXP(-(Tabella33[Planck h]*Tabella49[Frequency9])/(Tabella33[Boltzmann k]*Tabella820[[#This Row],[Temperatura]])))</f>
        <v>0.28332251297789934</v>
      </c>
      <c r="N28" s="4">
        <f>PRODUCT(Tabella820[[#This Row],[Qvib1]:[Qvib9]])</f>
        <v>1.9336581158986477E-3</v>
      </c>
    </row>
    <row r="29" spans="1:14" x14ac:dyDescent="0.3">
      <c r="D29">
        <v>1800</v>
      </c>
      <c r="E29" s="4" cm="1">
        <f t="array" ref="E29">(EXP(-(Tabella33[Planck h]*Tabella49[Frequency1])/(2*Tabella33[Boltzmann k]*Tabella820[[#This Row],[Temperatura]])))/(1-EXP(-(Tabella33[Planck h]*Tabella49[Frequency1])/(Tabella33[Boltzmann k]*Tabella820[[#This Row],[Temperatura]])))</f>
        <v>0.88515882132281487</v>
      </c>
      <c r="F29" s="4" cm="1">
        <f t="array" ref="F29">(EXP(-(Tabella33[Planck h]*Tabella49[Frequency2])/(2*Tabella33[Boltzmann k]*Tabella820[[#This Row],[Temperatura]])))/(1-EXP(-(Tabella33[Planck h]*Tabella49[Frequency2])/(Tabella33[Boltzmann k]*Tabella820[[#This Row],[Temperatura]])))</f>
        <v>0.88515788625650282</v>
      </c>
      <c r="G29" s="4" cm="1">
        <f t="array" ref="G29">(EXP(-(Tabella33[Planck h]*Tabella49[Frequency3])/(2*Tabella33[Boltzmann k]*Tabella820[[#This Row],[Temperatura]])))/(1-EXP(-(Tabella33[Planck h]*Tabella49[Frequency3])/(Tabella33[Boltzmann k]*Tabella820[[#This Row],[Temperatura]])))</f>
        <v>0.88499945355938281</v>
      </c>
      <c r="H29" s="4" cm="1">
        <f t="array" ref="H29">(EXP(-(Tabella33[Planck h]*Tabella49[Frequency4])/(2*Tabella33[Boltzmann k]*Tabella820[[#This Row],[Temperatura]])))/(1-EXP(-(Tabella33[Planck h]*Tabella49[Frequency4])/(Tabella33[Boltzmann k]*Tabella820[[#This Row],[Temperatura]])))</f>
        <v>0.75024451910040546</v>
      </c>
      <c r="I29" s="4" cm="1">
        <f t="array" ref="I29">(EXP(-(Tabella33[Planck h]*Tabella49[Frequency5])/(2*Tabella33[Boltzmann k]*Tabella820[[#This Row],[Temperatura]])))/(1-EXP(-(Tabella33[Planck h]*Tabella49[Frequency5])/(Tabella33[Boltzmann k]*Tabella820[[#This Row],[Temperatura]])))</f>
        <v>0.75024381622673919</v>
      </c>
      <c r="J29" s="4" cm="1">
        <f t="array" ref="J29">(EXP(-(Tabella33[Planck h]*Tabella49[Frequency6])/(2*Tabella33[Boltzmann k]*Tabella820[[#This Row],[Temperatura]])))/(1-EXP(-(Tabella33[Planck h]*Tabella49[Frequency6])/(Tabella33[Boltzmann k]*Tabella820[[#This Row],[Temperatura]])))</f>
        <v>0.32575086066630776</v>
      </c>
      <c r="K29" s="4" cm="1">
        <f t="array" ref="K29">(EXP(-(Tabella33[Planck h]*Tabella49[Frequency7])/(2*Tabella33[Boltzmann k]*Tabella820[[#This Row],[Temperatura]])))/(1-EXP(-(Tabella33[Planck h]*Tabella49[Frequency7])/(Tabella33[Boltzmann k]*Tabella820[[#This Row],[Temperatura]])))</f>
        <v>0.30881690575436066</v>
      </c>
      <c r="L29" s="4" cm="1">
        <f t="array" ref="L29">(EXP(-(Tabella33[Planck h]*Tabella49[Frequency8])/(2*Tabella33[Boltzmann k]*Tabella820[[#This Row],[Temperatura]])))/(1-EXP(-(Tabella33[Planck h]*Tabella49[Frequency8])/(Tabella33[Boltzmann k]*Tabella820[[#This Row],[Temperatura]])))</f>
        <v>0.30881686223475163</v>
      </c>
      <c r="M29" s="4" cm="1">
        <f t="array" ref="M29">(EXP(-(Tabella33[Planck h]*Tabella49[Frequency9])/(2*Tabella33[Boltzmann k]*Tabella820[[#This Row],[Temperatura]])))/(1-EXP(-(Tabella33[Planck h]*Tabella49[Frequency9])/(Tabella33[Boltzmann k]*Tabella820[[#This Row],[Temperatura]])))</f>
        <v>0.30878661799922269</v>
      </c>
      <c r="N29" s="4">
        <f>PRODUCT(Tabella820[[#This Row],[Qvib1]:[Qvib9]])</f>
        <v>3.7440041298667844E-3</v>
      </c>
    </row>
    <row r="30" spans="1:14" x14ac:dyDescent="0.3">
      <c r="D30">
        <v>1900</v>
      </c>
      <c r="E30" s="4" cm="1">
        <f t="array" ref="E30">(EXP(-(Tabella33[Planck h]*Tabella49[Frequency1])/(2*Tabella33[Boltzmann k]*Tabella820[[#This Row],[Temperatura]])))/(1-EXP(-(Tabella33[Planck h]*Tabella49[Frequency1])/(Tabella33[Boltzmann k]*Tabella820[[#This Row],[Temperatura]])))</f>
        <v>0.93889040111280531</v>
      </c>
      <c r="F30" s="4" cm="1">
        <f t="array" ref="F30">(EXP(-(Tabella33[Planck h]*Tabella49[Frequency2])/(2*Tabella33[Boltzmann k]*Tabella820[[#This Row],[Temperatura]])))/(1-EXP(-(Tabella33[Planck h]*Tabella49[Frequency2])/(Tabella33[Boltzmann k]*Tabella820[[#This Row],[Temperatura]])))</f>
        <v>0.93888941794267899</v>
      </c>
      <c r="G30" s="4" cm="1">
        <f t="array" ref="G30">(EXP(-(Tabella33[Planck h]*Tabella49[Frequency3])/(2*Tabella33[Boltzmann k]*Tabella820[[#This Row],[Temperatura]])))/(1-EXP(-(Tabella33[Planck h]*Tabella49[Frequency3])/(Tabella33[Boltzmann k]*Tabella820[[#This Row],[Temperatura]])))</f>
        <v>0.9387228348707165</v>
      </c>
      <c r="H30" s="4" cm="1">
        <f t="array" ref="H30">(EXP(-(Tabella33[Planck h]*Tabella49[Frequency4])/(2*Tabella33[Boltzmann k]*Tabella820[[#This Row],[Temperatura]])))/(1-EXP(-(Tabella33[Planck h]*Tabella49[Frequency4])/(Tabella33[Boltzmann k]*Tabella820[[#This Row],[Temperatura]])))</f>
        <v>0.7970992118242114</v>
      </c>
      <c r="I30" s="4" cm="1">
        <f t="array" ref="I30">(EXP(-(Tabella33[Planck h]*Tabella49[Frequency5])/(2*Tabella33[Boltzmann k]*Tabella820[[#This Row],[Temperatura]])))/(1-EXP(-(Tabella33[Planck h]*Tabella49[Frequency5])/(Tabella33[Boltzmann k]*Tabella820[[#This Row],[Temperatura]])))</f>
        <v>0.79709847348195673</v>
      </c>
      <c r="J30" s="4" cm="1">
        <f t="array" ref="J30">(EXP(-(Tabella33[Planck h]*Tabella49[Frequency6])/(2*Tabella33[Boltzmann k]*Tabella820[[#This Row],[Temperatura]])))/(1-EXP(-(Tabella33[Planck h]*Tabella49[Frequency6])/(Tabella33[Boltzmann k]*Tabella820[[#This Row],[Temperatura]])))</f>
        <v>0.35188432526157382</v>
      </c>
      <c r="K30" s="4" cm="1">
        <f t="array" ref="K30">(EXP(-(Tabella33[Planck h]*Tabella49[Frequency7])/(2*Tabella33[Boltzmann k]*Tabella820[[#This Row],[Temperatura]])))/(1-EXP(-(Tabella33[Planck h]*Tabella49[Frequency7])/(Tabella33[Boltzmann k]*Tabella820[[#This Row],[Temperatura]])))</f>
        <v>0.33412595224647207</v>
      </c>
      <c r="L30" s="4" cm="1">
        <f t="array" ref="L30">(EXP(-(Tabella33[Planck h]*Tabella49[Frequency8])/(2*Tabella33[Boltzmann k]*Tabella820[[#This Row],[Temperatura]])))/(1-EXP(-(Tabella33[Planck h]*Tabella49[Frequency8])/(Tabella33[Boltzmann k]*Tabella820[[#This Row],[Temperatura]])))</f>
        <v>0.33412590659966745</v>
      </c>
      <c r="M30" s="4" cm="1">
        <f t="array" ref="M30">(EXP(-(Tabella33[Planck h]*Tabella49[Frequency9])/(2*Tabella33[Boltzmann k]*Tabella820[[#This Row],[Temperatura]])))/(1-EXP(-(Tabella33[Planck h]*Tabella49[Frequency9])/(Tabella33[Boltzmann k]*Tabella820[[#This Row],[Temperatura]])))</f>
        <v>0.33409418404423319</v>
      </c>
      <c r="N30" s="4">
        <f>PRODUCT(Tabella820[[#This Row],[Qvib1]:[Qvib9]])</f>
        <v>6.9004955383880099E-3</v>
      </c>
    </row>
    <row r="31" spans="1:14" x14ac:dyDescent="0.3">
      <c r="D31">
        <v>2000</v>
      </c>
      <c r="E31" s="4" cm="1">
        <f t="array" ref="E31">(EXP(-(Tabella33[Planck h]*Tabella49[Frequency1])/(2*Tabella33[Boltzmann k]*Tabella820[[#This Row],[Temperatura]])))/(1-EXP(-(Tabella33[Planck h]*Tabella49[Frequency1])/(Tabella33[Boltzmann k]*Tabella820[[#This Row],[Temperatura]])))</f>
        <v>0.99242617295535696</v>
      </c>
      <c r="F31" s="4" cm="1">
        <f t="array" ref="F31">(EXP(-(Tabella33[Planck h]*Tabella49[Frequency2])/(2*Tabella33[Boltzmann k]*Tabella820[[#This Row],[Temperatura]])))/(1-EXP(-(Tabella33[Planck h]*Tabella49[Frequency2])/(Tabella33[Boltzmann k]*Tabella820[[#This Row],[Temperatura]])))</f>
        <v>0.99242514156516382</v>
      </c>
      <c r="G31" s="4" cm="1">
        <f t="array" ref="G31">(EXP(-(Tabella33[Planck h]*Tabella49[Frequency3])/(2*Tabella33[Boltzmann k]*Tabella820[[#This Row],[Temperatura]])))/(1-EXP(-(Tabella33[Planck h]*Tabella49[Frequency3])/(Tabella33[Boltzmann k]*Tabella820[[#This Row],[Temperatura]])))</f>
        <v>0.99225038842077062</v>
      </c>
      <c r="H31" s="4" cm="1">
        <f t="array" ref="H31">(EXP(-(Tabella33[Planck h]*Tabella49[Frequency4])/(2*Tabella33[Boltzmann k]*Tabella820[[#This Row],[Temperatura]])))/(1-EXP(-(Tabella33[Planck h]*Tabella49[Frequency4])/(Tabella33[Boltzmann k]*Tabella820[[#This Row],[Temperatura]])))</f>
        <v>0.84374146137881301</v>
      </c>
      <c r="I31" s="4" cm="1">
        <f t="array" ref="I31">(EXP(-(Tabella33[Planck h]*Tabella49[Frequency5])/(2*Tabella33[Boltzmann k]*Tabella820[[#This Row],[Temperatura]])))/(1-EXP(-(Tabella33[Planck h]*Tabella49[Frequency5])/(Tabella33[Boltzmann k]*Tabella820[[#This Row],[Temperatura]])))</f>
        <v>0.84374068748474118</v>
      </c>
      <c r="J31" s="4" cm="1">
        <f t="array" ref="J31">(EXP(-(Tabella33[Planck h]*Tabella49[Frequency6])/(2*Tabella33[Boltzmann k]*Tabella820[[#This Row],[Temperatura]])))/(1-EXP(-(Tabella33[Planck h]*Tabella49[Frequency6])/(Tabella33[Boltzmann k]*Tabella820[[#This Row],[Temperatura]])))</f>
        <v>0.37784295844132398</v>
      </c>
      <c r="K31" s="4" cm="1">
        <f t="array" ref="K31">(EXP(-(Tabella33[Planck h]*Tabella49[Frequency7])/(2*Tabella33[Boltzmann k]*Tabella820[[#This Row],[Temperatura]])))/(1-EXP(-(Tabella33[Planck h]*Tabella49[Frequency7])/(Tabella33[Boltzmann k]*Tabella820[[#This Row],[Temperatura]])))</f>
        <v>0.35927277826046194</v>
      </c>
      <c r="L31" s="4" cm="1">
        <f t="array" ref="L31">(EXP(-(Tabella33[Planck h]*Tabella49[Frequency8])/(2*Tabella33[Boltzmann k]*Tabella820[[#This Row],[Temperatura]])))/(1-EXP(-(Tabella33[Planck h]*Tabella49[Frequency8])/(Tabella33[Boltzmann k]*Tabella820[[#This Row],[Temperatura]])))</f>
        <v>0.35927273052144792</v>
      </c>
      <c r="M31" s="4" cm="1">
        <f t="array" ref="M31">(EXP(-(Tabella33[Planck h]*Tabella49[Frequency9])/(2*Tabella33[Boltzmann k]*Tabella820[[#This Row],[Temperatura]])))/(1-EXP(-(Tabella33[Planck h]*Tabella49[Frequency9])/(Tabella33[Boltzmann k]*Tabella820[[#This Row],[Temperatura]])))</f>
        <v>0.35923955396323592</v>
      </c>
      <c r="N31" s="4">
        <f>PRODUCT(Tabella820[[#This Row],[Qvib1]:[Qvib9]])</f>
        <v>1.2189325562006562E-2</v>
      </c>
    </row>
    <row r="33" spans="1:10" x14ac:dyDescent="0.3">
      <c r="A33" t="s">
        <v>35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I33" s="6" t="s">
        <v>35</v>
      </c>
      <c r="J33" s="6" t="s">
        <v>45</v>
      </c>
    </row>
    <row r="34" spans="1:10" x14ac:dyDescent="0.3">
      <c r="A34">
        <v>298</v>
      </c>
      <c r="B34" s="4" cm="1">
        <f t="array" ref="B34">(Tabella33[Boltzmann k]*Tabella518[[#This Row],[Temperatura]])/101325</f>
        <v>4.0605319713792254E-26</v>
      </c>
      <c r="C34" s="4" cm="1">
        <f t="array" ref="C34">POWER((2*Tabella33[Pi Greco]*Tabella33[Massa]*Tabella33[Boltzmann k]*Tabella518[[#This Row],[Temperatura]])/(POWER(Tabella33[Planck h],2)),1.5)*Tabella518[[#This Row],[Volume]]</f>
        <v>2521877.4627657244</v>
      </c>
      <c r="D34" s="4">
        <f t="shared" ref="D34:D51" si="0">N14</f>
        <v>2.4684156686781186E-21</v>
      </c>
      <c r="E34" s="4" cm="1">
        <f t="array" ref="E34">(8*POWER(Tabella33[Pi Greco],2)*POWER(2*Tabella33[Pi Greco]*Tabella33[Boltzmann k]*Tabella518[[#This Row],[Temperatura]],1.5)*Tabella19[Total Moment of Inertia])/(Tabella619[Simmetry Number]*POWER(Tabella33[Planck h],3))</f>
        <v>146.27541669686576</v>
      </c>
      <c r="F34">
        <f>1</f>
        <v>1</v>
      </c>
      <c r="I34" s="7">
        <v>298</v>
      </c>
      <c r="J34" s="7">
        <f>PRODUCT(Tabella518[[#This Row],[Qtrasl]:[Qel]])</f>
        <v>9.1057058962467052E-13</v>
      </c>
    </row>
    <row r="35" spans="1:10" x14ac:dyDescent="0.3">
      <c r="A35">
        <v>400</v>
      </c>
      <c r="B35" s="4" cm="1">
        <f t="array" ref="B35">(Tabella33[Boltzmann k]*Tabella518[[#This Row],[Temperatura]])/101325</f>
        <v>5.4503784850727862E-26</v>
      </c>
      <c r="C35" s="4" cm="1">
        <f t="array" ref="C35">POWER((2*Tabella33[Pi Greco]*Tabella33[Massa]*Tabella33[Boltzmann k]*Tabella518[[#This Row],[Temperatura]])/(POWER(Tabella33[Planck h],2)),1.5)*Tabella518[[#This Row],[Volume]]</f>
        <v>5264211.124957609</v>
      </c>
      <c r="D35" s="4">
        <f t="shared" si="0"/>
        <v>4.5603329076358544E-16</v>
      </c>
      <c r="E35" s="4" cm="1">
        <f t="array" ref="E35">(8*POWER(Tabella33[Pi Greco],2)*POWER(2*Tabella33[Pi Greco]*Tabella33[Boltzmann k]*Tabella518[[#This Row],[Temperatura]],1.5)*Tabella19[Total Moment of Inertia])/(Tabella619[Simmetry Number]*POWER(Tabella33[Planck h],3))</f>
        <v>227.47670812841204</v>
      </c>
      <c r="F35">
        <f>1</f>
        <v>1</v>
      </c>
      <c r="I35" s="7">
        <v>400</v>
      </c>
      <c r="J35" s="7">
        <f>PRODUCT(Tabella518[[#This Row],[Qtrasl]:[Qel]])</f>
        <v>5.4609321562876897E-7</v>
      </c>
    </row>
    <row r="36" spans="1:10" x14ac:dyDescent="0.3">
      <c r="A36">
        <v>500</v>
      </c>
      <c r="B36" s="4" cm="1">
        <f t="array" ref="B36">(Tabella33[Boltzmann k]*Tabella518[[#This Row],[Temperatura]])/101325</f>
        <v>6.8129731063409828E-26</v>
      </c>
      <c r="C36" s="4" cm="1">
        <f t="array" ref="C36">POWER((2*Tabella33[Pi Greco]*Tabella33[Massa]*Tabella33[Boltzmann k]*Tabella518[[#This Row],[Temperatura]])/(POWER(Tabella33[Planck h],2)),1.5)*Tabella518[[#This Row],[Volume]]</f>
        <v>9196198.377590565</v>
      </c>
      <c r="D36" s="4">
        <f t="shared" si="0"/>
        <v>5.6707014620515153E-13</v>
      </c>
      <c r="E36" s="4" cm="1">
        <f t="array" ref="E36">(8*POWER(Tabella33[Pi Greco],2)*POWER(2*Tabella33[Pi Greco]*Tabella33[Boltzmann k]*Tabella518[[#This Row],[Temperatura]],1.5)*Tabella19[Total Moment of Inertia])/(Tabella619[Simmetry Number]*POWER(Tabella33[Planck h],3))</f>
        <v>317.90836417062752</v>
      </c>
      <c r="F36">
        <f>1</f>
        <v>1</v>
      </c>
      <c r="I36" s="7">
        <v>500</v>
      </c>
      <c r="J36" s="7">
        <f>PRODUCT(Tabella518[[#This Row],[Qtrasl]:[Qel]])</f>
        <v>1.6578570088769909E-3</v>
      </c>
    </row>
    <row r="37" spans="1:10" x14ac:dyDescent="0.3">
      <c r="A37">
        <v>600</v>
      </c>
      <c r="B37" s="4" cm="1">
        <f t="array" ref="B37">(Tabella33[Boltzmann k]*Tabella518[[#This Row],[Temperatura]])/101325</f>
        <v>8.1755677276091782E-26</v>
      </c>
      <c r="C37" s="4" cm="1">
        <f t="array" ref="C37">POWER((2*Tabella33[Pi Greco]*Tabella33[Massa]*Tabella33[Boltzmann k]*Tabella518[[#This Row],[Temperatura]])/(POWER(Tabella33[Planck h],2)),1.5)*Tabella518[[#This Row],[Volume]]</f>
        <v>14506460.04873226</v>
      </c>
      <c r="D37" s="4">
        <f t="shared" si="0"/>
        <v>6.8848518278132965E-11</v>
      </c>
      <c r="E37" s="4" cm="1">
        <f t="array" ref="E37">(8*POWER(Tabella33[Pi Greco],2)*POWER(2*Tabella33[Pi Greco]*Tabella33[Boltzmann k]*Tabella518[[#This Row],[Temperatura]],1.5)*Tabella19[Total Moment of Inertia])/(Tabella619[Simmetry Number]*POWER(Tabella33[Planck h],3))</f>
        <v>417.90139746196849</v>
      </c>
      <c r="F37">
        <f>1</f>
        <v>1</v>
      </c>
      <c r="I37" s="7">
        <v>600</v>
      </c>
      <c r="J37" s="7">
        <f>PRODUCT(Tabella518[[#This Row],[Qtrasl]:[Qel]])</f>
        <v>0.41737830184790564</v>
      </c>
    </row>
    <row r="38" spans="1:10" x14ac:dyDescent="0.3">
      <c r="A38">
        <v>700</v>
      </c>
      <c r="B38" s="4" cm="1">
        <f t="array" ref="B38">(Tabella33[Boltzmann k]*Tabella518[[#This Row],[Temperatura]])/101325</f>
        <v>9.5381623488773759E-26</v>
      </c>
      <c r="C38" s="4" cm="1">
        <f t="array" ref="C38">POWER((2*Tabella33[Pi Greco]*Tabella33[Massa]*Tabella33[Boltzmann k]*Tabella518[[#This Row],[Temperatura]])/(POWER(Tabella33[Planck h],2)),1.5)*Tabella518[[#This Row],[Volume]]</f>
        <v>21326933.774790563</v>
      </c>
      <c r="D38" s="4">
        <f t="shared" si="0"/>
        <v>2.2329538994490243E-9</v>
      </c>
      <c r="E38" s="4" cm="1">
        <f t="array" ref="E38">(8*POWER(Tabella33[Pi Greco],2)*POWER(2*Tabella33[Pi Greco]*Tabella33[Boltzmann k]*Tabella518[[#This Row],[Temperatura]],1.5)*Tabella19[Total Moment of Inertia])/(Tabella619[Simmetry Number]*POWER(Tabella33[Planck h],3))</f>
        <v>526.61594892147468</v>
      </c>
      <c r="F38">
        <f>1</f>
        <v>1</v>
      </c>
      <c r="I38" s="7">
        <v>700</v>
      </c>
      <c r="J38" s="7">
        <f>PRODUCT(Tabella518[[#This Row],[Qtrasl]:[Qel]])</f>
        <v>25.078536282639096</v>
      </c>
    </row>
    <row r="39" spans="1:10" x14ac:dyDescent="0.3">
      <c r="A39">
        <v>800</v>
      </c>
      <c r="B39" s="4" cm="1">
        <f t="array" ref="B39">(Tabella33[Boltzmann k]*Tabella518[[#This Row],[Temperatura]])/101325</f>
        <v>1.0900756970145572E-25</v>
      </c>
      <c r="C39" s="4" cm="1">
        <f t="array" ref="C39">POWER((2*Tabella33[Pi Greco]*Tabella33[Massa]*Tabella33[Boltzmann k]*Tabella518[[#This Row],[Temperatura]])/(POWER(Tabella33[Planck h],2)),1.5)*Tabella518[[#This Row],[Volume]]</f>
        <v>29778875.0724416</v>
      </c>
      <c r="D39" s="4">
        <f t="shared" si="0"/>
        <v>3.1905686644379746E-8</v>
      </c>
      <c r="E39" s="4" cm="1">
        <f t="array" ref="E39">(8*POWER(Tabella33[Pi Greco],2)*POWER(2*Tabella33[Pi Greco]*Tabella33[Boltzmann k]*Tabella518[[#This Row],[Temperatura]],1.5)*Tabella19[Total Moment of Inertia])/(Tabella619[Simmetry Number]*POWER(Tabella33[Planck h],3))</f>
        <v>643.4012915183655</v>
      </c>
      <c r="F39">
        <f>1</f>
        <v>1</v>
      </c>
      <c r="I39" s="7">
        <v>800</v>
      </c>
      <c r="J39" s="7">
        <f>PRODUCT(Tabella518[[#This Row],[Qtrasl]:[Qel]])</f>
        <v>611.30551192169526</v>
      </c>
    </row>
    <row r="40" spans="1:10" x14ac:dyDescent="0.3">
      <c r="A40">
        <v>900</v>
      </c>
      <c r="B40" s="4" cm="1">
        <f t="array" ref="B40">(Tabella33[Boltzmann k]*Tabella518[[#This Row],[Temperatura]])/101325</f>
        <v>1.2263351591413768E-25</v>
      </c>
      <c r="C40" s="4" cm="1">
        <f t="array" ref="C40">POWER((2*Tabella33[Pi Greco]*Tabella33[Massa]*Tabella33[Boltzmann k]*Tabella518[[#This Row],[Temperatura]])/(POWER(Tabella33[Planck h],2)),1.5)*Tabella518[[#This Row],[Volume]]</f>
        <v>39975103.230146907</v>
      </c>
      <c r="D40" s="4">
        <f t="shared" si="0"/>
        <v>2.6470866318275023E-7</v>
      </c>
      <c r="E40" s="4" cm="1">
        <f t="array" ref="E40">(8*POWER(Tabella33[Pi Greco],2)*POWER(2*Tabella33[Pi Greco]*Tabella33[Boltzmann k]*Tabella518[[#This Row],[Temperatura]],1.5)*Tabella19[Total Moment of Inertia])/(Tabella619[Simmetry Number]*POWER(Tabella33[Planck h],3))</f>
        <v>767.73388993338096</v>
      </c>
      <c r="F40">
        <f>1</f>
        <v>1</v>
      </c>
      <c r="I40" s="7">
        <v>900</v>
      </c>
      <c r="J40" s="7">
        <f>PRODUCT(Tabella518[[#This Row],[Qtrasl]:[Qel]])</f>
        <v>8123.9728011126053</v>
      </c>
    </row>
    <row r="41" spans="1:10" x14ac:dyDescent="0.3">
      <c r="A41">
        <v>1000</v>
      </c>
      <c r="B41" s="4" cm="1">
        <f t="array" ref="B41">(Tabella33[Boltzmann k]*Tabella518[[#This Row],[Temperatura]])/101325</f>
        <v>1.3625946212681966E-25</v>
      </c>
      <c r="C41" s="4" cm="1">
        <f t="array" ref="C41">POWER((2*Tabella33[Pi Greco]*Tabella33[Massa]*Tabella33[Boltzmann k]*Tabella518[[#This Row],[Temperatura]])/(POWER(Tabella33[Planck h],2)),1.5)*Tabella518[[#This Row],[Volume]]</f>
        <v>52021553.871447526</v>
      </c>
      <c r="D41" s="4">
        <f t="shared" si="0"/>
        <v>1.5032282671174634E-6</v>
      </c>
      <c r="E41" s="4" cm="1">
        <f t="array" ref="E41">(8*POWER(Tabella33[Pi Greco],2)*POWER(2*Tabella33[Pi Greco]*Tabella33[Boltzmann k]*Tabella518[[#This Row],[Temperatura]],1.5)*Tabella19[Total Moment of Inertia])/(Tabella619[Simmetry Number]*POWER(Tabella33[Planck h],3))</f>
        <v>899.18064040388253</v>
      </c>
      <c r="F41">
        <f>1</f>
        <v>1</v>
      </c>
      <c r="I41" s="7">
        <v>1000</v>
      </c>
      <c r="J41" s="7">
        <f>PRODUCT(Tabella518[[#This Row],[Qtrasl]:[Qel]])</f>
        <v>70316.169109168419</v>
      </c>
    </row>
    <row r="42" spans="1:10" x14ac:dyDescent="0.3">
      <c r="A42">
        <v>1100</v>
      </c>
      <c r="B42" s="4" cm="1">
        <f t="array" ref="B42">(Tabella33[Boltzmann k]*Tabella518[[#This Row],[Temperatura]])/101325</f>
        <v>1.4988540833950161E-25</v>
      </c>
      <c r="C42" s="4" cm="1">
        <f t="array" ref="C42">POWER((2*Tabella33[Pi Greco]*Tabella33[Massa]*Tabella33[Boltzmann k]*Tabella518[[#This Row],[Temperatura]])/(POWER(Tabella33[Planck h],2)),1.5)*Tabella518[[#This Row],[Volume]]</f>
        <v>66018405.855081007</v>
      </c>
      <c r="D42" s="4">
        <f t="shared" si="0"/>
        <v>6.4830923741909241E-6</v>
      </c>
      <c r="E42" s="4" cm="1">
        <f t="array" ref="E42">(8*POWER(Tabella33[Pi Greco],2)*POWER(2*Tabella33[Pi Greco]*Tabella33[Boltzmann k]*Tabella518[[#This Row],[Temperatura]],1.5)*Tabella19[Total Moment of Inertia])/(Tabella619[Simmetry Number]*POWER(Tabella33[Planck h],3))</f>
        <v>1037.3754729347916</v>
      </c>
      <c r="F42">
        <f>1</f>
        <v>1</v>
      </c>
      <c r="I42" s="7">
        <v>1100</v>
      </c>
      <c r="J42" s="7">
        <f>PRODUCT(Tabella518[[#This Row],[Qtrasl]:[Qel]])</f>
        <v>444000.25392840698</v>
      </c>
    </row>
    <row r="43" spans="1:10" x14ac:dyDescent="0.3">
      <c r="A43">
        <v>1200</v>
      </c>
      <c r="B43" s="4" cm="1">
        <f t="array" ref="B43">(Tabella33[Boltzmann k]*Tabella518[[#This Row],[Temperatura]])/101325</f>
        <v>1.6351135455218356E-25</v>
      </c>
      <c r="C43" s="4" cm="1">
        <f t="array" ref="C43">POWER((2*Tabella33[Pi Greco]*Tabella33[Massa]*Tabella33[Boltzmann k]*Tabella518[[#This Row],[Temperatura]])/(POWER(Tabella33[Planck h],2)),1.5)*Tabella518[[#This Row],[Volume]]</f>
        <v>82060930.171762764</v>
      </c>
      <c r="D43" s="4">
        <f t="shared" si="0"/>
        <v>2.2747080536235654E-5</v>
      </c>
      <c r="E43" s="4" cm="1">
        <f t="array" ref="E43">(8*POWER(Tabella33[Pi Greco],2)*POWER(2*Tabella33[Pi Greco]*Tabella33[Boltzmann k]*Tabella518[[#This Row],[Temperatura]],1.5)*Tabella19[Total Moment of Inertia])/(Tabella619[Simmetry Number]*POWER(Tabella33[Planck h],3))</f>
        <v>1182.0036480507736</v>
      </c>
      <c r="F43">
        <f>1</f>
        <v>1</v>
      </c>
      <c r="I43" s="7">
        <v>1200</v>
      </c>
      <c r="J43" s="7">
        <f>PRODUCT(Tabella518[[#This Row],[Qtrasl]:[Qel]])</f>
        <v>2206383.0760412058</v>
      </c>
    </row>
    <row r="44" spans="1:10" x14ac:dyDescent="0.3">
      <c r="A44">
        <v>1300</v>
      </c>
      <c r="B44" s="4" cm="1">
        <f t="array" ref="B44">(Tabella33[Boltzmann k]*Tabella518[[#This Row],[Temperatura]])/101325</f>
        <v>1.7713730076486554E-25</v>
      </c>
      <c r="C44" s="4" cm="1">
        <f t="array" ref="C44">POWER((2*Tabella33[Pi Greco]*Tabella33[Massa]*Tabella33[Boltzmann k]*Tabella518[[#This Row],[Temperatura]])/(POWER(Tabella33[Planck h],2)),1.5)*Tabella518[[#This Row],[Volume]]</f>
        <v>100240148.4364855</v>
      </c>
      <c r="D44" s="4">
        <f t="shared" si="0"/>
        <v>6.8078103134747373E-5</v>
      </c>
      <c r="E44" s="4" cm="1">
        <f t="array" ref="E44">(8*POWER(Tabella33[Pi Greco],2)*POWER(2*Tabella33[Pi Greco]*Tabella33[Boltzmann k]*Tabella518[[#This Row],[Temperatura]],1.5)*Tabella19[Total Moment of Inertia])/(Tabella619[Simmetry Number]*POWER(Tabella33[Planck h],3))</f>
        <v>1332.7907695874394</v>
      </c>
      <c r="F44">
        <f>1</f>
        <v>1</v>
      </c>
      <c r="I44" s="7">
        <v>1300</v>
      </c>
      <c r="J44" s="7">
        <f>PRODUCT(Tabella518[[#This Row],[Qtrasl]:[Qel]])</f>
        <v>9095176.3433102686</v>
      </c>
    </row>
    <row r="45" spans="1:10" x14ac:dyDescent="0.3">
      <c r="A45">
        <v>1400</v>
      </c>
      <c r="B45" s="4" cm="1">
        <f t="array" ref="B45">(Tabella33[Boltzmann k]*Tabella518[[#This Row],[Temperatura]])/101325</f>
        <v>1.9076324697754752E-25</v>
      </c>
      <c r="C45" s="4" cm="1">
        <f t="array" ref="C45">POWER((2*Tabella33[Pi Greco]*Tabella33[Massa]*Tabella33[Boltzmann k]*Tabella518[[#This Row],[Temperatura]])/(POWER(Tabella33[Planck h],2)),1.5)*Tabella518[[#This Row],[Volume]]</f>
        <v>120643355.95256518</v>
      </c>
      <c r="D45" s="4">
        <f t="shared" si="0"/>
        <v>1.7972895619725306E-4</v>
      </c>
      <c r="E45" s="4" cm="1">
        <f t="array" ref="E45">(8*POWER(Tabella33[Pi Greco],2)*POWER(2*Tabella33[Pi Greco]*Tabella33[Boltzmann k]*Tabella518[[#This Row],[Temperatura]],1.5)*Tabella19[Total Moment of Inertia])/(Tabella619[Simmetry Number]*POWER(Tabella33[Planck h],3))</f>
        <v>1489.4948342534576</v>
      </c>
      <c r="F45">
        <f>1</f>
        <v>1</v>
      </c>
      <c r="I45" s="7">
        <v>1400</v>
      </c>
      <c r="J45" s="7">
        <f>PRODUCT(Tabella518[[#This Row],[Qtrasl]:[Qel]])</f>
        <v>32296872.050216895</v>
      </c>
    </row>
    <row r="46" spans="1:10" x14ac:dyDescent="0.3">
      <c r="A46">
        <v>1500</v>
      </c>
      <c r="B46" s="4" cm="1">
        <f t="array" ref="B46">(Tabella33[Boltzmann k]*Tabella518[[#This Row],[Temperatura]])/101325</f>
        <v>2.0438919319022949E-25</v>
      </c>
      <c r="C46" s="4" cm="1">
        <f t="array" ref="C46">POWER((2*Tabella33[Pi Greco]*Tabella33[Massa]*Tabella33[Boltzmann k]*Tabella518[[#This Row],[Temperatura]])/(POWER(Tabella33[Planck h],2)),1.5)*Tabella518[[#This Row],[Volume]]</f>
        <v>143354545.43822351</v>
      </c>
      <c r="D46" s="4">
        <f t="shared" si="0"/>
        <v>4.2894370885485442E-4</v>
      </c>
      <c r="E46" s="4" cm="1">
        <f t="array" ref="E46">(8*POWER(Tabella33[Pi Greco],2)*POWER(2*Tabella33[Pi Greco]*Tabella33[Boltzmann k]*Tabella518[[#This Row],[Temperatura]],1.5)*Tabella19[Total Moment of Inertia])/(Tabella619[Simmetry Number]*POWER(Tabella33[Planck h],3))</f>
        <v>1651.9003166839025</v>
      </c>
      <c r="F46">
        <f>1</f>
        <v>1</v>
      </c>
      <c r="I46" s="7">
        <v>1500</v>
      </c>
      <c r="J46" s="7">
        <f>PRODUCT(Tabella518[[#This Row],[Qtrasl]:[Qel]])</f>
        <v>101577052.59341329</v>
      </c>
    </row>
    <row r="47" spans="1:10" x14ac:dyDescent="0.3">
      <c r="A47">
        <v>1600</v>
      </c>
      <c r="B47" s="4" cm="1">
        <f t="array" ref="B47">(Tabella33[Boltzmann k]*Tabella518[[#This Row],[Temperatura]])/101325</f>
        <v>2.1801513940291145E-25</v>
      </c>
      <c r="C47" s="4" cm="1">
        <f t="array" ref="C47">POWER((2*Tabella33[Pi Greco]*Tabella33[Massa]*Tabella33[Boltzmann k]*Tabella518[[#This Row],[Temperatura]])/(POWER(Tabella33[Planck h],2)),1.5)*Tabella518[[#This Row],[Volume]]</f>
        <v>168454755.99864444</v>
      </c>
      <c r="D47" s="4">
        <f t="shared" si="0"/>
        <v>9.4254396304753007E-4</v>
      </c>
      <c r="E47" s="4" cm="1">
        <f t="array" ref="E47">(8*POWER(Tabella33[Pi Greco],2)*POWER(2*Tabella33[Pi Greco]*Tabella33[Boltzmann k]*Tabella518[[#This Row],[Temperatura]],1.5)*Tabella19[Total Moment of Inertia])/(Tabella619[Simmetry Number]*POWER(Tabella33[Planck h],3))</f>
        <v>1819.8136650272811</v>
      </c>
      <c r="F47">
        <f>1</f>
        <v>1</v>
      </c>
      <c r="I47" s="7">
        <v>1600</v>
      </c>
      <c r="J47" s="7">
        <f>PRODUCT(Tabella518[[#This Row],[Qtrasl]:[Qel]])</f>
        <v>288942758.70585489</v>
      </c>
    </row>
    <row r="48" spans="1:10" x14ac:dyDescent="0.3">
      <c r="A48">
        <v>1700</v>
      </c>
      <c r="B48" s="4" cm="1">
        <f t="array" ref="B48">(Tabella33[Boltzmann k]*Tabella518[[#This Row],[Temperatura]])/101325</f>
        <v>2.316410856155934E-25</v>
      </c>
      <c r="C48" s="4" cm="1">
        <f t="array" ref="C48">POWER((2*Tabella33[Pi Greco]*Tabella33[Massa]*Tabella33[Boltzmann k]*Tabella518[[#This Row],[Temperatura]])/(POWER(Tabella33[Planck h],2)),1.5)*Tabella518[[#This Row],[Volume]]</f>
        <v>196022364.61200806</v>
      </c>
      <c r="D48" s="4">
        <f t="shared" si="0"/>
        <v>1.9336581158986477E-3</v>
      </c>
      <c r="E48" s="4" cm="1">
        <f t="array" ref="E48">(8*POWER(Tabella33[Pi Greco],2)*POWER(2*Tabella33[Pi Greco]*Tabella33[Boltzmann k]*Tabella518[[#This Row],[Temperatura]],1.5)*Tabella19[Total Moment of Inertia])/(Tabella619[Simmetry Number]*POWER(Tabella33[Planck h],3))</f>
        <v>1993.0598018351375</v>
      </c>
      <c r="F48">
        <f>1</f>
        <v>1</v>
      </c>
      <c r="I48" s="7">
        <v>1700</v>
      </c>
      <c r="J48" s="7">
        <f>PRODUCT(Tabella518[[#This Row],[Qtrasl]:[Qel]])</f>
        <v>755449858.10741639</v>
      </c>
    </row>
    <row r="49" spans="1:10" x14ac:dyDescent="0.3">
      <c r="A49">
        <v>1800</v>
      </c>
      <c r="B49" s="4" cm="1">
        <f t="array" ref="B49">(Tabella33[Boltzmann k]*Tabella518[[#This Row],[Temperatura]])/101325</f>
        <v>2.4526703182827536E-25</v>
      </c>
      <c r="C49" s="4" cm="1">
        <f t="array" ref="C49">POWER((2*Tabella33[Pi Greco]*Tabella33[Massa]*Tabella33[Boltzmann k]*Tabella518[[#This Row],[Temperatura]])/(POWER(Tabella33[Planck h],2)),1.5)*Tabella518[[#This Row],[Volume]]</f>
        <v>226133332.58135051</v>
      </c>
      <c r="D49" s="4">
        <f t="shared" si="0"/>
        <v>3.7440041298667844E-3</v>
      </c>
      <c r="E49" s="4" cm="1">
        <f t="array" ref="E49">(8*POWER(Tabella33[Pi Greco],2)*POWER(2*Tabella33[Pi Greco]*Tabella33[Boltzmann k]*Tabella518[[#This Row],[Temperatura]],1.5)*Tabella19[Total Moment of Inertia])/(Tabella619[Simmetry Number]*POWER(Tabella33[Planck h],3))</f>
        <v>2171.4793588744874</v>
      </c>
      <c r="F49">
        <f>1</f>
        <v>1</v>
      </c>
      <c r="I49" s="7">
        <v>1800</v>
      </c>
      <c r="J49" s="7">
        <f>PRODUCT(Tabella518[[#This Row],[Qtrasl]:[Qel]])</f>
        <v>1838470254.9635537</v>
      </c>
    </row>
    <row r="50" spans="1:10" x14ac:dyDescent="0.3">
      <c r="A50">
        <v>1900</v>
      </c>
      <c r="B50" s="4" cm="1">
        <f t="array" ref="B50">(Tabella33[Boltzmann k]*Tabella518[[#This Row],[Temperatura]])/101325</f>
        <v>2.5889297804095731E-25</v>
      </c>
      <c r="C50" s="4" cm="1">
        <f t="array" ref="C50">POWER((2*Tabella33[Pi Greco]*Tabella33[Massa]*Tabella33[Boltzmann k]*Tabella518[[#This Row],[Temperatura]])/(POWER(Tabella33[Planck h],2)),1.5)*Tabella518[[#This Row],[Volume]]</f>
        <v>258861416.13519424</v>
      </c>
      <c r="D50" s="4">
        <f t="shared" si="0"/>
        <v>6.9004955383880099E-3</v>
      </c>
      <c r="E50" s="4" cm="1">
        <f t="array" ref="E50">(8*POWER(Tabella33[Pi Greco],2)*POWER(2*Tabella33[Pi Greco]*Tabella33[Boltzmann k]*Tabella518[[#This Row],[Temperatura]],1.5)*Tabella19[Total Moment of Inertia])/(Tabella619[Simmetry Number]*POWER(Tabella33[Planck h],3))</f>
        <v>2354.9264590099669</v>
      </c>
      <c r="F50">
        <f>1</f>
        <v>1</v>
      </c>
      <c r="I50" s="7">
        <v>1900</v>
      </c>
      <c r="J50" s="7">
        <f>PRODUCT(Tabella518[[#This Row],[Qtrasl]:[Qel]])</f>
        <v>4206539306.7097144</v>
      </c>
    </row>
    <row r="51" spans="1:10" x14ac:dyDescent="0.3">
      <c r="A51">
        <v>2000</v>
      </c>
      <c r="B51" s="4" cm="1">
        <f t="array" ref="B51">(Tabella33[Boltzmann k]*Tabella518[[#This Row],[Temperatura]])/101325</f>
        <v>2.7251892425363931E-25</v>
      </c>
      <c r="C51" s="4" cm="1">
        <f t="array" ref="C51">POWER((2*Tabella33[Pi Greco]*Tabella33[Massa]*Tabella33[Boltzmann k]*Tabella518[[#This Row],[Temperatura]])/(POWER(Tabella33[Planck h],2)),1.5)*Tabella518[[#This Row],[Volume]]</f>
        <v>294278348.08289552</v>
      </c>
      <c r="D51" s="4">
        <f t="shared" si="0"/>
        <v>1.2189325562006562E-2</v>
      </c>
      <c r="E51" s="4" cm="1">
        <f t="array" ref="E51">(8*POWER(Tabella33[Pi Greco],2)*POWER(2*Tabella33[Pi Greco]*Tabella33[Boltzmann k]*Tabella518[[#This Row],[Temperatura]],1.5)*Tabella19[Total Moment of Inertia])/(Tabella619[Simmetry Number]*POWER(Tabella33[Planck h],3))</f>
        <v>2543.2669133649983</v>
      </c>
      <c r="F51">
        <f>1</f>
        <v>1</v>
      </c>
      <c r="I51" s="8">
        <v>2000</v>
      </c>
      <c r="J51" s="7">
        <f>PRODUCT(Tabella518[[#This Row],[Qtrasl]:[Qel]])</f>
        <v>9122837256.7881489</v>
      </c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5831-CD52-4D8D-B7D0-8900B85E323F}">
  <dimension ref="A1:K51"/>
  <sheetViews>
    <sheetView topLeftCell="A19" workbookViewId="0">
      <selection activeCell="G15" sqref="G15"/>
    </sheetView>
  </sheetViews>
  <sheetFormatPr defaultRowHeight="14.4" x14ac:dyDescent="0.3"/>
  <cols>
    <col min="1" max="1" width="27.6640625" customWidth="1"/>
    <col min="2" max="2" width="24.44140625" customWidth="1"/>
    <col min="3" max="3" width="17.44140625" customWidth="1"/>
    <col min="4" max="4" width="16.21875" customWidth="1"/>
    <col min="5" max="5" width="18.44140625" customWidth="1"/>
    <col min="6" max="6" width="11.109375" customWidth="1"/>
    <col min="7" max="7" width="11.6640625" customWidth="1"/>
    <col min="8" max="8" width="11.88671875" customWidth="1"/>
  </cols>
  <sheetData>
    <row r="1" spans="1:11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11" x14ac:dyDescent="0.3">
      <c r="A2">
        <v>3.1415899999999999</v>
      </c>
      <c r="B2" s="4">
        <f>15.02348*1.6605655E-27</f>
        <v>2.4947472577939998E-26</v>
      </c>
      <c r="C2" s="4">
        <v>1.3806490000000001E-23</v>
      </c>
      <c r="D2" s="4">
        <v>6.6260701499999998E-34</v>
      </c>
      <c r="E2" s="4">
        <v>8.3144620000000007</v>
      </c>
      <c r="F2" s="4">
        <v>6.0221410000000001E+23</v>
      </c>
      <c r="G2">
        <v>29979300000</v>
      </c>
      <c r="H2">
        <f>Tabella3312[[#This Row],[Speed of Light '[cm/s']]]*POWER(10,-2)</f>
        <v>299793000</v>
      </c>
    </row>
    <row r="4" spans="1:11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</row>
    <row r="5" spans="1:11" x14ac:dyDescent="0.3">
      <c r="A5" s="1">
        <f>285.23645</f>
        <v>285.23644999999999</v>
      </c>
      <c r="B5" cm="1">
        <f t="array" ref="B5">((Tabella5017[[#This Row],[Rotational Constants '[Ghz']]]*1000000000)/Tabella3312[Speed of Light '[cm/s']])*100</f>
        <v>951.44466348447099</v>
      </c>
      <c r="C5" s="4" cm="1">
        <f t="array" ref="C5">Tabella3312[Planck h]/(8*POWER(Tabella3312[Pi Greco],2)*Tabella5017[[#This Row],[Rotational Constant '[m^-1']]]*Tabella3312[Speed of Light '[m/s']])</f>
        <v>2.9421310137861527E-47</v>
      </c>
      <c r="D5">
        <f>SQRT(PRODUCT(Tabella5017[Moments of Inertia]))</f>
        <v>2.2572665411511953E-70</v>
      </c>
      <c r="E5" s="4" cm="1">
        <f t="array" ref="E5">POWER(Tabella3312[Planck h],2)/(8*POWER(Tabella3312[Pi Greco],2)*Tabella1918[[#This Row],[Total Moment of Inertia]]*Tabella3312[Boltzmann k])</f>
        <v>1.7842550444727697E+24</v>
      </c>
      <c r="F5" s="4"/>
    </row>
    <row r="6" spans="1:11" x14ac:dyDescent="0.3">
      <c r="A6">
        <f>285.17019</f>
        <v>285.17018999999999</v>
      </c>
      <c r="B6" cm="1">
        <f t="array" ref="B6">((Tabella5017[[#This Row],[Rotational Constants '[Ghz']]]*1000000000)/Tabella3312[Speed of Light '[cm/s']])*100</f>
        <v>951.22364431457709</v>
      </c>
      <c r="C6" s="4" cm="1">
        <f t="array" ref="C6">Tabella3312[Planck h]/(8*POWER(Tabella3312[Pi Greco],2)*Tabella5017[[#This Row],[Rotational Constant '[m^-1']]]*Tabella3312[Speed of Light '[m/s']])</f>
        <v>2.94281462521473E-47</v>
      </c>
    </row>
    <row r="7" spans="1:11" x14ac:dyDescent="0.3">
      <c r="A7">
        <f>142.60221</f>
        <v>142.60221000000001</v>
      </c>
      <c r="B7" cm="1">
        <f t="array" ref="B7">((Tabella5017[[#This Row],[Rotational Constants '[Ghz']]]*1000000000)/Tabella3312[Speed of Light '[cm/s']])*100</f>
        <v>475.66891154896877</v>
      </c>
      <c r="C7" s="4" cm="1">
        <f t="array" ref="C7">Tabella3312[Planck h]/(8*POWER(Tabella3312[Pi Greco],2)*Tabella5017[[#This Row],[Rotational Constant '[m^-1']]]*Tabella3312[Speed of Light '[m/s']])</f>
        <v>5.8849228620458512E-47</v>
      </c>
    </row>
    <row r="9" spans="1:11" x14ac:dyDescent="0.3">
      <c r="E9" s="4"/>
    </row>
    <row r="10" spans="1:11" x14ac:dyDescent="0.3">
      <c r="A10" t="s">
        <v>23</v>
      </c>
    </row>
    <row r="11" spans="1:11" x14ac:dyDescent="0.3">
      <c r="A11">
        <v>1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</row>
    <row r="12" spans="1:11" x14ac:dyDescent="0.3">
      <c r="E12">
        <f>B14</f>
        <v>15771836918370.002</v>
      </c>
      <c r="F12">
        <f>B15</f>
        <v>42342427551840</v>
      </c>
      <c r="G12">
        <f>B16</f>
        <v>42355192737780</v>
      </c>
      <c r="H12">
        <f>B17</f>
        <v>93688268458980</v>
      </c>
      <c r="I12">
        <f>B18</f>
        <v>99093329391810</v>
      </c>
      <c r="J12">
        <f>B19</f>
        <v>99146965357440</v>
      </c>
    </row>
    <row r="13" spans="1:11" x14ac:dyDescent="0.3">
      <c r="A13" t="s">
        <v>33</v>
      </c>
      <c r="B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  <c r="J13" t="s">
        <v>41</v>
      </c>
      <c r="K13" t="s">
        <v>45</v>
      </c>
    </row>
    <row r="14" spans="1:11" x14ac:dyDescent="0.3">
      <c r="A14" s="5">
        <f>526.0909</f>
        <v>526.09090000000003</v>
      </c>
      <c r="B14" cm="1">
        <f t="array" ref="B14">Tabella4715[[#This Row],[Wavenumbers '[cm^-1']]]*Tabella3312[Speed of Light '[cm/s']]</f>
        <v>15771836918370.002</v>
      </c>
      <c r="D14">
        <v>298</v>
      </c>
      <c r="E14" s="4" cm="1">
        <f t="array" ref="E14">(EXP(-(Tabella3312[Planck h]*Tabella4916[Frequency1])/(2*Tabella3312[Boltzmann k]*Tabella82014[[#This Row],[Temperatura]])))/(1-EXP(-(Tabella3312[Planck h]*Tabella4916[Frequency1])/(Tabella3312[Boltzmann k]*Tabella82014[[#This Row],[Temperatura]])))</f>
        <v>0.30487083553720701</v>
      </c>
      <c r="F14" s="4" cm="1">
        <f t="array" ref="F14">(EXP(-(Tabella3312[Planck h]*Tabella4916[Frequency2])/(2*Tabella3312[Boltzmann k]*Tabella82014[[#This Row],[Temperatura]])))/(1-EXP(-(Tabella3312[Planck h]*Tabella4916[Frequency2])/(Tabella3312[Boltzmann k]*Tabella82014[[#This Row],[Temperatura]])))</f>
        <v>3.3090884494151179E-2</v>
      </c>
      <c r="G14" s="4" cm="1">
        <f t="array" ref="G14">(EXP(-(Tabella3312[Planck h]*Tabella4916[Frequency3])/(2*Tabella3312[Boltzmann k]*Tabella82014[[#This Row],[Temperatura]])))/(1-EXP(-(Tabella3312[Planck h]*Tabella4916[Frequency3])/(Tabella3312[Boltzmann k]*Tabella82014[[#This Row],[Temperatura]])))</f>
        <v>3.3056813375636582E-2</v>
      </c>
      <c r="H14" s="4" cm="1">
        <f t="array" ref="H14">(EXP(-(Tabella3312[Planck h]*Tabella4916[Frequency4])/(2*Tabella3312[Boltzmann k]*Tabella82014[[#This Row],[Temperatura]])))/(1-EXP(-(Tabella3312[Planck h]*Tabella4916[Frequency4])/(Tabella3312[Boltzmann k]*Tabella82014[[#This Row],[Temperatura]])))</f>
        <v>5.2918431181285563E-4</v>
      </c>
      <c r="I14" s="4" cm="1">
        <f t="array" ref="I14">(EXP(-(Tabella3312[Planck h]*Tabella4916[Frequency5])/(2*Tabella3312[Boltzmann k]*Tabella82014[[#This Row],[Temperatura]])))/(1-EXP(-(Tabella3312[Planck h]*Tabella4916[Frequency5])/(Tabella3312[Boltzmann k]*Tabella82014[[#This Row],[Temperatura]])))</f>
        <v>3.4244064658450058E-4</v>
      </c>
      <c r="J14" s="4" cm="1">
        <f t="array" ref="J14">(EXP(-(Tabella3312[Planck h]*Tabella4916[Frequency6])/(2*Tabella3312[Boltzmann k]*Tabella82014[[#This Row],[Temperatura]])))/(1-EXP(-(Tabella3312[Planck h]*Tabella4916[Frequency6])/(Tabella3312[Boltzmann k]*Tabella82014[[#This Row],[Temperatura]])))</f>
        <v>3.4096483647716002E-4</v>
      </c>
      <c r="K14" s="4">
        <f>PRODUCT(Tabella82014[[#This Row],[Qvib1]:[Qvib6]])</f>
        <v>2.0605687274281058E-14</v>
      </c>
    </row>
    <row r="15" spans="1:11" x14ac:dyDescent="0.3">
      <c r="A15" s="5">
        <f>1412.3888</f>
        <v>1412.3887999999999</v>
      </c>
      <c r="B15" cm="1">
        <f t="array" ref="B15">Tabella4715[[#This Row],[Wavenumbers '[cm^-1']]]*Tabella3312[Speed of Light '[cm/s']]</f>
        <v>42342427551840</v>
      </c>
      <c r="D15">
        <v>400</v>
      </c>
      <c r="E15" s="4" cm="1">
        <f t="array" ref="E15">(EXP(-(Tabella3312[Planck h]*Tabella4916[Frequency1])/(2*Tabella3312[Boltzmann k]*Tabella82014[[#This Row],[Temperatura]])))/(1-EXP(-(Tabella3312[Planck h]*Tabella4916[Frequency1])/(Tabella3312[Boltzmann k]*Tabella82014[[#This Row],[Temperatura]])))</f>
        <v>0.45712748932475705</v>
      </c>
      <c r="F15" s="4" cm="1">
        <f t="array" ref="F15">(EXP(-(Tabella3312[Planck h]*Tabella4916[Frequency2])/(2*Tabella3312[Boltzmann k]*Tabella82014[[#This Row],[Temperatura]])))/(1-EXP(-(Tabella3312[Planck h]*Tabella4916[Frequency2])/(Tabella3312[Boltzmann k]*Tabella82014[[#This Row],[Temperatura]])))</f>
        <v>7.9348359328157397E-2</v>
      </c>
      <c r="G15" s="4" cm="1">
        <f t="array" ref="G15">(EXP(-(Tabella3312[Planck h]*Tabella4916[Frequency3])/(2*Tabella3312[Boltzmann k]*Tabella82014[[#This Row],[Temperatura]])))/(1-EXP(-(Tabella3312[Planck h]*Tabella4916[Frequency3])/(Tabella3312[Boltzmann k]*Tabella82014[[#This Row],[Temperatura]])))</f>
        <v>7.9286859144648156E-2</v>
      </c>
      <c r="H15" s="4" cm="1">
        <f t="array" ref="H15">(EXP(-(Tabella3312[Planck h]*Tabella4916[Frequency4])/(2*Tabella3312[Boltzmann k]*Tabella82014[[#This Row],[Temperatura]])))/(1-EXP(-(Tabella3312[Planck h]*Tabella4916[Frequency4])/(Tabella3312[Boltzmann k]*Tabella82014[[#This Row],[Temperatura]])))</f>
        <v>3.623204075571913E-3</v>
      </c>
      <c r="I15" s="4" cm="1">
        <f t="array" ref="I15">(EXP(-(Tabella3312[Planck h]*Tabella4916[Frequency5])/(2*Tabella3312[Boltzmann k]*Tabella82014[[#This Row],[Temperatura]])))/(1-EXP(-(Tabella3312[Planck h]*Tabella4916[Frequency5])/(Tabella3312[Boltzmann k]*Tabella82014[[#This Row],[Temperatura]])))</f>
        <v>2.6198051860400785E-3</v>
      </c>
      <c r="J15" s="4" cm="1">
        <f t="array" ref="J15">(EXP(-(Tabella3312[Planck h]*Tabella4916[Frequency6])/(2*Tabella3312[Boltzmann k]*Tabella82014[[#This Row],[Temperatura]])))/(1-EXP(-(Tabella3312[Planck h]*Tabella4916[Frequency6])/(Tabella3312[Boltzmann k]*Tabella82014[[#This Row],[Temperatura]])))</f>
        <v>2.611389000965436E-3</v>
      </c>
      <c r="K15" s="4">
        <f>PRODUCT(Tabella82014[[#This Row],[Qvib1]:[Qvib6]])</f>
        <v>7.1286922782730874E-11</v>
      </c>
    </row>
    <row r="16" spans="1:11" x14ac:dyDescent="0.3">
      <c r="A16" s="5">
        <f>1412.8146</f>
        <v>1412.8145999999999</v>
      </c>
      <c r="B16" cm="1">
        <f t="array" ref="B16">Tabella4715[[#This Row],[Wavenumbers '[cm^-1']]]*Tabella3312[Speed of Light '[cm/s']]</f>
        <v>42355192737780</v>
      </c>
      <c r="D16">
        <v>500</v>
      </c>
      <c r="E16" s="4" cm="1">
        <f t="array" ref="E16">(EXP(-(Tabella3312[Planck h]*Tabella4916[Frequency1])/(2*Tabella3312[Boltzmann k]*Tabella82014[[#This Row],[Temperatura]])))/(1-EXP(-(Tabella3312[Planck h]*Tabella4916[Frequency1])/(Tabella3312[Boltzmann k]*Tabella82014[[#This Row],[Temperatura]])))</f>
        <v>0.60146242043621312</v>
      </c>
      <c r="F16" s="4" cm="1">
        <f t="array" ref="F16">(EXP(-(Tabella3312[Planck h]*Tabella4916[Frequency2])/(2*Tabella3312[Boltzmann k]*Tabella82014[[#This Row],[Temperatura]])))/(1-EXP(-(Tabella3312[Planck h]*Tabella4916[Frequency2])/(Tabella3312[Boltzmann k]*Tabella82014[[#This Row],[Temperatura]])))</f>
        <v>0.13334832025644083</v>
      </c>
      <c r="G16" s="4" cm="1">
        <f t="array" ref="G16">(EXP(-(Tabella3312[Planck h]*Tabella4916[Frequency3])/(2*Tabella3312[Boltzmann k]*Tabella82014[[#This Row],[Temperatura]])))/(1-EXP(-(Tabella3312[Planck h]*Tabella4916[Frequency3])/(Tabella3312[Boltzmann k]*Tabella82014[[#This Row],[Temperatura]])))</f>
        <v>0.13326379993603399</v>
      </c>
      <c r="H16" s="4" cm="1">
        <f t="array" ref="H16">(EXP(-(Tabella3312[Planck h]*Tabella4916[Frequency4])/(2*Tabella3312[Boltzmann k]*Tabella82014[[#This Row],[Temperatura]])))/(1-EXP(-(Tabella3312[Planck h]*Tabella4916[Frequency4])/(Tabella3312[Boltzmann k]*Tabella82014[[#This Row],[Temperatura]])))</f>
        <v>1.1151253037802804E-2</v>
      </c>
      <c r="I16" s="4" cm="1">
        <f t="array" ref="I16">(EXP(-(Tabella3312[Planck h]*Tabella4916[Frequency5])/(2*Tabella3312[Boltzmann k]*Tabella82014[[#This Row],[Temperatura]])))/(1-EXP(-(Tabella3312[Planck h]*Tabella4916[Frequency5])/(Tabella3312[Boltzmann k]*Tabella82014[[#This Row],[Temperatura]])))</f>
        <v>8.6029015309560027E-3</v>
      </c>
      <c r="J16" s="4" cm="1">
        <f t="array" ref="J16">(EXP(-(Tabella3312[Planck h]*Tabella4916[Frequency6])/(2*Tabella3312[Boltzmann k]*Tabella82014[[#This Row],[Temperatura]])))/(1-EXP(-(Tabella3312[Planck h]*Tabella4916[Frequency6])/(Tabella3312[Boltzmann k]*Tabella82014[[#This Row],[Temperatura]])))</f>
        <v>8.5807818434944887E-3</v>
      </c>
      <c r="K16" s="4">
        <f>PRODUCT(Tabella82014[[#This Row],[Qvib1]:[Qvib6]])</f>
        <v>8.798400421867837E-9</v>
      </c>
    </row>
    <row r="17" spans="1:11" x14ac:dyDescent="0.3">
      <c r="A17" s="5">
        <f>3125.0986</f>
        <v>3125.0985999999998</v>
      </c>
      <c r="B17" cm="1">
        <f t="array" ref="B17">Tabella4715[[#This Row],[Wavenumbers '[cm^-1']]]*Tabella3312[Speed of Light '[cm/s']]</f>
        <v>93688268458980</v>
      </c>
      <c r="D17">
        <v>600</v>
      </c>
      <c r="E17" s="4" cm="1">
        <f t="array" ref="E17">(EXP(-(Tabella3312[Planck h]*Tabella4916[Frequency1])/(2*Tabella3312[Boltzmann k]*Tabella82014[[#This Row],[Temperatura]])))/(1-EXP(-(Tabella3312[Planck h]*Tabella4916[Frequency1])/(Tabella3312[Boltzmann k]*Tabella82014[[#This Row],[Temperatura]])))</f>
        <v>0.74245407198578839</v>
      </c>
      <c r="F17" s="4" cm="1">
        <f t="array" ref="F17">(EXP(-(Tabella3312[Planck h]*Tabella4916[Frequency2])/(2*Tabella3312[Boltzmann k]*Tabella82014[[#This Row],[Temperatura]])))/(1-EXP(-(Tabella3312[Planck h]*Tabella4916[Frequency2])/(Tabella3312[Boltzmann k]*Tabella82014[[#This Row],[Temperatura]])))</f>
        <v>0.19032343021375475</v>
      </c>
      <c r="G17" s="4" cm="1">
        <f t="array" ref="G17">(EXP(-(Tabella3312[Planck h]*Tabella4916[Frequency3])/(2*Tabella3312[Boltzmann k]*Tabella82014[[#This Row],[Temperatura]])))/(1-EXP(-(Tabella3312[Planck h]*Tabella4916[Frequency3])/(Tabella3312[Boltzmann k]*Tabella82014[[#This Row],[Temperatura]])))</f>
        <v>0.19021949575653144</v>
      </c>
      <c r="H17" s="4" cm="1">
        <f t="array" ref="H17">(EXP(-(Tabella3312[Planck h]*Tabella4916[Frequency4])/(2*Tabella3312[Boltzmann k]*Tabella82014[[#This Row],[Temperatura]])))/(1-EXP(-(Tabella3312[Planck h]*Tabella4916[Frequency4])/(Tabella3312[Boltzmann k]*Tabella82014[[#This Row],[Temperatura]])))</f>
        <v>2.360296016613276E-2</v>
      </c>
      <c r="I17" s="4" cm="1">
        <f t="array" ref="I17">(EXP(-(Tabella3312[Planck h]*Tabella4916[Frequency5])/(2*Tabella3312[Boltzmann k]*Tabella82014[[#This Row],[Temperatura]])))/(1-EXP(-(Tabella3312[Planck h]*Tabella4916[Frequency5])/(Tabella3312[Boltzmann k]*Tabella82014[[#This Row],[Temperatura]])))</f>
        <v>1.9010821545241582E-2</v>
      </c>
      <c r="J17" s="4" cm="1">
        <f t="array" ref="J17">(EXP(-(Tabella3312[Planck h]*Tabella4916[Frequency6])/(2*Tabella3312[Boltzmann k]*Tabella82014[[#This Row],[Temperatura]])))/(1-EXP(-(Tabella3312[Planck h]*Tabella4916[Frequency6])/(Tabella3312[Boltzmann k]*Tabella82014[[#This Row],[Temperatura]])))</f>
        <v>1.8970055793640948E-2</v>
      </c>
      <c r="K17" s="4">
        <f>PRODUCT(Tabella82014[[#This Row],[Qvib1]:[Qvib6]])</f>
        <v>2.2879832608550541E-7</v>
      </c>
    </row>
    <row r="18" spans="1:11" x14ac:dyDescent="0.3">
      <c r="A18" s="5">
        <f>3305.3917</f>
        <v>3305.3917000000001</v>
      </c>
      <c r="B18" cm="1">
        <f t="array" ref="B18">Tabella4715[[#This Row],[Wavenumbers '[cm^-1']]]*Tabella3312[Speed of Light '[cm/s']]</f>
        <v>99093329391810</v>
      </c>
      <c r="D18">
        <v>700</v>
      </c>
      <c r="E18" s="4" cm="1">
        <f t="array" ref="E18">(EXP(-(Tabella3312[Planck h]*Tabella4916[Frequency1])/(2*Tabella3312[Boltzmann k]*Tabella82014[[#This Row],[Temperatura]])))/(1-EXP(-(Tabella3312[Planck h]*Tabella4916[Frequency1])/(Tabella3312[Boltzmann k]*Tabella82014[[#This Row],[Temperatura]])))</f>
        <v>0.8812250476778074</v>
      </c>
      <c r="F18" s="4" cm="1">
        <f t="array" ref="F18">(EXP(-(Tabella3312[Planck h]*Tabella4916[Frequency2])/(2*Tabella3312[Boltzmann k]*Tabella82014[[#This Row],[Temperatura]])))/(1-EXP(-(Tabella3312[Planck h]*Tabella4916[Frequency2])/(Tabella3312[Boltzmann k]*Tabella82014[[#This Row],[Temperatura]])))</f>
        <v>0.24781017402703079</v>
      </c>
      <c r="G18" s="4" cm="1">
        <f t="array" ref="G18">(EXP(-(Tabella3312[Planck h]*Tabella4916[Frequency3])/(2*Tabella3312[Boltzmann k]*Tabella82014[[#This Row],[Temperatura]])))/(1-EXP(-(Tabella3312[Planck h]*Tabella4916[Frequency3])/(Tabella3312[Boltzmann k]*Tabella82014[[#This Row],[Temperatura]])))</f>
        <v>0.24768918103148083</v>
      </c>
      <c r="H18" s="4" cm="1">
        <f t="array" ref="H18">(EXP(-(Tabella3312[Planck h]*Tabella4916[Frequency4])/(2*Tabella3312[Boltzmann k]*Tabella82014[[#This Row],[Temperatura]])))/(1-EXP(-(Tabella3312[Planck h]*Tabella4916[Frequency4])/(Tabella3312[Boltzmann k]*Tabella82014[[#This Row],[Temperatura]])))</f>
        <v>4.0355075744438716E-2</v>
      </c>
      <c r="I18" s="4" cm="1">
        <f t="array" ref="I18">(EXP(-(Tabella3312[Planck h]*Tabella4916[Frequency5])/(2*Tabella3312[Boltzmann k]*Tabella82014[[#This Row],[Temperatura]])))/(1-EXP(-(Tabella3312[Planck h]*Tabella4916[Frequency5])/(Tabella3312[Boltzmann k]*Tabella82014[[#This Row],[Temperatura]])))</f>
        <v>3.3512773959347278E-2</v>
      </c>
      <c r="J18" s="4" cm="1">
        <f t="array" ref="J18">(EXP(-(Tabella3312[Planck h]*Tabella4916[Frequency6])/(2*Tabella3312[Boltzmann k]*Tabella82014[[#This Row],[Temperatura]])))/(1-EXP(-(Tabella3312[Planck h]*Tabella4916[Frequency6])/(Tabella3312[Boltzmann k]*Tabella82014[[#This Row],[Temperatura]])))</f>
        <v>3.3451074317163425E-2</v>
      </c>
      <c r="K18" s="4">
        <f>PRODUCT(Tabella82014[[#This Row],[Qvib1]:[Qvib6]])</f>
        <v>2.4469867458679578E-6</v>
      </c>
    </row>
    <row r="19" spans="1:11" x14ac:dyDescent="0.3">
      <c r="A19" s="5">
        <f>3307.1808</f>
        <v>3307.1808000000001</v>
      </c>
      <c r="B19" cm="1">
        <f t="array" ref="B19">Tabella4715[[#This Row],[Wavenumbers '[cm^-1']]]*Tabella3312[Speed of Light '[cm/s']]</f>
        <v>99146965357440</v>
      </c>
      <c r="D19">
        <v>800</v>
      </c>
      <c r="E19" s="4" cm="1">
        <f t="array" ref="E19">(EXP(-(Tabella3312[Planck h]*Tabella4916[Frequency1])/(2*Tabella3312[Boltzmann k]*Tabella82014[[#This Row],[Temperatura]])))/(1-EXP(-(Tabella3312[Planck h]*Tabella4916[Frequency1])/(Tabella3312[Boltzmann k]*Tabella82014[[#This Row],[Temperatura]])))</f>
        <v>1.0184848370473583</v>
      </c>
      <c r="F19" s="4" cm="1">
        <f t="array" ref="F19">(EXP(-(Tabella3312[Planck h]*Tabella4916[Frequency2])/(2*Tabella3312[Boltzmann k]*Tabella82014[[#This Row],[Temperatura]])))/(1-EXP(-(Tabella3312[Planck h]*Tabella4916[Frequency2])/(Tabella3312[Boltzmann k]*Tabella82014[[#This Row],[Temperatura]])))</f>
        <v>0.30485021050697642</v>
      </c>
      <c r="G19" s="4" cm="1">
        <f t="array" ref="G19">(EXP(-(Tabella3312[Planck h]*Tabella4916[Frequency3])/(2*Tabella3312[Boltzmann k]*Tabella82014[[#This Row],[Temperatura]])))/(1-EXP(-(Tabella3312[Planck h]*Tabella4916[Frequency3])/(Tabella3312[Boltzmann k]*Tabella82014[[#This Row],[Temperatura]])))</f>
        <v>0.3047135390881815</v>
      </c>
      <c r="H19" s="4" cm="1">
        <f t="array" ref="H19">(EXP(-(Tabella3312[Planck h]*Tabella4916[Frequency4])/(2*Tabella3312[Boltzmann k]*Tabella82014[[#This Row],[Temperatura]])))/(1-EXP(-(Tabella3312[Planck h]*Tabella4916[Frequency4])/(Tabella3312[Boltzmann k]*Tabella82014[[#This Row],[Temperatura]])))</f>
        <v>6.041154209150431E-2</v>
      </c>
      <c r="I19" s="4" cm="1">
        <f t="array" ref="I19">(EXP(-(Tabella3312[Planck h]*Tabella4916[Frequency5])/(2*Tabella3312[Boltzmann k]*Tabella82014[[#This Row],[Temperatura]])))/(1-EXP(-(Tabella3312[Planck h]*Tabella4916[Frequency5])/(Tabella3312[Boltzmann k]*Tabella82014[[#This Row],[Temperatura]])))</f>
        <v>5.131829990999099E-2</v>
      </c>
      <c r="J19" s="4" cm="1">
        <f t="array" ref="J19">(EXP(-(Tabella3312[Planck h]*Tabella4916[Frequency6])/(2*Tabella3312[Boltzmann k]*Tabella82014[[#This Row],[Temperatura]])))/(1-EXP(-(Tabella3312[Planck h]*Tabella4916[Frequency6])/(Tabella3312[Boltzmann k]*Tabella82014[[#This Row],[Temperatura]])))</f>
        <v>5.1235371782739972E-2</v>
      </c>
      <c r="K19" s="4">
        <f>PRODUCT(Tabella82014[[#This Row],[Qvib1]:[Qvib6]])</f>
        <v>1.5027782214972769E-5</v>
      </c>
    </row>
    <row r="20" spans="1:11" x14ac:dyDescent="0.3">
      <c r="A20" s="5"/>
      <c r="D20">
        <v>900</v>
      </c>
      <c r="E20" s="4" cm="1">
        <f t="array" ref="E20">(EXP(-(Tabella3312[Planck h]*Tabella4916[Frequency1])/(2*Tabella3312[Boltzmann k]*Tabella82014[[#This Row],[Temperatura]])))/(1-EXP(-(Tabella3312[Planck h]*Tabella4916[Frequency1])/(Tabella3312[Boltzmann k]*Tabella82014[[#This Row],[Temperatura]])))</f>
        <v>1.1546821327350485</v>
      </c>
      <c r="F20" s="4" cm="1">
        <f t="array" ref="F20">(EXP(-(Tabella3312[Planck h]*Tabella4916[Frequency2])/(2*Tabella3312[Boltzmann k]*Tabella82014[[#This Row],[Temperatura]])))/(1-EXP(-(Tabella3312[Planck h]*Tabella4916[Frequency2])/(Tabella3312[Boltzmann k]*Tabella82014[[#This Row],[Temperatura]])))</f>
        <v>0.3611351320304656</v>
      </c>
      <c r="G20" s="4" cm="1">
        <f t="array" ref="G20">(EXP(-(Tabella3312[Planck h]*Tabella4916[Frequency3])/(2*Tabella3312[Boltzmann k]*Tabella82014[[#This Row],[Temperatura]])))/(1-EXP(-(Tabella3312[Planck h]*Tabella4916[Frequency3])/(Tabella3312[Boltzmann k]*Tabella82014[[#This Row],[Temperatura]])))</f>
        <v>0.36098355423775946</v>
      </c>
      <c r="H20" s="4" cm="1">
        <f t="array" ref="H20">(EXP(-(Tabella3312[Planck h]*Tabella4916[Frequency4])/(2*Tabella3312[Boltzmann k]*Tabella82014[[#This Row],[Temperatura]])))/(1-EXP(-(Tabella3312[Planck h]*Tabella4916[Frequency4])/(Tabella3312[Boltzmann k]*Tabella82014[[#This Row],[Temperatura]])))</f>
        <v>8.28129054471686E-2</v>
      </c>
      <c r="I20" s="4" cm="1">
        <f t="array" ref="I20">(EXP(-(Tabella3312[Planck h]*Tabella4916[Frequency5])/(2*Tabella3312[Boltzmann k]*Tabella82014[[#This Row],[Temperatura]])))/(1-EXP(-(Tabella3312[Planck h]*Tabella4916[Frequency5])/(Tabella3312[Boltzmann k]*Tabella82014[[#This Row],[Temperatura]])))</f>
        <v>7.1576547465905721E-2</v>
      </c>
      <c r="J20" s="4" cm="1">
        <f t="array" ref="J20">(EXP(-(Tabella3312[Planck h]*Tabella4916[Frequency6])/(2*Tabella3312[Boltzmann k]*Tabella82014[[#This Row],[Temperatura]])))/(1-EXP(-(Tabella3312[Planck h]*Tabella4916[Frequency6])/(Tabella3312[Boltzmann k]*Tabella82014[[#This Row],[Temperatura]])))</f>
        <v>7.1473220871881821E-2</v>
      </c>
      <c r="K20" s="4">
        <f>PRODUCT(Tabella82014[[#This Row],[Qvib1]:[Qvib6]])</f>
        <v>6.3772247603799441E-5</v>
      </c>
    </row>
    <row r="21" spans="1:11" x14ac:dyDescent="0.3">
      <c r="A21" s="5"/>
      <c r="D21">
        <v>1000</v>
      </c>
      <c r="E21" s="4" cm="1">
        <f t="array" ref="E21">(EXP(-(Tabella3312[Planck h]*Tabella4916[Frequency1])/(2*Tabella3312[Boltzmann k]*Tabella82014[[#This Row],[Temperatura]])))/(1-EXP(-(Tabella3312[Planck h]*Tabella4916[Frequency1])/(Tabella3312[Boltzmann k]*Tabella82014[[#This Row],[Temperatura]])))</f>
        <v>1.2901087303865564</v>
      </c>
      <c r="F21" s="4" cm="1">
        <f t="array" ref="F21">(EXP(-(Tabella3312[Planck h]*Tabella4916[Frequency2])/(2*Tabella3312[Boltzmann k]*Tabella82014[[#This Row],[Temperatura]])))/(1-EXP(-(Tabella3312[Planck h]*Tabella4916[Frequency2])/(Tabella3312[Boltzmann k]*Tabella82014[[#This Row],[Temperatura]])))</f>
        <v>0.41662063506250796</v>
      </c>
      <c r="G21" s="4" cm="1">
        <f t="array" ref="G21">(EXP(-(Tabella3312[Planck h]*Tabella4916[Frequency3])/(2*Tabella3312[Boltzmann k]*Tabella82014[[#This Row],[Temperatura]])))/(1-EXP(-(Tabella3312[Planck h]*Tabella4916[Frequency3])/(Tabella3312[Boltzmann k]*Tabella82014[[#This Row],[Temperatura]])))</f>
        <v>0.41645456833200833</v>
      </c>
      <c r="H21" s="4" cm="1">
        <f t="array" ref="H21">(EXP(-(Tabella3312[Planck h]*Tabella4916[Frequency4])/(2*Tabella3312[Boltzmann k]*Tabella82014[[#This Row],[Temperatura]])))/(1-EXP(-(Tabella3312[Planck h]*Tabella4916[Frequency4])/(Tabella3312[Boltzmann k]*Tabella82014[[#This Row],[Temperatura]])))</f>
        <v>0.10678355167435745</v>
      </c>
      <c r="I21" s="4" cm="1">
        <f t="array" ref="I21">(EXP(-(Tabella3312[Planck h]*Tabella4916[Frequency5])/(2*Tabella3312[Boltzmann k]*Tabella82014[[#This Row],[Temperatura]])))/(1-EXP(-(Tabella3312[Planck h]*Tabella4916[Frequency5])/(Tabella3312[Boltzmann k]*Tabella82014[[#This Row],[Temperatura]])))</f>
        <v>9.3553164918383253E-2</v>
      </c>
      <c r="J21" s="4" cm="1">
        <f t="array" ref="J21">(EXP(-(Tabella3312[Planck h]*Tabella4916[Frequency6])/(2*Tabella3312[Boltzmann k]*Tabella82014[[#This Row],[Temperatura]])))/(1-EXP(-(Tabella3312[Planck h]*Tabella4916[Frequency6])/(Tabella3312[Boltzmann k]*Tabella82014[[#This Row],[Temperatura]])))</f>
        <v>9.3430749688499903E-2</v>
      </c>
      <c r="K21" s="4">
        <f>PRODUCT(Tabella82014[[#This Row],[Qvib1]:[Qvib6]])</f>
        <v>2.0892355199216467E-4</v>
      </c>
    </row>
    <row r="22" spans="1:11" x14ac:dyDescent="0.3">
      <c r="A22" s="5"/>
      <c r="D22">
        <v>1100</v>
      </c>
      <c r="E22" s="4" cm="1">
        <f t="array" ref="E22">(EXP(-(Tabella3312[Planck h]*Tabella4916[Frequency1])/(2*Tabella3312[Boltzmann k]*Tabella82014[[#This Row],[Temperatura]])))/(1-EXP(-(Tabella3312[Planck h]*Tabella4916[Frequency1])/(Tabella3312[Boltzmann k]*Tabella82014[[#This Row],[Temperatura]])))</f>
        <v>1.4249606040975269</v>
      </c>
      <c r="F22" s="4" cm="1">
        <f t="array" ref="F22">(EXP(-(Tabella3312[Planck h]*Tabella4916[Frequency2])/(2*Tabella3312[Boltzmann k]*Tabella82014[[#This Row],[Temperatura]])))/(1-EXP(-(Tabella3312[Planck h]*Tabella4916[Frequency2])/(Tabella3312[Boltzmann k]*Tabella82014[[#This Row],[Temperatura]])))</f>
        <v>0.47136172590641445</v>
      </c>
      <c r="G22" s="4" cm="1">
        <f t="array" ref="G22">(EXP(-(Tabella3312[Planck h]*Tabella4916[Frequency3])/(2*Tabella3312[Boltzmann k]*Tabella82014[[#This Row],[Temperatura]])))/(1-EXP(-(Tabella3312[Planck h]*Tabella4916[Frequency3])/(Tabella3312[Boltzmann k]*Tabella82014[[#This Row],[Temperatura]])))</f>
        <v>0.47118138510676233</v>
      </c>
      <c r="H22" s="4" cm="1">
        <f t="array" ref="H22">(EXP(-(Tabella3312[Planck h]*Tabella4916[Frequency4])/(2*Tabella3312[Boltzmann k]*Tabella82014[[#This Row],[Temperatura]])))/(1-EXP(-(Tabella3312[Planck h]*Tabella4916[Frequency4])/(Tabella3312[Boltzmann k]*Tabella82014[[#This Row],[Temperatura]])))</f>
        <v>0.13174816659644964</v>
      </c>
      <c r="I22" s="4" cm="1">
        <f t="array" ref="I22">(EXP(-(Tabella3312[Planck h]*Tabella4916[Frequency5])/(2*Tabella3312[Boltzmann k]*Tabella82014[[#This Row],[Temperatura]])))/(1-EXP(-(Tabella3312[Planck h]*Tabella4916[Frequency5])/(Tabella3312[Boltzmann k]*Tabella82014[[#This Row],[Temperatura]])))</f>
        <v>0.11667629995792642</v>
      </c>
      <c r="J22" s="4" cm="1">
        <f t="array" ref="J22">(EXP(-(Tabella3312[Planck h]*Tabella4916[Frequency6])/(2*Tabella3312[Boltzmann k]*Tabella82014[[#This Row],[Temperatura]])))/(1-EXP(-(Tabella3312[Planck h]*Tabella4916[Frequency6])/(Tabella3312[Boltzmann k]*Tabella82014[[#This Row],[Temperatura]])))</f>
        <v>0.11653620316530007</v>
      </c>
      <c r="K22" s="4">
        <f>PRODUCT(Tabella82014[[#This Row],[Qvib1]:[Qvib6]])</f>
        <v>5.6693515820501633E-4</v>
      </c>
    </row>
    <row r="23" spans="1:11" x14ac:dyDescent="0.3">
      <c r="D23">
        <v>1200</v>
      </c>
      <c r="E23" s="4" cm="1">
        <f t="array" ref="E23">(EXP(-(Tabella3312[Planck h]*Tabella4916[Frequency1])/(2*Tabella3312[Boltzmann k]*Tabella82014[[#This Row],[Temperatura]])))/(1-EXP(-(Tabella3312[Planck h]*Tabella4916[Frequency1])/(Tabella3312[Boltzmann k]*Tabella82014[[#This Row],[Temperatura]])))</f>
        <v>1.5593734676304323</v>
      </c>
      <c r="F23" s="4" cm="1">
        <f t="array" ref="F23">(EXP(-(Tabella3312[Planck h]*Tabella4916[Frequency2])/(2*Tabella3312[Boltzmann k]*Tabella82014[[#This Row],[Temperatura]])))/(1-EXP(-(Tabella3312[Planck h]*Tabella4916[Frequency2])/(Tabella3312[Boltzmann k]*Tabella82014[[#This Row],[Temperatura]])))</f>
        <v>0.52544398168793094</v>
      </c>
      <c r="G23" s="4" cm="1">
        <f t="array" ref="G23">(EXP(-(Tabella3312[Planck h]*Tabella4916[Frequency3])/(2*Tabella3312[Boltzmann k]*Tabella82014[[#This Row],[Temperatura]])))/(1-EXP(-(Tabella3312[Planck h]*Tabella4916[Frequency3])/(Tabella3312[Boltzmann k]*Tabella82014[[#This Row],[Temperatura]])))</f>
        <v>0.52524946669952155</v>
      </c>
      <c r="H23" s="4" cm="1">
        <f t="array" ref="H23">(EXP(-(Tabella3312[Planck h]*Tabella4916[Frequency4])/(2*Tabella3312[Boltzmann k]*Tabella82014[[#This Row],[Temperatura]])))/(1-EXP(-(Tabella3312[Planck h]*Tabella4916[Frequency4])/(Tabella3312[Boltzmann k]*Tabella82014[[#This Row],[Temperatura]])))</f>
        <v>0.15730048758415596</v>
      </c>
      <c r="I23" s="4" cm="1">
        <f t="array" ref="I23">(EXP(-(Tabella3312[Planck h]*Tabella4916[Frequency5])/(2*Tabella3312[Boltzmann k]*Tabella82014[[#This Row],[Temperatura]])))/(1-EXP(-(Tabella3312[Planck h]*Tabella4916[Frequency5])/(Tabella3312[Boltzmann k]*Tabella82014[[#This Row],[Temperatura]])))</f>
        <v>0.1405253738902015</v>
      </c>
      <c r="J23" s="4" cm="1">
        <f t="array" ref="J23">(EXP(-(Tabella3312[Planck h]*Tabella4916[Frequency6])/(2*Tabella3312[Boltzmann k]*Tabella82014[[#This Row],[Temperatura]])))/(1-EXP(-(Tabella3312[Planck h]*Tabella4916[Frequency6])/(Tabella3312[Boltzmann k]*Tabella82014[[#This Row],[Temperatura]])))</f>
        <v>0.1403689073852131</v>
      </c>
      <c r="K23" s="4">
        <f>PRODUCT(Tabella82014[[#This Row],[Qvib1]:[Qvib6]])</f>
        <v>1.3353586392031371E-3</v>
      </c>
    </row>
    <row r="24" spans="1:11" x14ac:dyDescent="0.3">
      <c r="D24">
        <v>1300</v>
      </c>
      <c r="E24" s="4" cm="1">
        <f t="array" ref="E24">(EXP(-(Tabella3312[Planck h]*Tabella4916[Frequency1])/(2*Tabella3312[Boltzmann k]*Tabella82014[[#This Row],[Temperatura]])))/(1-EXP(-(Tabella3312[Planck h]*Tabella4916[Frequency1])/(Tabella3312[Boltzmann k]*Tabella82014[[#This Row],[Temperatura]])))</f>
        <v>1.6934439354346726</v>
      </c>
      <c r="F24" s="4" cm="1">
        <f t="array" ref="F24">(EXP(-(Tabella3312[Planck h]*Tabella4916[Frequency2])/(2*Tabella3312[Boltzmann k]*Tabella82014[[#This Row],[Temperatura]])))/(1-EXP(-(Tabella3312[Planck h]*Tabella4916[Frequency2])/(Tabella3312[Boltzmann k]*Tabella82014[[#This Row],[Temperatura]])))</f>
        <v>0.57895580171117877</v>
      </c>
      <c r="G24" s="4" cm="1">
        <f t="array" ref="G24">(EXP(-(Tabella3312[Planck h]*Tabella4916[Frequency3])/(2*Tabella3312[Boltzmann k]*Tabella82014[[#This Row],[Temperatura]])))/(1-EXP(-(Tabella3312[Planck h]*Tabella4916[Frequency3])/(Tabella3312[Boltzmann k]*Tabella82014[[#This Row],[Temperatura]])))</f>
        <v>0.57874714746363032</v>
      </c>
      <c r="H24" s="4" cm="1">
        <f t="array" ref="H24">(EXP(-(Tabella3312[Planck h]*Tabella4916[Frequency4])/(2*Tabella3312[Boltzmann k]*Tabella82014[[#This Row],[Temperatura]])))/(1-EXP(-(Tabella3312[Planck h]*Tabella4916[Frequency4])/(Tabella3312[Boltzmann k]*Tabella82014[[#This Row],[Temperatura]])))</f>
        <v>0.18316264047630065</v>
      </c>
      <c r="I24" s="4" cm="1">
        <f t="array" ref="I24">(EXP(-(Tabella3312[Planck h]*Tabella4916[Frequency5])/(2*Tabella3312[Boltzmann k]*Tabella82014[[#This Row],[Temperatura]])))/(1-EXP(-(Tabella3312[Planck h]*Tabella4916[Frequency5])/(Tabella3312[Boltzmann k]*Tabella82014[[#This Row],[Temperatura]])))</f>
        <v>0.16480187665318594</v>
      </c>
      <c r="J24" s="4" cm="1">
        <f t="array" ref="J24">(EXP(-(Tabella3312[Planck h]*Tabella4916[Frequency6])/(2*Tabella3312[Boltzmann k]*Tabella82014[[#This Row],[Temperatura]])))/(1-EXP(-(Tabella3312[Planck h]*Tabella4916[Frequency6])/(Tabella3312[Boltzmann k]*Tabella82014[[#This Row],[Temperatura]])))</f>
        <v>0.16463017907818586</v>
      </c>
      <c r="K24" s="4">
        <f>PRODUCT(Tabella82014[[#This Row],[Qvib1]:[Qvib6]])</f>
        <v>2.8197694180697825E-3</v>
      </c>
    </row>
    <row r="25" spans="1:11" x14ac:dyDescent="0.3">
      <c r="D25">
        <v>1400</v>
      </c>
      <c r="E25" s="4" cm="1">
        <f t="array" ref="E25">(EXP(-(Tabella3312[Planck h]*Tabella4916[Frequency1])/(2*Tabella3312[Boltzmann k]*Tabella82014[[#This Row],[Temperatura]])))/(1-EXP(-(Tabella3312[Planck h]*Tabella4916[Frequency1])/(Tabella3312[Boltzmann k]*Tabella82014[[#This Row],[Temperatura]])))</f>
        <v>1.8272424907415676</v>
      </c>
      <c r="F25" s="4" cm="1">
        <f t="array" ref="F25">(EXP(-(Tabella3312[Planck h]*Tabella4916[Frequency2])/(2*Tabella3312[Boltzmann k]*Tabella82014[[#This Row],[Temperatura]])))/(1-EXP(-(Tabella3312[Planck h]*Tabella4916[Frequency2])/(Tabella3312[Boltzmann k]*Tabella82014[[#This Row],[Temperatura]])))</f>
        <v>0.63197808088065177</v>
      </c>
      <c r="G25" s="4" cm="1">
        <f t="array" ref="G25">(EXP(-(Tabella3312[Planck h]*Tabella4916[Frequency3])/(2*Tabella3312[Boltzmann k]*Tabella82014[[#This Row],[Temperatura]])))/(1-EXP(-(Tabella3312[Planck h]*Tabella4916[Frequency3])/(Tabella3312[Boltzmann k]*Tabella82014[[#This Row],[Temperatura]])))</f>
        <v>0.63175528604217435</v>
      </c>
      <c r="H25" s="4" cm="1">
        <f t="array" ref="H25">(EXP(-(Tabella3312[Planck h]*Tabella4916[Frequency4])/(2*Tabella3312[Boltzmann k]*Tabella82014[[#This Row],[Temperatura]])))/(1-EXP(-(Tabella3312[Planck h]*Tabella4916[Frequency4])/(Tabella3312[Boltzmann k]*Tabella82014[[#This Row],[Temperatura]])))</f>
        <v>0.20914914711350499</v>
      </c>
      <c r="I25" s="4" cm="1">
        <f t="array" ref="I25">(EXP(-(Tabella3312[Planck h]*Tabella4916[Frequency5])/(2*Tabella3312[Boltzmann k]*Tabella82014[[#This Row],[Temperatura]])))/(1-EXP(-(Tabella3312[Planck h]*Tabella4916[Frequency5])/(Tabella3312[Boltzmann k]*Tabella82014[[#This Row],[Temperatura]])))</f>
        <v>0.18929917706650021</v>
      </c>
      <c r="J25" s="4" cm="1">
        <f t="array" ref="J25">(EXP(-(Tabella3312[Planck h]*Tabella4916[Frequency6])/(2*Tabella3312[Boltzmann k]*Tabella82014[[#This Row],[Temperatura]])))/(1-EXP(-(Tabella3312[Planck h]*Tabella4916[Frequency6])/(Tabella3312[Boltzmann k]*Tabella82014[[#This Row],[Temperatura]])))</f>
        <v>0.18911319697855336</v>
      </c>
      <c r="K25" s="4">
        <f>PRODUCT(Tabella82014[[#This Row],[Qvib1]:[Qvib6]])</f>
        <v>5.4622773307018155E-3</v>
      </c>
    </row>
    <row r="26" spans="1:11" x14ac:dyDescent="0.3">
      <c r="D26">
        <v>1500</v>
      </c>
      <c r="E26" s="4" cm="1">
        <f t="array" ref="E26">(EXP(-(Tabella3312[Planck h]*Tabella4916[Frequency1])/(2*Tabella3312[Boltzmann k]*Tabella82014[[#This Row],[Temperatura]])))/(1-EXP(-(Tabella3312[Planck h]*Tabella4916[Frequency1])/(Tabella3312[Boltzmann k]*Tabella82014[[#This Row],[Temperatura]])))</f>
        <v>1.9608216752815169</v>
      </c>
      <c r="F26" s="4" cm="1">
        <f t="array" ref="F26">(EXP(-(Tabella3312[Planck h]*Tabella4916[Frequency2])/(2*Tabella3312[Boltzmann k]*Tabella82014[[#This Row],[Temperatura]])))/(1-EXP(-(Tabella3312[Planck h]*Tabella4916[Frequency2])/(Tabella3312[Boltzmann k]*Tabella82014[[#This Row],[Temperatura]])))</f>
        <v>0.68458120917252141</v>
      </c>
      <c r="G26" s="4" cm="1">
        <f t="array" ref="G26">(EXP(-(Tabella3312[Planck h]*Tabella4916[Frequency3])/(2*Tabella3312[Boltzmann k]*Tabella82014[[#This Row],[Temperatura]])))/(1-EXP(-(Tabella3312[Planck h]*Tabella4916[Frequency3])/(Tabella3312[Boltzmann k]*Tabella82014[[#This Row],[Temperatura]])))</f>
        <v>0.6843442527079947</v>
      </c>
      <c r="H26" s="4" cm="1">
        <f t="array" ref="H26">(EXP(-(Tabella3312[Planck h]*Tabella4916[Frequency4])/(2*Tabella3312[Boltzmann k]*Tabella82014[[#This Row],[Temperatura]])))/(1-EXP(-(Tabella3312[Planck h]*Tabella4916[Frequency4])/(Tabella3312[Boltzmann k]*Tabella82014[[#This Row],[Temperatura]])))</f>
        <v>0.23513903740741313</v>
      </c>
      <c r="I26" s="4" cm="1">
        <f t="array" ref="I26">(EXP(-(Tabella3312[Planck h]*Tabella4916[Frequency5])/(2*Tabella3312[Boltzmann k]*Tabella82014[[#This Row],[Temperatura]])))/(1-EXP(-(Tabella3312[Planck h]*Tabella4916[Frequency5])/(Tabella3312[Boltzmann k]*Tabella82014[[#This Row],[Temperatura]])))</f>
        <v>0.21387718778400985</v>
      </c>
      <c r="J26" s="4" cm="1">
        <f t="array" ref="J26">(EXP(-(Tabella3312[Planck h]*Tabella4916[Frequency6])/(2*Tabella3312[Boltzmann k]*Tabella82014[[#This Row],[Temperatura]])))/(1-EXP(-(Tabella3312[Planck h]*Tabella4916[Frequency6])/(Tabella3312[Boltzmann k]*Tabella82014[[#This Row],[Temperatura]])))</f>
        <v>0.21367769569515502</v>
      </c>
      <c r="K26" s="4">
        <f>PRODUCT(Tabella82014[[#This Row],[Qvib1]:[Qvib6]])</f>
        <v>9.8715668325700719E-3</v>
      </c>
    </row>
    <row r="27" spans="1:11" x14ac:dyDescent="0.3">
      <c r="D27">
        <v>1600</v>
      </c>
      <c r="E27" s="4" cm="1">
        <f t="array" ref="E27">(EXP(-(Tabella3312[Planck h]*Tabella4916[Frequency1])/(2*Tabella3312[Boltzmann k]*Tabella82014[[#This Row],[Temperatura]])))/(1-EXP(-(Tabella3312[Planck h]*Tabella4916[Frequency1])/(Tabella3312[Boltzmann k]*Tabella82014[[#This Row],[Temperatura]])))</f>
        <v>2.0942214102964201</v>
      </c>
      <c r="F27" s="4" cm="1">
        <f t="array" ref="F27">(EXP(-(Tabella3312[Planck h]*Tabella4916[Frequency2])/(2*Tabella3312[Boltzmann k]*Tabella82014[[#This Row],[Temperatura]])))/(1-EXP(-(Tabella3312[Planck h]*Tabella4916[Frequency2])/(Tabella3312[Boltzmann k]*Tabella82014[[#This Row],[Temperatura]])))</f>
        <v>0.73682504239221736</v>
      </c>
      <c r="G27" s="4" cm="1">
        <f t="array" ref="G27">(EXP(-(Tabella3312[Planck h]*Tabella4916[Frequency3])/(2*Tabella3312[Boltzmann k]*Tabella82014[[#This Row],[Temperatura]])))/(1-EXP(-(Tabella3312[Planck h]*Tabella4916[Frequency3])/(Tabella3312[Boltzmann k]*Tabella82014[[#This Row],[Temperatura]])))</f>
        <v>0.73657389317028354</v>
      </c>
      <c r="H27" s="4" cm="1">
        <f t="array" ref="H27">(EXP(-(Tabella3312[Planck h]*Tabella4916[Frequency4])/(2*Tabella3312[Boltzmann k]*Tabella82014[[#This Row],[Temperatura]])))/(1-EXP(-(Tabella3312[Planck h]*Tabella4916[Frequency4])/(Tabella3312[Boltzmann k]*Tabella82014[[#This Row],[Temperatura]])))</f>
        <v>0.26105555676048015</v>
      </c>
      <c r="I27" s="4" cm="1">
        <f t="array" ref="I27">(EXP(-(Tabella3312[Planck h]*Tabella4916[Frequency5])/(2*Tabella3312[Boltzmann k]*Tabella82014[[#This Row],[Temperatura]])))/(1-EXP(-(Tabella3312[Planck h]*Tabella4916[Frequency5])/(Tabella3312[Boltzmann k]*Tabella82014[[#This Row],[Temperatura]])))</f>
        <v>0.23844292408635531</v>
      </c>
      <c r="J27" s="4" cm="1">
        <f t="array" ref="J27">(EXP(-(Tabella3312[Planck h]*Tabella4916[Frequency6])/(2*Tabella3312[Boltzmann k]*Tabella82014[[#This Row],[Temperatura]])))/(1-EXP(-(Tabella3312[Planck h]*Tabella4916[Frequency6])/(Tabella3312[Boltzmann k]*Tabella82014[[#This Row],[Temperatura]])))</f>
        <v>0.23823053578035788</v>
      </c>
      <c r="K27" s="4">
        <f>PRODUCT(Tabella82014[[#This Row],[Qvib1]:[Qvib6]])</f>
        <v>1.6854586540983693E-2</v>
      </c>
    </row>
    <row r="28" spans="1:11" x14ac:dyDescent="0.3">
      <c r="D28">
        <v>1700</v>
      </c>
      <c r="E28" s="4" cm="1">
        <f t="array" ref="E28">(EXP(-(Tabella3312[Planck h]*Tabella4916[Frequency1])/(2*Tabella3312[Boltzmann k]*Tabella82014[[#This Row],[Temperatura]])))/(1-EXP(-(Tabella3312[Planck h]*Tabella4916[Frequency1])/(Tabella3312[Boltzmann k]*Tabella82014[[#This Row],[Temperatura]])))</f>
        <v>2.2274725450007584</v>
      </c>
      <c r="F28" s="4" cm="1">
        <f t="array" ref="F28">(EXP(-(Tabella3312[Planck h]*Tabella4916[Frequency2])/(2*Tabella3312[Boltzmann k]*Tabella82014[[#This Row],[Temperatura]])))/(1-EXP(-(Tabella3312[Planck h]*Tabella4916[Frequency2])/(Tabella3312[Boltzmann k]*Tabella82014[[#This Row],[Temperatura]])))</f>
        <v>0.78875996340797372</v>
      </c>
      <c r="G28" s="4" cm="1">
        <f t="array" ref="G28">(EXP(-(Tabella3312[Planck h]*Tabella4916[Frequency3])/(2*Tabella3312[Boltzmann k]*Tabella82014[[#This Row],[Temperatura]])))/(1-EXP(-(Tabella3312[Planck h]*Tabella4916[Frequency3])/(Tabella3312[Boltzmann k]*Tabella82014[[#This Row],[Temperatura]])))</f>
        <v>0.78849458578065623</v>
      </c>
      <c r="H28" s="4" cm="1">
        <f t="array" ref="H28">(EXP(-(Tabella3312[Planck h]*Tabella4916[Frequency4])/(2*Tabella3312[Boltzmann k]*Tabella82014[[#This Row],[Temperatura]])))/(1-EXP(-(Tabella3312[Planck h]*Tabella4916[Frequency4])/(Tabella3312[Boltzmann k]*Tabella82014[[#This Row],[Temperatura]])))</f>
        <v>0.28685188255975408</v>
      </c>
      <c r="I28" s="4" cm="1">
        <f t="array" ref="I28">(EXP(-(Tabella3312[Planck h]*Tabella4916[Frequency5])/(2*Tabella3312[Boltzmann k]*Tabella82014[[#This Row],[Temperatura]])))/(1-EXP(-(Tabella3312[Planck h]*Tabella4916[Frequency5])/(Tabella3312[Boltzmann k]*Tabella82014[[#This Row],[Temperatura]])))</f>
        <v>0.26293625784723762</v>
      </c>
      <c r="J28" s="4" cm="1">
        <f t="array" ref="J28">(EXP(-(Tabella3312[Planck h]*Tabella4916[Frequency6])/(2*Tabella3312[Boltzmann k]*Tabella82014[[#This Row],[Temperatura]])))/(1-EXP(-(Tabella3312[Planck h]*Tabella4916[Frequency6])/(Tabella3312[Boltzmann k]*Tabella82014[[#This Row],[Temperatura]])))</f>
        <v>0.26271146006917639</v>
      </c>
      <c r="K28" s="4">
        <f>PRODUCT(Tabella82014[[#This Row],[Qvib1]:[Qvib6]])</f>
        <v>2.7450049616113796E-2</v>
      </c>
    </row>
    <row r="29" spans="1:11" x14ac:dyDescent="0.3">
      <c r="D29">
        <v>1800</v>
      </c>
      <c r="E29" s="4" cm="1">
        <f t="array" ref="E29">(EXP(-(Tabella3312[Planck h]*Tabella4916[Frequency1])/(2*Tabella3312[Boltzmann k]*Tabella82014[[#This Row],[Temperatura]])))/(1-EXP(-(Tabella3312[Planck h]*Tabella4916[Frequency1])/(Tabella3312[Boltzmann k]*Tabella82014[[#This Row],[Temperatura]])))</f>
        <v>2.3605992796244606</v>
      </c>
      <c r="F29" s="4" cm="1">
        <f t="array" ref="F29">(EXP(-(Tabella3312[Planck h]*Tabella4916[Frequency2])/(2*Tabella3312[Boltzmann k]*Tabella82014[[#This Row],[Temperatura]])))/(1-EXP(-(Tabella3312[Planck h]*Tabella4916[Frequency2])/(Tabella3312[Boltzmann k]*Tabella82014[[#This Row],[Temperatura]])))</f>
        <v>0.84042823313439785</v>
      </c>
      <c r="G29" s="4" cm="1">
        <f t="array" ref="G29">(EXP(-(Tabella3312[Planck h]*Tabella4916[Frequency3])/(2*Tabella3312[Boltzmann k]*Tabella82014[[#This Row],[Temperatura]])))/(1-EXP(-(Tabella3312[Planck h]*Tabella4916[Frequency3])/(Tabella3312[Boltzmann k]*Tabella82014[[#This Row],[Temperatura]])))</f>
        <v>0.84014859015721055</v>
      </c>
      <c r="H29" s="4" cm="1">
        <f t="array" ref="H29">(EXP(-(Tabella3312[Planck h]*Tabella4916[Frequency4])/(2*Tabella3312[Boltzmann k]*Tabella82014[[#This Row],[Temperatura]])))/(1-EXP(-(Tabella3312[Planck h]*Tabella4916[Frequency4])/(Tabella3312[Boltzmann k]*Tabella82014[[#This Row],[Temperatura]])))</f>
        <v>0.31250125355607555</v>
      </c>
      <c r="I29" s="4" cm="1">
        <f t="array" ref="I29">(EXP(-(Tabella3312[Planck h]*Tabella4916[Frequency5])/(2*Tabella3312[Boltzmann k]*Tabella82014[[#This Row],[Temperatura]])))/(1-EXP(-(Tabella3312[Planck h]*Tabella4916[Frequency5])/(Tabella3312[Boltzmann k]*Tabella82014[[#This Row],[Temperatura]])))</f>
        <v>0.28731974288053375</v>
      </c>
      <c r="J29" s="4" cm="1">
        <f t="array" ref="J29">(EXP(-(Tabella3312[Planck h]*Tabella4916[Frequency6])/(2*Tabella3312[Boltzmann k]*Tabella82014[[#This Row],[Temperatura]])))/(1-EXP(-(Tabella3312[Planck h]*Tabella4916[Frequency6])/(Tabella3312[Boltzmann k]*Tabella82014[[#This Row],[Temperatura]])))</f>
        <v>0.28708291734267744</v>
      </c>
      <c r="K29" s="4">
        <f>PRODUCT(Tabella82014[[#This Row],[Qvib1]:[Qvib6]])</f>
        <v>4.2963889462500418E-2</v>
      </c>
    </row>
    <row r="30" spans="1:11" x14ac:dyDescent="0.3">
      <c r="D30">
        <v>1900</v>
      </c>
      <c r="E30" s="4" cm="1">
        <f t="array" ref="E30">(EXP(-(Tabella3312[Planck h]*Tabella4916[Frequency1])/(2*Tabella3312[Boltzmann k]*Tabella82014[[#This Row],[Temperatura]])))/(1-EXP(-(Tabella3312[Planck h]*Tabella4916[Frequency1])/(Tabella3312[Boltzmann k]*Tabella82014[[#This Row],[Temperatura]])))</f>
        <v>2.493620855755871</v>
      </c>
      <c r="F30" s="4" cm="1">
        <f t="array" ref="F30">(EXP(-(Tabella3312[Planck h]*Tabella4916[Frequency2])/(2*Tabella3312[Boltzmann k]*Tabella82014[[#This Row],[Temperatura]])))/(1-EXP(-(Tabella3312[Planck h]*Tabella4916[Frequency2])/(Tabella3312[Boltzmann k]*Tabella82014[[#This Row],[Temperatura]])))</f>
        <v>0.8918653059763989</v>
      </c>
      <c r="G30" s="4" cm="1">
        <f t="array" ref="G30">(EXP(-(Tabella3312[Planck h]*Tabella4916[Frequency3])/(2*Tabella3312[Boltzmann k]*Tabella82014[[#This Row],[Temperatura]])))/(1-EXP(-(Tabella3312[Planck h]*Tabella4916[Frequency3])/(Tabella3312[Boltzmann k]*Tabella82014[[#This Row],[Temperatura]])))</f>
        <v>0.89157136123332648</v>
      </c>
      <c r="H30" s="4" cm="1">
        <f t="array" ref="H30">(EXP(-(Tabella3312[Planck h]*Tabella4916[Frequency4])/(2*Tabella3312[Boltzmann k]*Tabella82014[[#This Row],[Temperatura]])))/(1-EXP(-(Tabella3312[Planck h]*Tabella4916[Frequency4])/(Tabella3312[Boltzmann k]*Tabella82014[[#This Row],[Temperatura]])))</f>
        <v>0.33799021935415902</v>
      </c>
      <c r="I30" s="4" cm="1">
        <f t="array" ref="I30">(EXP(-(Tabella3312[Planck h]*Tabella4916[Frequency5])/(2*Tabella3312[Boltzmann k]*Tabella82014[[#This Row],[Temperatura]])))/(1-EXP(-(Tabella3312[Planck h]*Tabella4916[Frequency5])/(Tabella3312[Boltzmann k]*Tabella82014[[#This Row],[Temperatura]])))</f>
        <v>0.31157145453766127</v>
      </c>
      <c r="J30" s="4" cm="1">
        <f t="array" ref="J30">(EXP(-(Tabella3312[Planck h]*Tabella4916[Frequency6])/(2*Tabella3312[Boltzmann k]*Tabella82014[[#This Row],[Temperatura]])))/(1-EXP(-(Tabella3312[Planck h]*Tabella4916[Frequency6])/(Tabella3312[Boltzmann k]*Tabella82014[[#This Row],[Temperatura]])))</f>
        <v>0.31132289871257063</v>
      </c>
      <c r="K30" s="4">
        <f>PRODUCT(Tabella82014[[#This Row],[Qvib1]:[Qvib6]])</f>
        <v>6.5006781049736978E-2</v>
      </c>
    </row>
    <row r="31" spans="1:11" x14ac:dyDescent="0.3">
      <c r="D31">
        <v>2000</v>
      </c>
      <c r="E31" s="4" cm="1">
        <f t="array" ref="E31">(EXP(-(Tabella3312[Planck h]*Tabella4916[Frequency1])/(2*Tabella3312[Boltzmann k]*Tabella82014[[#This Row],[Temperatura]])))/(1-EXP(-(Tabella3312[Planck h]*Tabella4916[Frequency1])/(Tabella3312[Boltzmann k]*Tabella82014[[#This Row],[Temperatura]])))</f>
        <v>2.6265527585840718</v>
      </c>
      <c r="F31" s="4" cm="1">
        <f t="array" ref="F31">(EXP(-(Tabella3312[Planck h]*Tabella4916[Frequency2])/(2*Tabella3312[Boltzmann k]*Tabella82014[[#This Row],[Temperatura]])))/(1-EXP(-(Tabella3312[Planck h]*Tabella4916[Frequency2])/(Tabella3312[Boltzmann k]*Tabella82014[[#This Row],[Temperatura]])))</f>
        <v>0.94310099319551188</v>
      </c>
      <c r="G31" s="4" cm="1">
        <f t="array" ref="G31">(EXP(-(Tabella3312[Planck h]*Tabella4916[Frequency3])/(2*Tabella3312[Boltzmann k]*Tabella82014[[#This Row],[Temperatura]])))/(1-EXP(-(Tabella3312[Planck h]*Tabella4916[Frequency3])/(Tabella3312[Boltzmann k]*Tabella82014[[#This Row],[Temperatura]])))</f>
        <v>0.94279271179399937</v>
      </c>
      <c r="H31" s="4" cm="1">
        <f t="array" ref="H31">(EXP(-(Tabella3312[Planck h]*Tabella4916[Frequency4])/(2*Tabella3312[Boltzmann k]*Tabella82014[[#This Row],[Temperatura]])))/(1-EXP(-(Tabella3312[Planck h]*Tabella4916[Frequency4])/(Tabella3312[Boltzmann k]*Tabella82014[[#This Row],[Temperatura]])))</f>
        <v>0.36331405170093245</v>
      </c>
      <c r="I31" s="4" cm="1">
        <f t="array" ref="I31">(EXP(-(Tabella3312[Planck h]*Tabella4916[Frequency5])/(2*Tabella3312[Boltzmann k]*Tabella82014[[#This Row],[Temperatura]])))/(1-EXP(-(Tabella3312[Planck h]*Tabella4916[Frequency5])/(Tabella3312[Boltzmann k]*Tabella82014[[#This Row],[Temperatura]])))</f>
        <v>0.33567999386481678</v>
      </c>
      <c r="J31" s="4" cm="1">
        <f t="array" ref="J31">(EXP(-(Tabella3312[Planck h]*Tabella4916[Frequency6])/(2*Tabella3312[Boltzmann k]*Tabella82014[[#This Row],[Temperatura]])))/(1-EXP(-(Tabella3312[Planck h]*Tabella4916[Frequency6])/(Tabella3312[Boltzmann k]*Tabella82014[[#This Row],[Temperatura]])))</f>
        <v>0.3354199382705686</v>
      </c>
      <c r="K31" s="4">
        <f>PRODUCT(Tabella82014[[#This Row],[Qvib1]:[Qvib6]])</f>
        <v>9.5533805090806626E-2</v>
      </c>
    </row>
    <row r="33" spans="1:10" x14ac:dyDescent="0.3">
      <c r="A33" t="s">
        <v>35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I33" s="6" t="s">
        <v>35</v>
      </c>
      <c r="J33" s="6" t="s">
        <v>45</v>
      </c>
    </row>
    <row r="34" spans="1:10" x14ac:dyDescent="0.3">
      <c r="A34">
        <v>298</v>
      </c>
      <c r="B34" s="4" cm="1">
        <f t="array" ref="B34">(Tabella3312[Boltzmann k]*Tabella51820[[#This Row],[Temperatura]])/101325</f>
        <v>4.0605319713792254E-26</v>
      </c>
      <c r="C34" s="4" cm="1">
        <f t="array" ref="C34">POWER((2*Tabella3312[Pi Greco]*Tabella3312[Massa]*Tabella3312[Boltzmann k]*Tabella51820[[#This Row],[Temperatura]])/(POWER(Tabella3312[Planck h],2)),1.5)*Tabella51820[[#This Row],[Volume]]</f>
        <v>2285984.3315224904</v>
      </c>
      <c r="D34" s="4">
        <f t="shared" ref="D34:D51" si="0">K14</f>
        <v>2.0605687274281058E-14</v>
      </c>
      <c r="E34" s="4" cm="1">
        <f t="array" ref="E34">(8*POWER(Tabella3312[Pi Greco],2)*POWER(2*Tabella3312[Pi Greco]*Tabella3312[Boltzmann k]*Tabella51820[[#This Row],[Temperatura]],1.5)*Tabella1918[Total Moment of Inertia])/(Tabella61913[Simmetry Number]*POWER(Tabella3312[Planck h],3))</f>
        <v>254.63747962552907</v>
      </c>
      <c r="F34">
        <f>1</f>
        <v>1</v>
      </c>
      <c r="I34" s="7">
        <v>298</v>
      </c>
      <c r="J34" s="7">
        <f>PRODUCT(Tabella51820[[#This Row],[Qtrasl]:[Qel]])</f>
        <v>1.1994514692970909E-5</v>
      </c>
    </row>
    <row r="35" spans="1:10" x14ac:dyDescent="0.3">
      <c r="A35">
        <v>400</v>
      </c>
      <c r="B35" s="4" cm="1">
        <f t="array" ref="B35">(Tabella3312[Boltzmann k]*Tabella51820[[#This Row],[Temperatura]])/101325</f>
        <v>5.4503784850727862E-26</v>
      </c>
      <c r="C35" s="4" cm="1">
        <f t="array" ref="C35">POWER((2*Tabella3312[Pi Greco]*Tabella3312[Massa]*Tabella3312[Boltzmann k]*Tabella51820[[#This Row],[Temperatura]])/(POWER(Tabella3312[Planck h],2)),1.5)*Tabella51820[[#This Row],[Volume]]</f>
        <v>4771803.6768852985</v>
      </c>
      <c r="D35" s="4">
        <f t="shared" si="0"/>
        <v>7.1286922782730874E-11</v>
      </c>
      <c r="E35" s="4" cm="1">
        <f t="array" ref="E35">(8*POWER(Tabella3312[Pi Greco],2)*POWER(2*Tabella3312[Pi Greco]*Tabella3312[Boltzmann k]*Tabella51820[[#This Row],[Temperatura]],1.5)*Tabella1918[Total Moment of Inertia])/(Tabella61913[Simmetry Number]*POWER(Tabella3312[Planck h],3))</f>
        <v>395.9933729081086</v>
      </c>
      <c r="F35">
        <f>1</f>
        <v>1</v>
      </c>
      <c r="I35" s="7">
        <v>400</v>
      </c>
      <c r="J35" s="7">
        <f>PRODUCT(Tabella51820[[#This Row],[Qtrasl]:[Qel]])</f>
        <v>0.13470395697910101</v>
      </c>
    </row>
    <row r="36" spans="1:10" x14ac:dyDescent="0.3">
      <c r="A36">
        <v>500</v>
      </c>
      <c r="B36" s="4" cm="1">
        <f t="array" ref="B36">(Tabella3312[Boltzmann k]*Tabella51820[[#This Row],[Temperatura]])/101325</f>
        <v>6.8129731063409828E-26</v>
      </c>
      <c r="C36" s="4" cm="1">
        <f t="array" ref="C36">POWER((2*Tabella3312[Pi Greco]*Tabella3312[Massa]*Tabella3312[Boltzmann k]*Tabella51820[[#This Row],[Temperatura]])/(POWER(Tabella3312[Planck h],2)),1.5)*Tabella51820[[#This Row],[Volume]]</f>
        <v>8335997.9662492406</v>
      </c>
      <c r="D36" s="4">
        <f t="shared" si="0"/>
        <v>8.798400421867837E-9</v>
      </c>
      <c r="E36" s="4" cm="1">
        <f t="array" ref="E36">(8*POWER(Tabella3312[Pi Greco],2)*POWER(2*Tabella3312[Pi Greco]*Tabella3312[Boltzmann k]*Tabella51820[[#This Row],[Temperatura]],1.5)*Tabella1918[Total Moment of Inertia])/(Tabella61913[Simmetry Number]*POWER(Tabella3312[Planck h],3))</f>
        <v>553.41756278871685</v>
      </c>
      <c r="F36">
        <f>1</f>
        <v>1</v>
      </c>
      <c r="I36" s="7">
        <v>500</v>
      </c>
      <c r="J36" s="7">
        <f>PRODUCT(Tabella51820[[#This Row],[Qtrasl]:[Qel]])</f>
        <v>40.589552251374592</v>
      </c>
    </row>
    <row r="37" spans="1:10" x14ac:dyDescent="0.3">
      <c r="A37">
        <v>600</v>
      </c>
      <c r="B37" s="4" cm="1">
        <f t="array" ref="B37">(Tabella3312[Boltzmann k]*Tabella51820[[#This Row],[Temperatura]])/101325</f>
        <v>8.1755677276091782E-26</v>
      </c>
      <c r="C37" s="4" cm="1">
        <f t="array" ref="C37">POWER((2*Tabella3312[Pi Greco]*Tabella3312[Massa]*Tabella3312[Boltzmann k]*Tabella51820[[#This Row],[Temperatura]])/(POWER(Tabella3312[Planck h],2)),1.5)*Tabella51820[[#This Row],[Volume]]</f>
        <v>13149544.681243893</v>
      </c>
      <c r="D37" s="4">
        <f t="shared" si="0"/>
        <v>2.2879832608550541E-7</v>
      </c>
      <c r="E37" s="4" cm="1">
        <f t="array" ref="E37">(8*POWER(Tabella3312[Pi Greco],2)*POWER(2*Tabella3312[Pi Greco]*Tabella3312[Boltzmann k]*Tabella51820[[#This Row],[Temperatura]],1.5)*Tabella1918[Total Moment of Inertia])/(Tabella61913[Simmetry Number]*POWER(Tabella3312[Planck h],3))</f>
        <v>727.48627886139002</v>
      </c>
      <c r="F37">
        <f>1</f>
        <v>1</v>
      </c>
      <c r="I37" s="7">
        <v>600</v>
      </c>
      <c r="J37" s="7">
        <f>PRODUCT(Tabella51820[[#This Row],[Qtrasl]:[Qel]])</f>
        <v>2188.7107167919175</v>
      </c>
    </row>
    <row r="38" spans="1:10" x14ac:dyDescent="0.3">
      <c r="A38">
        <v>700</v>
      </c>
      <c r="B38" s="4" cm="1">
        <f t="array" ref="B38">(Tabella3312[Boltzmann k]*Tabella51820[[#This Row],[Temperatura]])/101325</f>
        <v>9.5381623488773759E-26</v>
      </c>
      <c r="C38" s="4" cm="1">
        <f t="array" ref="C38">POWER((2*Tabella3312[Pi Greco]*Tabella3312[Massa]*Tabella3312[Boltzmann k]*Tabella51820[[#This Row],[Temperatura]])/(POWER(Tabella3312[Planck h],2)),1.5)*Tabella51820[[#This Row],[Volume]]</f>
        <v>19332040.183714014</v>
      </c>
      <c r="D38" s="4">
        <f t="shared" si="0"/>
        <v>2.4469867458679578E-6</v>
      </c>
      <c r="E38" s="4" cm="1">
        <f t="array" ref="E38">(8*POWER(Tabella3312[Pi Greco],2)*POWER(2*Tabella3312[Pi Greco]*Tabella3312[Boltzmann k]*Tabella51820[[#This Row],[Temperatura]],1.5)*Tabella1918[Total Moment of Inertia])/(Tabella61913[Simmetry Number]*POWER(Tabella3312[Planck h],3))</f>
        <v>916.73748735144727</v>
      </c>
      <c r="F38">
        <f>1</f>
        <v>1</v>
      </c>
      <c r="I38" s="7">
        <v>700</v>
      </c>
      <c r="J38" s="7">
        <f>PRODUCT(Tabella51820[[#This Row],[Qtrasl]:[Qel]])</f>
        <v>43366.492448379562</v>
      </c>
    </row>
    <row r="39" spans="1:10" x14ac:dyDescent="0.3">
      <c r="A39">
        <v>800</v>
      </c>
      <c r="B39" s="4" cm="1">
        <f t="array" ref="B39">(Tabella3312[Boltzmann k]*Tabella51820[[#This Row],[Temperatura]])/101325</f>
        <v>1.0900756970145572E-25</v>
      </c>
      <c r="C39" s="4" cm="1">
        <f t="array" ref="C39">POWER((2*Tabella3312[Pi Greco]*Tabella3312[Massa]*Tabella3312[Boltzmann k]*Tabella51820[[#This Row],[Temperatura]])/(POWER(Tabella3312[Planck h],2)),1.5)*Tabella51820[[#This Row],[Volume]]</f>
        <v>26993397.90733204</v>
      </c>
      <c r="D39" s="4">
        <f t="shared" si="0"/>
        <v>1.5027782214972769E-5</v>
      </c>
      <c r="E39" s="4" cm="1">
        <f t="array" ref="E39">(8*POWER(Tabella3312[Pi Greco],2)*POWER(2*Tabella3312[Pi Greco]*Tabella3312[Boltzmann k]*Tabella51820[[#This Row],[Temperatura]],1.5)*Tabella1918[Total Moment of Inertia])/(Tabella61913[Simmetry Number]*POWER(Tabella3312[Planck h],3))</f>
        <v>1120.0383971530148</v>
      </c>
      <c r="F39">
        <f>1</f>
        <v>1</v>
      </c>
      <c r="I39" s="7">
        <v>800</v>
      </c>
      <c r="J39" s="7">
        <f>PRODUCT(Tabella51820[[#This Row],[Qtrasl]:[Qel]])</f>
        <v>454344.58943257574</v>
      </c>
    </row>
    <row r="40" spans="1:10" x14ac:dyDescent="0.3">
      <c r="A40">
        <v>900</v>
      </c>
      <c r="B40" s="4" cm="1">
        <f t="array" ref="B40">(Tabella3312[Boltzmann k]*Tabella51820[[#This Row],[Temperatura]])/101325</f>
        <v>1.2263351591413768E-25</v>
      </c>
      <c r="C40" s="4" cm="1">
        <f t="array" ref="C40">POWER((2*Tabella3312[Pi Greco]*Tabella3312[Massa]*Tabella3312[Boltzmann k]*Tabella51820[[#This Row],[Temperatura]])/(POWER(Tabella3312[Planck h],2)),1.5)*Tabella51820[[#This Row],[Volume]]</f>
        <v>36235884.171347789</v>
      </c>
      <c r="D40" s="4">
        <f t="shared" si="0"/>
        <v>6.3772247603799441E-5</v>
      </c>
      <c r="E40" s="4" cm="1">
        <f t="array" ref="E40">(8*POWER(Tabella3312[Pi Greco],2)*POWER(2*Tabella3312[Pi Greco]*Tabella3312[Boltzmann k]*Tabella51820[[#This Row],[Temperatura]],1.5)*Tabella1918[Total Moment of Inertia])/(Tabella61913[Simmetry Number]*POWER(Tabella3312[Planck h],3))</f>
        <v>1336.4776335648498</v>
      </c>
      <c r="F40">
        <f>1</f>
        <v>1</v>
      </c>
      <c r="I40" s="7">
        <v>900</v>
      </c>
      <c r="J40" s="7">
        <f>PRODUCT(Tabella51820[[#This Row],[Qtrasl]:[Qel]])</f>
        <v>3088391.023315032</v>
      </c>
    </row>
    <row r="41" spans="1:10" x14ac:dyDescent="0.3">
      <c r="A41">
        <v>1000</v>
      </c>
      <c r="B41" s="4" cm="1">
        <f t="array" ref="B41">(Tabella3312[Boltzmann k]*Tabella51820[[#This Row],[Temperatura]])/101325</f>
        <v>1.3625946212681966E-25</v>
      </c>
      <c r="C41" s="4" cm="1">
        <f t="array" ref="C41">POWER((2*Tabella3312[Pi Greco]*Tabella3312[Massa]*Tabella3312[Boltzmann k]*Tabella51820[[#This Row],[Temperatura]])/(POWER(Tabella3312[Planck h],2)),1.5)*Tabella51820[[#This Row],[Volume]]</f>
        <v>47155525.519136995</v>
      </c>
      <c r="D41" s="4">
        <f t="shared" si="0"/>
        <v>2.0892355199216467E-4</v>
      </c>
      <c r="E41" s="4" cm="1">
        <f t="array" ref="E41">(8*POWER(Tabella3312[Pi Greco],2)*POWER(2*Tabella3312[Pi Greco]*Tabella3312[Boltzmann k]*Tabella51820[[#This Row],[Temperatura]],1.5)*Tabella1918[Total Moment of Inertia])/(Tabella61913[Simmetry Number]*POWER(Tabella3312[Planck h],3))</f>
        <v>1565.3012459025167</v>
      </c>
      <c r="F41">
        <f>1</f>
        <v>1</v>
      </c>
      <c r="I41" s="7">
        <v>1000</v>
      </c>
      <c r="J41" s="7">
        <f>PRODUCT(Tabella51820[[#This Row],[Qtrasl]:[Qel]])</f>
        <v>15421191.168434512</v>
      </c>
    </row>
    <row r="42" spans="1:10" x14ac:dyDescent="0.3">
      <c r="A42">
        <v>1100</v>
      </c>
      <c r="B42" s="4" cm="1">
        <f t="array" ref="B42">(Tabella3312[Boltzmann k]*Tabella51820[[#This Row],[Temperatura]])/101325</f>
        <v>1.4988540833950161E-25</v>
      </c>
      <c r="C42" s="4" cm="1">
        <f t="array" ref="C42">POWER((2*Tabella3312[Pi Greco]*Tabella3312[Massa]*Tabella3312[Boltzmann k]*Tabella51820[[#This Row],[Temperatura]])/(POWER(Tabella3312[Planck h],2)),1.5)*Tabella51820[[#This Row],[Volume]]</f>
        <v>59843130.209547341</v>
      </c>
      <c r="D42" s="4">
        <f t="shared" si="0"/>
        <v>5.6693515820501633E-4</v>
      </c>
      <c r="E42" s="4" cm="1">
        <f t="array" ref="E42">(8*POWER(Tabella3312[Pi Greco],2)*POWER(2*Tabella3312[Pi Greco]*Tabella3312[Boltzmann k]*Tabella51820[[#This Row],[Temperatura]],1.5)*Tabella1918[Total Moment of Inertia])/(Tabella61913[Simmetry Number]*POWER(Tabella3312[Planck h],3))</f>
        <v>1805.8719764297659</v>
      </c>
      <c r="F42">
        <f>1</f>
        <v>1</v>
      </c>
      <c r="I42" s="7">
        <v>1100</v>
      </c>
      <c r="J42" s="7">
        <f>PRODUCT(Tabella51820[[#This Row],[Qtrasl]:[Qel]])</f>
        <v>61268133.656050071</v>
      </c>
    </row>
    <row r="43" spans="1:10" x14ac:dyDescent="0.3">
      <c r="A43">
        <v>1200</v>
      </c>
      <c r="B43" s="4" cm="1">
        <f t="array" ref="B43">(Tabella3312[Boltzmann k]*Tabella51820[[#This Row],[Temperatura]])/101325</f>
        <v>1.6351135455218356E-25</v>
      </c>
      <c r="C43" s="4" cm="1">
        <f t="array" ref="C43">POWER((2*Tabella3312[Pi Greco]*Tabella3312[Massa]*Tabella3312[Boltzmann k]*Tabella51820[[#This Row],[Temperatura]])/(POWER(Tabella3312[Planck h],2)),1.5)*Tabella51820[[#This Row],[Volume]]</f>
        <v>74385057.708984643</v>
      </c>
      <c r="D43" s="4">
        <f t="shared" si="0"/>
        <v>1.3353586392031371E-3</v>
      </c>
      <c r="E43" s="4" cm="1">
        <f t="array" ref="E43">(8*POWER(Tabella3312[Pi Greco],2)*POWER(2*Tabella3312[Pi Greco]*Tabella3312[Boltzmann k]*Tabella51820[[#This Row],[Temperatura]],1.5)*Tabella1918[Total Moment of Inertia])/(Tabella61913[Simmetry Number]*POWER(Tabella3312[Planck h],3))</f>
        <v>2057.6419240122323</v>
      </c>
      <c r="F43">
        <f>1</f>
        <v>1</v>
      </c>
      <c r="I43" s="7">
        <v>1200</v>
      </c>
      <c r="J43" s="7">
        <f>PRODUCT(Tabella51820[[#This Row],[Qtrasl]:[Qel]])</f>
        <v>204387073.23705378</v>
      </c>
    </row>
    <row r="44" spans="1:10" x14ac:dyDescent="0.3">
      <c r="A44">
        <v>1300</v>
      </c>
      <c r="B44" s="4" cm="1">
        <f t="array" ref="B44">(Tabella3312[Boltzmann k]*Tabella51820[[#This Row],[Temperatura]])/101325</f>
        <v>1.7713730076486554E-25</v>
      </c>
      <c r="C44" s="4" cm="1">
        <f t="array" ref="C44">POWER((2*Tabella3312[Pi Greco]*Tabella3312[Massa]*Tabella3312[Boltzmann k]*Tabella51820[[#This Row],[Temperatura]])/(POWER(Tabella3312[Planck h],2)),1.5)*Tabella51820[[#This Row],[Volume]]</f>
        <v>90863815.589198679</v>
      </c>
      <c r="D44" s="4">
        <f t="shared" si="0"/>
        <v>2.8197694180697825E-3</v>
      </c>
      <c r="E44" s="4" cm="1">
        <f t="array" ref="E44">(8*POWER(Tabella3312[Pi Greco],2)*POWER(2*Tabella3312[Pi Greco]*Tabella3312[Boltzmann k]*Tabella51820[[#This Row],[Temperatura]],1.5)*Tabella1918[Total Moment of Inertia])/(Tabella61913[Simmetry Number]*POWER(Tabella3312[Planck h],3))</f>
        <v>2320.1334174916528</v>
      </c>
      <c r="F44">
        <f>1</f>
        <v>1</v>
      </c>
      <c r="I44" s="7">
        <v>1300</v>
      </c>
      <c r="J44" s="7">
        <f>PRODUCT(Tabella51820[[#This Row],[Qtrasl]:[Qel]])</f>
        <v>594453003.06927264</v>
      </c>
    </row>
    <row r="45" spans="1:10" x14ac:dyDescent="0.3">
      <c r="A45">
        <v>1400</v>
      </c>
      <c r="B45" s="4" cm="1">
        <f t="array" ref="B45">(Tabella3312[Boltzmann k]*Tabella51820[[#This Row],[Temperatura]])/101325</f>
        <v>1.9076324697754752E-25</v>
      </c>
      <c r="C45" s="4" cm="1">
        <f t="array" ref="C45">POWER((2*Tabella3312[Pi Greco]*Tabella3312[Massa]*Tabella3312[Boltzmann k]*Tabella51820[[#This Row],[Temperatura]])/(POWER(Tabella3312[Planck h],2)),1.5)*Tabella51820[[#This Row],[Volume]]</f>
        <v>109358533.66459882</v>
      </c>
      <c r="D45" s="4">
        <f t="shared" si="0"/>
        <v>5.4622773307018155E-3</v>
      </c>
      <c r="E45" s="4" cm="1">
        <f t="array" ref="E45">(8*POWER(Tabella3312[Pi Greco],2)*POWER(2*Tabella3312[Pi Greco]*Tabella3312[Boltzmann k]*Tabella51820[[#This Row],[Temperatura]],1.5)*Tabella1918[Total Moment of Inertia])/(Tabella61913[Simmetry Number]*POWER(Tabella3312[Planck h],3))</f>
        <v>2592.9251754965085</v>
      </c>
      <c r="F45">
        <f>1</f>
        <v>1</v>
      </c>
      <c r="I45" s="7">
        <v>1400</v>
      </c>
      <c r="J45" s="7">
        <f>PRODUCT(Tabella51820[[#This Row],[Qtrasl]:[Qel]])</f>
        <v>1548875139.6816299</v>
      </c>
    </row>
    <row r="46" spans="1:10" x14ac:dyDescent="0.3">
      <c r="A46">
        <v>1500</v>
      </c>
      <c r="B46" s="4" cm="1">
        <f t="array" ref="B46">(Tabella3312[Boltzmann k]*Tabella51820[[#This Row],[Temperatura]])/101325</f>
        <v>2.0438919319022949E-25</v>
      </c>
      <c r="C46" s="4" cm="1">
        <f t="array" ref="C46">POWER((2*Tabella3312[Pi Greco]*Tabella3312[Massa]*Tabella3312[Boltzmann k]*Tabella51820[[#This Row],[Temperatura]])/(POWER(Tabella3312[Planck h],2)),1.5)*Tabella51820[[#This Row],[Volume]]</f>
        <v>129945348.08401021</v>
      </c>
      <c r="D46" s="4">
        <f t="shared" si="0"/>
        <v>9.8715668325700719E-3</v>
      </c>
      <c r="E46" s="4" cm="1">
        <f t="array" ref="E46">(8*POWER(Tabella3312[Pi Greco],2)*POWER(2*Tabella3312[Pi Greco]*Tabella3312[Boltzmann k]*Tabella51820[[#This Row],[Temperatura]],1.5)*Tabella1918[Total Moment of Inertia])/(Tabella61913[Simmetry Number]*POWER(Tabella3312[Planck h],3))</f>
        <v>2875.6420096529805</v>
      </c>
      <c r="F46">
        <f>1</f>
        <v>1</v>
      </c>
      <c r="I46" s="7">
        <v>1500</v>
      </c>
      <c r="J46" s="7">
        <f>PRODUCT(Tabella51820[[#This Row],[Qtrasl]:[Qel]])</f>
        <v>3688770588.0458708</v>
      </c>
    </row>
    <row r="47" spans="1:10" x14ac:dyDescent="0.3">
      <c r="A47">
        <v>1600</v>
      </c>
      <c r="B47" s="4" cm="1">
        <f t="array" ref="B47">(Tabella3312[Boltzmann k]*Tabella51820[[#This Row],[Temperatura]])/101325</f>
        <v>2.1801513940291145E-25</v>
      </c>
      <c r="C47" s="4" cm="1">
        <f t="array" ref="C47">POWER((2*Tabella3312[Pi Greco]*Tabella3312[Massa]*Tabella3312[Boltzmann k]*Tabella51820[[#This Row],[Temperatura]])/(POWER(Tabella3312[Planck h],2)),1.5)*Tabella51820[[#This Row],[Volume]]</f>
        <v>152697717.66033038</v>
      </c>
      <c r="D47" s="4">
        <f t="shared" si="0"/>
        <v>1.6854586540983693E-2</v>
      </c>
      <c r="E47" s="4" cm="1">
        <f t="array" ref="E47">(8*POWER(Tabella3312[Pi Greco],2)*POWER(2*Tabella3312[Pi Greco]*Tabella3312[Boltzmann k]*Tabella51820[[#This Row],[Temperatura]],1.5)*Tabella1918[Total Moment of Inertia])/(Tabella61913[Simmetry Number]*POWER(Tabella3312[Planck h],3))</f>
        <v>3167.9469832648419</v>
      </c>
      <c r="F47">
        <f>1</f>
        <v>1</v>
      </c>
      <c r="I47" s="7">
        <v>1600</v>
      </c>
      <c r="J47" s="7">
        <f>PRODUCT(Tabella51820[[#This Row],[Qtrasl]:[Qel]])</f>
        <v>8153208602.5461178</v>
      </c>
    </row>
    <row r="48" spans="1:10" x14ac:dyDescent="0.3">
      <c r="A48">
        <v>1700</v>
      </c>
      <c r="B48" s="4" cm="1">
        <f t="array" ref="B48">(Tabella3312[Boltzmann k]*Tabella51820[[#This Row],[Temperatura]])/101325</f>
        <v>2.316410856155934E-25</v>
      </c>
      <c r="C48" s="4" cm="1">
        <f t="array" ref="C48">POWER((2*Tabella3312[Pi Greco]*Tabella3312[Massa]*Tabella3312[Boltzmann k]*Tabella51820[[#This Row],[Temperatura]])/(POWER(Tabella3312[Planck h],2)),1.5)*Tabella51820[[#This Row],[Volume]]</f>
        <v>177686688.09134492</v>
      </c>
      <c r="D48" s="4">
        <f t="shared" si="0"/>
        <v>2.7450049616113796E-2</v>
      </c>
      <c r="E48" s="4" cm="1">
        <f t="array" ref="E48">(8*POWER(Tabella3312[Pi Greco],2)*POWER(2*Tabella3312[Pi Greco]*Tabella3312[Boltzmann k]*Tabella51820[[#This Row],[Temperatura]],1.5)*Tabella1918[Total Moment of Inertia])/(Tabella61913[Simmetry Number]*POWER(Tabella3312[Planck h],3))</f>
        <v>3469.5353200325562</v>
      </c>
      <c r="F48">
        <f>1</f>
        <v>1</v>
      </c>
      <c r="I48" s="7">
        <v>1700</v>
      </c>
      <c r="J48" s="7">
        <f>PRODUCT(Tabella51820[[#This Row],[Qtrasl]:[Qel]])</f>
        <v>16922687682.232845</v>
      </c>
    </row>
    <row r="49" spans="1:10" x14ac:dyDescent="0.3">
      <c r="A49">
        <v>1800</v>
      </c>
      <c r="B49" s="4" cm="1">
        <f t="array" ref="B49">(Tabella3312[Boltzmann k]*Tabella51820[[#This Row],[Temperatura]])/101325</f>
        <v>2.4526703182827536E-25</v>
      </c>
      <c r="C49" s="4" cm="1">
        <f t="array" ref="C49">POWER((2*Tabella3312[Pi Greco]*Tabella3312[Massa]*Tabella3312[Boltzmann k]*Tabella51820[[#This Row],[Temperatura]])/(POWER(Tabella3312[Planck h],2)),1.5)*Tabella51820[[#This Row],[Volume]]</f>
        <v>204981115.35880297</v>
      </c>
      <c r="D49" s="4">
        <f t="shared" si="0"/>
        <v>4.2963889462500418E-2</v>
      </c>
      <c r="E49" s="4" cm="1">
        <f t="array" ref="E49">(8*POWER(Tabella3312[Pi Greco],2)*POWER(2*Tabella3312[Pi Greco]*Tabella3312[Boltzmann k]*Tabella51820[[#This Row],[Temperatura]],1.5)*Tabella1918[Total Moment of Inertia])/(Tabella61913[Simmetry Number]*POWER(Tabella3312[Planck h],3))</f>
        <v>3780.1295903914311</v>
      </c>
      <c r="F49">
        <f>1</f>
        <v>1</v>
      </c>
      <c r="I49" s="7">
        <v>1800</v>
      </c>
      <c r="J49" s="7">
        <f>PRODUCT(Tabella51820[[#This Row],[Qtrasl]:[Qel]])</f>
        <v>33290792287.466663</v>
      </c>
    </row>
    <row r="50" spans="1:10" x14ac:dyDescent="0.3">
      <c r="A50">
        <v>1900</v>
      </c>
      <c r="B50" s="4" cm="1">
        <f t="array" ref="B50">(Tabella3312[Boltzmann k]*Tabella51820[[#This Row],[Temperatura]])/101325</f>
        <v>2.5889297804095731E-25</v>
      </c>
      <c r="C50" s="4" cm="1">
        <f t="array" ref="C50">POWER((2*Tabella3312[Pi Greco]*Tabella3312[Massa]*Tabella3312[Boltzmann k]*Tabella51820[[#This Row],[Temperatura]])/(POWER(Tabella3312[Planck h],2)),1.5)*Tabella51820[[#This Row],[Volume]]</f>
        <v>234647856.62972474</v>
      </c>
      <c r="D50" s="4">
        <f t="shared" si="0"/>
        <v>6.5006781049736978E-2</v>
      </c>
      <c r="E50" s="4" cm="1">
        <f t="array" ref="E50">(8*POWER(Tabella3312[Pi Greco],2)*POWER(2*Tabella3312[Pi Greco]*Tabella3312[Boltzmann k]*Tabella51820[[#This Row],[Temperatura]],1.5)*Tabella1918[Total Moment of Inertia])/(Tabella61913[Simmetry Number]*POWER(Tabella3312[Planck h],3))</f>
        <v>4099.4758501933466</v>
      </c>
      <c r="F50">
        <f>1</f>
        <v>1</v>
      </c>
      <c r="I50" s="7">
        <v>1900</v>
      </c>
      <c r="J50" s="7">
        <f>PRODUCT(Tabella51820[[#This Row],[Qtrasl]:[Qel]])</f>
        <v>62532182317.976181</v>
      </c>
    </row>
    <row r="51" spans="1:10" x14ac:dyDescent="0.3">
      <c r="A51">
        <v>2000</v>
      </c>
      <c r="B51" s="4" cm="1">
        <f t="array" ref="B51">(Tabella3312[Boltzmann k]*Tabella51820[[#This Row],[Temperatura]])/101325</f>
        <v>2.7251892425363931E-25</v>
      </c>
      <c r="C51" s="4" cm="1">
        <f t="array" ref="C51">POWER((2*Tabella3312[Pi Greco]*Tabella3312[Massa]*Tabella3312[Boltzmann k]*Tabella51820[[#This Row],[Temperatura]])/(POWER(Tabella3312[Planck h],2)),1.5)*Tabella51820[[#This Row],[Volume]]</f>
        <v>266751934.91997722</v>
      </c>
      <c r="D51" s="4">
        <f t="shared" si="0"/>
        <v>9.5533805090806626E-2</v>
      </c>
      <c r="E51" s="4" cm="1">
        <f t="array" ref="E51">(8*POWER(Tabella3312[Pi Greco],2)*POWER(2*Tabella3312[Pi Greco]*Tabella3312[Boltzmann k]*Tabella51820[[#This Row],[Temperatura]],1.5)*Tabella1918[Total Moment of Inertia])/(Tabella61913[Simmetry Number]*POWER(Tabella3312[Planck h],3))</f>
        <v>4427.3405023096966</v>
      </c>
      <c r="F51">
        <f>1</f>
        <v>1</v>
      </c>
      <c r="I51" s="8">
        <v>2000</v>
      </c>
      <c r="J51" s="7">
        <f>PRODUCT(Tabella51820[[#This Row],[Qtrasl]:[Qel]])</f>
        <v>112825581017.0067</v>
      </c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F0473-4930-4081-9A53-EB4C94F64CD8}">
  <dimension ref="A1:N31"/>
  <sheetViews>
    <sheetView workbookViewId="0">
      <selection activeCell="C6" sqref="C6"/>
    </sheetView>
  </sheetViews>
  <sheetFormatPr defaultRowHeight="14.4" x14ac:dyDescent="0.3"/>
  <cols>
    <col min="1" max="1" width="12.77734375" customWidth="1"/>
    <col min="2" max="2" width="12.5546875" customWidth="1"/>
    <col min="3" max="3" width="11.21875" customWidth="1"/>
    <col min="4" max="4" width="11" customWidth="1"/>
    <col min="5" max="5" width="13.5546875" customWidth="1"/>
    <col min="6" max="6" width="11.77734375" customWidth="1"/>
    <col min="7" max="7" width="11" customWidth="1"/>
  </cols>
  <sheetData>
    <row r="1" spans="1:14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14" x14ac:dyDescent="0.3">
      <c r="A2">
        <v>3.1415899999999999</v>
      </c>
      <c r="B2" s="4">
        <f>1.00783*1.6605655E-27</f>
        <v>1.6735677278649999E-27</v>
      </c>
      <c r="C2" s="4">
        <v>1.3806490000000001E-23</v>
      </c>
      <c r="D2" s="4">
        <v>6.6260701499999998E-34</v>
      </c>
      <c r="E2" s="4">
        <v>8.3144620000000007</v>
      </c>
      <c r="F2" s="4">
        <v>6.0221410000000001E+23</v>
      </c>
      <c r="G2">
        <v>29979300000</v>
      </c>
      <c r="H2">
        <f>Tabella3321[[#This Row],[Speed of Light '[cm/s']]]*POWER(10,-2)</f>
        <v>299793000</v>
      </c>
    </row>
    <row r="5" spans="1:14" x14ac:dyDescent="0.3">
      <c r="A5" t="s">
        <v>35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I5" s="6" t="s">
        <v>35</v>
      </c>
      <c r="J5" s="6" t="s">
        <v>45</v>
      </c>
    </row>
    <row r="6" spans="1:14" x14ac:dyDescent="0.3">
      <c r="A6">
        <v>298</v>
      </c>
      <c r="B6" s="4" cm="1">
        <f t="array" ref="B6">(Tabella3321[Boltzmann k]*Tabella51829[[#This Row],[Temperatura]])/101325</f>
        <v>4.0605319713792254E-26</v>
      </c>
      <c r="C6" s="4" cm="1">
        <f t="array" ref="C6">POWER((2*Tabella3321[Pi Greco]*Tabella3321[Massa]*Tabella3321[Boltzmann k]*Tabella51829[[#This Row],[Temperatura]])/(POWER(Tabella3321[Planck h],2)),1.5)*Tabella51829[[#This Row],[Volume]]</f>
        <v>39719.004714002738</v>
      </c>
      <c r="D6" s="4">
        <f>1</f>
        <v>1</v>
      </c>
      <c r="E6" s="4">
        <f>1</f>
        <v>1</v>
      </c>
      <c r="F6">
        <f>2</f>
        <v>2</v>
      </c>
      <c r="I6" s="7">
        <v>298</v>
      </c>
      <c r="J6" s="7">
        <f>PRODUCT(Tabella51829[[#This Row],[Qtrasl]:[Qel]])</f>
        <v>79438.009428005476</v>
      </c>
    </row>
    <row r="7" spans="1:14" x14ac:dyDescent="0.3">
      <c r="A7">
        <v>400</v>
      </c>
      <c r="B7" s="4" cm="1">
        <f t="array" ref="B7">(Tabella3321[Boltzmann k]*Tabella51829[[#This Row],[Temperatura]])/101325</f>
        <v>5.4503784850727862E-26</v>
      </c>
      <c r="C7" s="4" cm="1">
        <f t="array" ref="C7">POWER((2*Tabella3321[Pi Greco]*Tabella3321[Massa]*Tabella3321[Boltzmann k]*Tabella51829[[#This Row],[Temperatura]])/(POWER(Tabella3321[Planck h],2)),1.5)*Tabella51829[[#This Row],[Volume]]</f>
        <v>82910.145149713309</v>
      </c>
      <c r="D7" s="4">
        <f>1</f>
        <v>1</v>
      </c>
      <c r="E7" s="4">
        <f>1</f>
        <v>1</v>
      </c>
      <c r="F7">
        <f>2</f>
        <v>2</v>
      </c>
      <c r="I7" s="7">
        <v>400</v>
      </c>
      <c r="J7" s="7">
        <f>PRODUCT(Tabella51829[[#This Row],[Qtrasl]:[Qel]])</f>
        <v>165820.29029942662</v>
      </c>
    </row>
    <row r="8" spans="1:14" x14ac:dyDescent="0.3">
      <c r="A8">
        <v>500</v>
      </c>
      <c r="B8" s="4" cm="1">
        <f t="array" ref="B8">(Tabella3321[Boltzmann k]*Tabella51829[[#This Row],[Temperatura]])/101325</f>
        <v>6.8129731063409828E-26</v>
      </c>
      <c r="C8" s="4" cm="1">
        <f t="array" ref="C8">POWER((2*Tabella3321[Pi Greco]*Tabella3321[Massa]*Tabella3321[Boltzmann k]*Tabella51829[[#This Row],[Temperatura]])/(POWER(Tabella3321[Planck h],2)),1.5)*Tabella51829[[#This Row],[Volume]]</f>
        <v>144838.06295244885</v>
      </c>
      <c r="D8" s="4">
        <f>1</f>
        <v>1</v>
      </c>
      <c r="E8" s="4">
        <f>1</f>
        <v>1</v>
      </c>
      <c r="F8">
        <f>2</f>
        <v>2</v>
      </c>
      <c r="I8" s="7">
        <v>500</v>
      </c>
      <c r="J8" s="7">
        <f>PRODUCT(Tabella51829[[#This Row],[Qtrasl]:[Qel]])</f>
        <v>289676.12590489769</v>
      </c>
    </row>
    <row r="9" spans="1:14" x14ac:dyDescent="0.3">
      <c r="A9">
        <v>600</v>
      </c>
      <c r="B9" s="4" cm="1">
        <f t="array" ref="B9">(Tabella3321[Boltzmann k]*Tabella51829[[#This Row],[Temperatura]])/101325</f>
        <v>8.1755677276091782E-26</v>
      </c>
      <c r="C9" s="4" cm="1">
        <f t="array" ref="C9">POWER((2*Tabella3321[Pi Greco]*Tabella3321[Massa]*Tabella3321[Boltzmann k]*Tabella51829[[#This Row],[Temperatura]])/(POWER(Tabella3321[Planck h],2)),1.5)*Tabella51829[[#This Row],[Volume]]</f>
        <v>228473.49388149992</v>
      </c>
      <c r="D9" s="4">
        <f>1</f>
        <v>1</v>
      </c>
      <c r="E9" s="4">
        <f>1</f>
        <v>1</v>
      </c>
      <c r="F9">
        <f>2</f>
        <v>2</v>
      </c>
      <c r="I9" s="7">
        <v>600</v>
      </c>
      <c r="J9" s="7">
        <f>PRODUCT(Tabella51829[[#This Row],[Qtrasl]:[Qel]])</f>
        <v>456946.98776299984</v>
      </c>
    </row>
    <row r="10" spans="1:14" x14ac:dyDescent="0.3">
      <c r="A10">
        <v>700</v>
      </c>
      <c r="B10" s="4" cm="1">
        <f t="array" ref="B10">(Tabella3321[Boltzmann k]*Tabella51829[[#This Row],[Temperatura]])/101325</f>
        <v>9.5381623488773759E-26</v>
      </c>
      <c r="C10" s="4" cm="1">
        <f t="array" ref="C10">POWER((2*Tabella3321[Pi Greco]*Tabella3321[Massa]*Tabella3321[Boltzmann k]*Tabella51829[[#This Row],[Temperatura]])/(POWER(Tabella3321[Planck h],2)),1.5)*Tabella51829[[#This Row],[Volume]]</f>
        <v>335894.42613407201</v>
      </c>
      <c r="D10" s="4">
        <f>1</f>
        <v>1</v>
      </c>
      <c r="E10" s="4">
        <f>1</f>
        <v>1</v>
      </c>
      <c r="F10">
        <f>2</f>
        <v>2</v>
      </c>
      <c r="I10" s="7">
        <v>700</v>
      </c>
      <c r="J10" s="7">
        <f>PRODUCT(Tabella51829[[#This Row],[Qtrasl]:[Qel]])</f>
        <v>671788.85226814402</v>
      </c>
    </row>
    <row r="11" spans="1:14" x14ac:dyDescent="0.3">
      <c r="A11">
        <v>800</v>
      </c>
      <c r="B11" s="4" cm="1">
        <f t="array" ref="B11">(Tabella3321[Boltzmann k]*Tabella51829[[#This Row],[Temperatura]])/101325</f>
        <v>1.0900756970145572E-25</v>
      </c>
      <c r="C11" s="4" cm="1">
        <f t="array" ref="C11">POWER((2*Tabella3321[Pi Greco]*Tabella3321[Massa]*Tabella3321[Boltzmann k]*Tabella51829[[#This Row],[Temperatura]])/(POWER(Tabella3321[Planck h],2)),1.5)*Tabella51829[[#This Row],[Volume]]</f>
        <v>469010.60691618716</v>
      </c>
      <c r="D11" s="4">
        <f>1</f>
        <v>1</v>
      </c>
      <c r="E11" s="4">
        <f>1</f>
        <v>1</v>
      </c>
      <c r="F11">
        <f>2</f>
        <v>2</v>
      </c>
      <c r="I11" s="7">
        <v>800</v>
      </c>
      <c r="J11" s="7">
        <f>PRODUCT(Tabella51829[[#This Row],[Qtrasl]:[Qel]])</f>
        <v>938021.21383237431</v>
      </c>
    </row>
    <row r="12" spans="1:14" x14ac:dyDescent="0.3">
      <c r="A12">
        <v>900</v>
      </c>
      <c r="B12" s="4" cm="1">
        <f t="array" ref="B12">(Tabella3321[Boltzmann k]*Tabella51829[[#This Row],[Temperatura]])/101325</f>
        <v>1.2263351591413768E-25</v>
      </c>
      <c r="C12" s="4" cm="1">
        <f t="array" ref="C12">POWER((2*Tabella3321[Pi Greco]*Tabella3321[Massa]*Tabella3321[Boltzmann k]*Tabella51829[[#This Row],[Temperatura]])/(POWER(Tabella3321[Planck h],2)),1.5)*Tabella51829[[#This Row],[Volume]]</f>
        <v>629598.91473064537</v>
      </c>
      <c r="D12" s="4">
        <f>1</f>
        <v>1</v>
      </c>
      <c r="E12" s="4">
        <f>1</f>
        <v>1</v>
      </c>
      <c r="F12">
        <f>2</f>
        <v>2</v>
      </c>
      <c r="I12" s="7">
        <v>900</v>
      </c>
      <c r="J12" s="7">
        <f>PRODUCT(Tabella51829[[#This Row],[Qtrasl]:[Qel]])</f>
        <v>1259197.8294612907</v>
      </c>
    </row>
    <row r="13" spans="1:14" x14ac:dyDescent="0.3">
      <c r="A13">
        <v>1000</v>
      </c>
      <c r="B13" s="4" cm="1">
        <f t="array" ref="B13">(Tabella3321[Boltzmann k]*Tabella51829[[#This Row],[Temperatura]])/101325</f>
        <v>1.3625946212681966E-25</v>
      </c>
      <c r="C13" s="4" cm="1">
        <f t="array" ref="C13">POWER((2*Tabella3321[Pi Greco]*Tabella3321[Massa]*Tabella3321[Boltzmann k]*Tabella51829[[#This Row],[Temperatura]])/(POWER(Tabella3321[Planck h],2)),1.5)*Tabella51829[[#This Row],[Volume]]</f>
        <v>819327.81190080743</v>
      </c>
      <c r="D13" s="4">
        <f>1</f>
        <v>1</v>
      </c>
      <c r="E13" s="4">
        <f>1</f>
        <v>1</v>
      </c>
      <c r="F13">
        <f>2</f>
        <v>2</v>
      </c>
      <c r="I13" s="7">
        <v>1000</v>
      </c>
      <c r="J13" s="7">
        <f>PRODUCT(Tabella51829[[#This Row],[Qtrasl]:[Qel]])</f>
        <v>1638655.6238016149</v>
      </c>
    </row>
    <row r="14" spans="1:14" x14ac:dyDescent="0.3">
      <c r="A14">
        <v>1100</v>
      </c>
      <c r="B14" s="4" cm="1">
        <f t="array" ref="B14">(Tabella3321[Boltzmann k]*Tabella51829[[#This Row],[Temperatura]])/101325</f>
        <v>1.4988540833950161E-25</v>
      </c>
      <c r="C14" s="4" cm="1">
        <f t="array" ref="C14">POWER((2*Tabella3321[Pi Greco]*Tabella3321[Massa]*Tabella3321[Boltzmann k]*Tabella51829[[#This Row],[Temperatura]])/(POWER(Tabella3321[Planck h],2)),1.5)*Tabella51829[[#This Row],[Volume]]</f>
        <v>1039775.092994889</v>
      </c>
      <c r="D14" s="4">
        <f>1</f>
        <v>1</v>
      </c>
      <c r="E14" s="4">
        <f>1</f>
        <v>1</v>
      </c>
      <c r="F14">
        <f>2</f>
        <v>2</v>
      </c>
      <c r="I14" s="7">
        <v>1100</v>
      </c>
      <c r="J14" s="7">
        <f>PRODUCT(Tabella51829[[#This Row],[Qtrasl]:[Qel]])</f>
        <v>2079550.185989778</v>
      </c>
      <c r="K14" s="4"/>
      <c r="L14" s="4"/>
      <c r="M14" s="4"/>
      <c r="N14" s="4"/>
    </row>
    <row r="15" spans="1:14" x14ac:dyDescent="0.3">
      <c r="A15">
        <v>1200</v>
      </c>
      <c r="B15" s="4" cm="1">
        <f t="array" ref="B15">(Tabella3321[Boltzmann k]*Tabella51829[[#This Row],[Temperatura]])/101325</f>
        <v>1.6351135455218356E-25</v>
      </c>
      <c r="C15" s="4" cm="1">
        <f t="array" ref="C15">POWER((2*Tabella3321[Pi Greco]*Tabella3321[Massa]*Tabella3321[Boltzmann k]*Tabella51829[[#This Row],[Temperatura]])/(POWER(Tabella3321[Planck h],2)),1.5)*Tabella51829[[#This Row],[Volume]]</f>
        <v>1292441.2547599378</v>
      </c>
      <c r="D15" s="4">
        <f>1</f>
        <v>1</v>
      </c>
      <c r="E15" s="4">
        <f>1</f>
        <v>1</v>
      </c>
      <c r="F15">
        <f>2</f>
        <v>2</v>
      </c>
      <c r="I15" s="7">
        <v>1200</v>
      </c>
      <c r="J15" s="7">
        <f>PRODUCT(Tabella51829[[#This Row],[Qtrasl]:[Qel]])</f>
        <v>2584882.5095198755</v>
      </c>
      <c r="K15" s="4"/>
      <c r="L15" s="4"/>
      <c r="M15" s="4"/>
      <c r="N15" s="4"/>
    </row>
    <row r="16" spans="1:14" x14ac:dyDescent="0.3">
      <c r="A16">
        <v>1300</v>
      </c>
      <c r="B16" s="4" cm="1">
        <f t="array" ref="B16">(Tabella3321[Boltzmann k]*Tabella51829[[#This Row],[Temperatura]])/101325</f>
        <v>1.7713730076486554E-25</v>
      </c>
      <c r="C16" s="4" cm="1">
        <f t="array" ref="C16">POWER((2*Tabella3321[Pi Greco]*Tabella3321[Massa]*Tabella3321[Boltzmann k]*Tabella51829[[#This Row],[Temperatura]])/(POWER(Tabella3321[Planck h],2)),1.5)*Tabella51829[[#This Row],[Volume]]</f>
        <v>1578759.8672279434</v>
      </c>
      <c r="D16" s="4">
        <f>1</f>
        <v>1</v>
      </c>
      <c r="E16" s="4">
        <f>1</f>
        <v>1</v>
      </c>
      <c r="F16">
        <f>2</f>
        <v>2</v>
      </c>
      <c r="I16" s="7">
        <v>1300</v>
      </c>
      <c r="J16" s="7">
        <f>PRODUCT(Tabella51829[[#This Row],[Qtrasl]:[Qel]])</f>
        <v>3157519.7344558868</v>
      </c>
      <c r="K16" s="4"/>
      <c r="L16" s="4"/>
      <c r="M16" s="4"/>
      <c r="N16" s="4"/>
    </row>
    <row r="17" spans="1:14" x14ac:dyDescent="0.3">
      <c r="A17">
        <v>1400</v>
      </c>
      <c r="B17" s="4" cm="1">
        <f t="array" ref="B17">(Tabella3321[Boltzmann k]*Tabella51829[[#This Row],[Temperatura]])/101325</f>
        <v>1.9076324697754752E-25</v>
      </c>
      <c r="C17" s="4" cm="1">
        <f t="array" ref="C17">POWER((2*Tabella3321[Pi Greco]*Tabella3321[Massa]*Tabella3321[Boltzmann k]*Tabella51829[[#This Row],[Temperatura]])/(POWER(Tabella3321[Planck h],2)),1.5)*Tabella51829[[#This Row],[Volume]]</f>
        <v>1900105.811857308</v>
      </c>
      <c r="D17" s="4">
        <f>1</f>
        <v>1</v>
      </c>
      <c r="E17" s="4">
        <f>1</f>
        <v>1</v>
      </c>
      <c r="F17">
        <f>2</f>
        <v>2</v>
      </c>
      <c r="I17" s="7">
        <v>1400</v>
      </c>
      <c r="J17" s="7">
        <f>PRODUCT(Tabella51829[[#This Row],[Qtrasl]:[Qel]])</f>
        <v>3800211.6237146161</v>
      </c>
      <c r="K17" s="4"/>
      <c r="L17" s="4"/>
      <c r="M17" s="4"/>
      <c r="N17" s="4"/>
    </row>
    <row r="18" spans="1:14" x14ac:dyDescent="0.3">
      <c r="A18">
        <v>1500</v>
      </c>
      <c r="B18" s="4" cm="1">
        <f t="array" ref="B18">(Tabella3321[Boltzmann k]*Tabella51829[[#This Row],[Temperatura]])/101325</f>
        <v>2.0438919319022949E-25</v>
      </c>
      <c r="C18" s="4" cm="1">
        <f t="array" ref="C18">POWER((2*Tabella3321[Pi Greco]*Tabella3321[Massa]*Tabella3321[Boltzmann k]*Tabella51829[[#This Row],[Temperatura]])/(POWER(Tabella3321[Planck h],2)),1.5)*Tabella51829[[#This Row],[Volume]]</f>
        <v>2257801.9551315322</v>
      </c>
      <c r="D18" s="4">
        <f>1</f>
        <v>1</v>
      </c>
      <c r="E18" s="4">
        <f>1</f>
        <v>1</v>
      </c>
      <c r="F18">
        <f>2</f>
        <v>2</v>
      </c>
      <c r="I18" s="7">
        <v>1500</v>
      </c>
      <c r="J18" s="7">
        <f>PRODUCT(Tabella51829[[#This Row],[Qtrasl]:[Qel]])</f>
        <v>4515603.9102630643</v>
      </c>
      <c r="K18" s="4"/>
      <c r="L18" s="4"/>
      <c r="M18" s="4"/>
      <c r="N18" s="4"/>
    </row>
    <row r="19" spans="1:14" x14ac:dyDescent="0.3">
      <c r="A19">
        <v>1600</v>
      </c>
      <c r="B19" s="4" cm="1">
        <f t="array" ref="B19">(Tabella3321[Boltzmann k]*Tabella51829[[#This Row],[Temperatura]])/101325</f>
        <v>2.1801513940291145E-25</v>
      </c>
      <c r="C19" s="4" cm="1">
        <f t="array" ref="C19">POWER((2*Tabella3321[Pi Greco]*Tabella3321[Massa]*Tabella3321[Boltzmann k]*Tabella51829[[#This Row],[Temperatura]])/(POWER(Tabella3321[Planck h],2)),1.5)*Tabella51829[[#This Row],[Volume]]</f>
        <v>2653124.6447908413</v>
      </c>
      <c r="D19" s="4">
        <f>1</f>
        <v>1</v>
      </c>
      <c r="E19" s="4">
        <f>1</f>
        <v>1</v>
      </c>
      <c r="F19">
        <f>2</f>
        <v>2</v>
      </c>
      <c r="I19" s="7">
        <v>1600</v>
      </c>
      <c r="J19" s="7">
        <f>PRODUCT(Tabella51829[[#This Row],[Qtrasl]:[Qel]])</f>
        <v>5306249.2895816825</v>
      </c>
      <c r="K19" s="4"/>
      <c r="L19" s="4"/>
      <c r="M19" s="4"/>
      <c r="N19" s="4"/>
    </row>
    <row r="20" spans="1:14" x14ac:dyDescent="0.3">
      <c r="A20">
        <v>1700</v>
      </c>
      <c r="B20" s="4" cm="1">
        <f t="array" ref="B20">(Tabella3321[Boltzmann k]*Tabella51829[[#This Row],[Temperatura]])/101325</f>
        <v>2.316410856155934E-25</v>
      </c>
      <c r="C20" s="4" cm="1">
        <f t="array" ref="C20">POWER((2*Tabella3321[Pi Greco]*Tabella3321[Massa]*Tabella3321[Boltzmann k]*Tabella51829[[#This Row],[Temperatura]])/(POWER(Tabella3321[Planck h],2)),1.5)*Tabella51829[[#This Row],[Volume]]</f>
        <v>3087308.3006720194</v>
      </c>
      <c r="D20" s="4">
        <f>1</f>
        <v>1</v>
      </c>
      <c r="E20" s="4">
        <f>1</f>
        <v>1</v>
      </c>
      <c r="F20">
        <f>2</f>
        <v>2</v>
      </c>
      <c r="I20" s="7">
        <v>1700</v>
      </c>
      <c r="J20" s="7">
        <f>PRODUCT(Tabella51829[[#This Row],[Qtrasl]:[Qel]])</f>
        <v>6174616.6013440387</v>
      </c>
      <c r="K20" s="4"/>
      <c r="L20" s="4"/>
      <c r="M20" s="4"/>
      <c r="N20" s="4"/>
    </row>
    <row r="21" spans="1:14" x14ac:dyDescent="0.3">
      <c r="A21">
        <v>1800</v>
      </c>
      <c r="B21" s="4" cm="1">
        <f t="array" ref="B21">(Tabella3321[Boltzmann k]*Tabella51829[[#This Row],[Temperatura]])/101325</f>
        <v>2.4526703182827536E-25</v>
      </c>
      <c r="C21" s="4" cm="1">
        <f t="array" ref="C21">POWER((2*Tabella3321[Pi Greco]*Tabella3321[Massa]*Tabella3321[Boltzmann k]*Tabella51829[[#This Row],[Temperatura]])/(POWER(Tabella3321[Planck h],2)),1.5)*Tabella51829[[#This Row],[Volume]]</f>
        <v>3561549.2962698014</v>
      </c>
      <c r="D21" s="4">
        <f>1</f>
        <v>1</v>
      </c>
      <c r="E21" s="4">
        <f>1</f>
        <v>1</v>
      </c>
      <c r="F21">
        <f>2</f>
        <v>2</v>
      </c>
      <c r="I21" s="7">
        <v>1800</v>
      </c>
      <c r="J21" s="7">
        <f>PRODUCT(Tabella51829[[#This Row],[Qtrasl]:[Qel]])</f>
        <v>7123098.5925396029</v>
      </c>
      <c r="K21" s="4"/>
      <c r="L21" s="4"/>
      <c r="M21" s="4"/>
      <c r="N21" s="4"/>
    </row>
    <row r="22" spans="1:14" x14ac:dyDescent="0.3">
      <c r="A22">
        <v>1900</v>
      </c>
      <c r="B22" s="4" cm="1">
        <f t="array" ref="B22">(Tabella3321[Boltzmann k]*Tabella51829[[#This Row],[Temperatura]])/101325</f>
        <v>2.5889297804095731E-25</v>
      </c>
      <c r="C22" s="4" cm="1">
        <f t="array" ref="C22">POWER((2*Tabella3321[Pi Greco]*Tabella3321[Massa]*Tabella3321[Boltzmann k]*Tabella51829[[#This Row],[Temperatura]])/(POWER(Tabella3321[Planck h],2)),1.5)*Tabella51829[[#This Row],[Volume]]</f>
        <v>4077009.2756495262</v>
      </c>
      <c r="D22" s="4">
        <f>1</f>
        <v>1</v>
      </c>
      <c r="E22" s="4">
        <f>1</f>
        <v>1</v>
      </c>
      <c r="F22">
        <f>2</f>
        <v>2</v>
      </c>
      <c r="I22" s="7">
        <v>1900</v>
      </c>
      <c r="J22" s="7">
        <f>PRODUCT(Tabella51829[[#This Row],[Qtrasl]:[Qel]])</f>
        <v>8154018.5512990523</v>
      </c>
      <c r="K22" s="4"/>
      <c r="L22" s="4"/>
      <c r="M22" s="4"/>
      <c r="N22" s="4"/>
    </row>
    <row r="23" spans="1:14" x14ac:dyDescent="0.3">
      <c r="A23">
        <v>2000</v>
      </c>
      <c r="B23" s="4" cm="1">
        <f t="array" ref="B23">(Tabella3321[Boltzmann k]*Tabella51829[[#This Row],[Temperatura]])/101325</f>
        <v>2.7251892425363931E-25</v>
      </c>
      <c r="C23" s="4" cm="1">
        <f t="array" ref="C23">POWER((2*Tabella3321[Pi Greco]*Tabella3321[Massa]*Tabella3321[Boltzmann k]*Tabella51829[[#This Row],[Temperatura]])/(POWER(Tabella3321[Planck h],2)),1.5)*Tabella51829[[#This Row],[Volume]]</f>
        <v>4634818.0144783892</v>
      </c>
      <c r="D23" s="4">
        <f>1</f>
        <v>1</v>
      </c>
      <c r="E23" s="4">
        <f>1</f>
        <v>1</v>
      </c>
      <c r="F23">
        <f>2</f>
        <v>2</v>
      </c>
      <c r="I23" s="8">
        <v>2000</v>
      </c>
      <c r="J23" s="7">
        <f>PRODUCT(Tabella51829[[#This Row],[Qtrasl]:[Qel]])</f>
        <v>9269636.0289567783</v>
      </c>
      <c r="K23" s="4"/>
      <c r="L23" s="4"/>
      <c r="M23" s="4"/>
      <c r="N23" s="4"/>
    </row>
    <row r="24" spans="1:14" x14ac:dyDescent="0.3"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3"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3"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3"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3"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x14ac:dyDescent="0.3"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x14ac:dyDescent="0.3"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x14ac:dyDescent="0.3">
      <c r="E31" s="4"/>
      <c r="F31" s="4"/>
      <c r="G31" s="4"/>
      <c r="H31" s="4"/>
      <c r="I31" s="4"/>
      <c r="J31" s="4"/>
      <c r="K31" s="4"/>
      <c r="L31" s="4"/>
      <c r="M31" s="4"/>
      <c r="N31" s="4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42ED-D338-4793-A207-FF4A899D319A}">
  <dimension ref="A1:K55"/>
  <sheetViews>
    <sheetView topLeftCell="A19" workbookViewId="0">
      <selection activeCell="G8" sqref="G8"/>
    </sheetView>
  </sheetViews>
  <sheetFormatPr defaultRowHeight="14.4" x14ac:dyDescent="0.3"/>
  <cols>
    <col min="1" max="1" width="15.5546875" customWidth="1"/>
    <col min="2" max="2" width="17.44140625" customWidth="1"/>
    <col min="3" max="3" width="14.88671875" customWidth="1"/>
    <col min="4" max="4" width="16.77734375" customWidth="1"/>
    <col min="5" max="5" width="17" customWidth="1"/>
    <col min="6" max="6" width="17.109375" customWidth="1"/>
    <col min="7" max="7" width="16.77734375" customWidth="1"/>
    <col min="8" max="8" width="17.21875" customWidth="1"/>
  </cols>
  <sheetData>
    <row r="1" spans="1:11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11" x14ac:dyDescent="0.3">
      <c r="A2">
        <v>3.1415899999999999</v>
      </c>
      <c r="B2" s="4">
        <f>2*1.00784*1.6605655E-27</f>
        <v>3.3471686670400003E-27</v>
      </c>
      <c r="C2" s="4">
        <f>1.380649E-23</f>
        <v>1.3806490000000001E-23</v>
      </c>
      <c r="D2" s="4">
        <f>6.62607015E-34</f>
        <v>6.6260701499999998E-34</v>
      </c>
      <c r="E2" s="4">
        <v>8.3144620000000007</v>
      </c>
      <c r="F2" s="4">
        <v>6.0221410000000001E+23</v>
      </c>
      <c r="G2">
        <v>29979300000</v>
      </c>
      <c r="H2">
        <f>Tabella3397120[[#This Row],[Speed of Light '[cm/s']]]*POWER(10,-2)</f>
        <v>299793000</v>
      </c>
    </row>
    <row r="4" spans="1:11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</row>
    <row r="5" spans="1:11" x14ac:dyDescent="0.3">
      <c r="A5" s="5">
        <f>0</f>
        <v>0</v>
      </c>
      <c r="B5" cm="1">
        <f t="array" ref="B5">((Tabella50111134[[#This Row],[Rotational Constants '[Ghz']]]*1000000000)/Tabella3397120[Speed of Light '[cm/s']])*100</f>
        <v>0</v>
      </c>
      <c r="C5" s="4" t="e" cm="1">
        <f t="array" ref="C5">Tabella3397120[Planck h]/(8*POWER(Tabella3397120[Pi Greco],2)*Tabella50111134[[#This Row],[Rotational Constant '[m^-1']]]*Tabella3397120[Speed of Light '[m/s']])</f>
        <v>#DIV/0!</v>
      </c>
      <c r="D5">
        <f>SQRT(PRODUCT(C6:C7))</f>
        <v>4.6183639230210334E-48</v>
      </c>
      <c r="E5" s="4" cm="1">
        <f t="array" ref="E5">POWER(Tabella3397120[Planck h],2)/(8*POWER(Tabella3397120[Pi Greco],2)*Tabella1118141[[#This Row],[Total Moment of Inertia]]*Tabella3397120[Boltzmann k])</f>
        <v>87.207056002941997</v>
      </c>
      <c r="F5" s="4"/>
    </row>
    <row r="6" spans="1:11" x14ac:dyDescent="0.3">
      <c r="A6" s="5">
        <f>1817.1002108</f>
        <v>1817.1002108</v>
      </c>
      <c r="B6" cm="1">
        <f t="array" ref="B6">((Tabella50111134[[#This Row],[Rotational Constants '[Ghz']]]*1000000000)/Tabella3397120[Speed of Light '[cm/s']])*100</f>
        <v>6061.1829188806942</v>
      </c>
      <c r="C6" s="4" cm="1">
        <f t="array" ref="C6">Tabella3397120[Planck h]/(8*POWER(Tabella3397120[Pi Greco],2)*Tabella50111134[[#This Row],[Rotational Constant '[m^-1']]]*Tabella3397120[Speed of Light '[m/s']])</f>
        <v>4.6183639230210334E-48</v>
      </c>
    </row>
    <row r="7" spans="1:11" x14ac:dyDescent="0.3">
      <c r="A7" s="5">
        <f>1817.1002108</f>
        <v>1817.1002108</v>
      </c>
      <c r="B7" cm="1">
        <f t="array" ref="B7">((Tabella50111134[[#This Row],[Rotational Constants '[Ghz']]]*1000000000)/Tabella3397120[Speed of Light '[cm/s']])*100</f>
        <v>6061.1829188806942</v>
      </c>
      <c r="C7" s="4" cm="1">
        <f t="array" ref="C7">Tabella3397120[Planck h]/(8*POWER(Tabella3397120[Pi Greco],2)*Tabella50111134[[#This Row],[Rotational Constant '[m^-1']]]*Tabella3397120[Speed of Light '[m/s']])</f>
        <v>4.6183639230210334E-48</v>
      </c>
    </row>
    <row r="9" spans="1:11" x14ac:dyDescent="0.3">
      <c r="A9" t="s">
        <v>23</v>
      </c>
      <c r="E9" s="4"/>
    </row>
    <row r="10" spans="1:11" x14ac:dyDescent="0.3">
      <c r="A10">
        <v>2</v>
      </c>
    </row>
    <row r="14" spans="1:11" x14ac:dyDescent="0.3">
      <c r="G14" s="4"/>
      <c r="H14" s="4"/>
      <c r="I14" s="4"/>
      <c r="J14" s="4"/>
      <c r="K14" s="4"/>
    </row>
    <row r="15" spans="1:11" x14ac:dyDescent="0.3">
      <c r="A15" s="1"/>
      <c r="E15" t="s">
        <v>24</v>
      </c>
      <c r="G15" s="4"/>
      <c r="H15" s="4"/>
      <c r="I15" s="4"/>
      <c r="J15" s="4"/>
      <c r="K15" s="4"/>
    </row>
    <row r="16" spans="1:11" x14ac:dyDescent="0.3">
      <c r="A16" s="1"/>
      <c r="E16">
        <f>B20</f>
        <v>133823128284299.98</v>
      </c>
      <c r="G16" s="4"/>
      <c r="H16" s="4"/>
      <c r="I16" s="4"/>
      <c r="J16" s="4"/>
      <c r="K16" s="4"/>
    </row>
    <row r="17" spans="1:11" x14ac:dyDescent="0.3">
      <c r="D17" t="s">
        <v>35</v>
      </c>
      <c r="E17" t="s">
        <v>36</v>
      </c>
      <c r="F17" t="s">
        <v>45</v>
      </c>
      <c r="G17" s="4"/>
      <c r="H17" s="4"/>
      <c r="I17" s="4"/>
      <c r="J17" s="4"/>
      <c r="K17" s="4"/>
    </row>
    <row r="18" spans="1:11" x14ac:dyDescent="0.3">
      <c r="D18">
        <v>298</v>
      </c>
      <c r="E18" s="4" cm="1">
        <f t="array" ref="E18">(EXP(-(Tabella3397120[Planck h]*Tabella49110133[Frequency1])/(2*Tabella3397120[Boltzmann k]*Tabella820100123[[#This Row],[Temperatura]])))/(1-EXP(-(Tabella3397120[Planck h]*Tabella49110133[Frequency1])/(Tabella3397120[Boltzmann k]*Tabella820100123[[#This Row],[Temperatura]])))</f>
        <v>2.0894971255523209E-5</v>
      </c>
      <c r="F18" s="4">
        <f>Tabella820100123[[#This Row],[Qvib1]]</f>
        <v>2.0894971255523209E-5</v>
      </c>
      <c r="G18" s="4"/>
      <c r="H18" s="4"/>
      <c r="I18" s="4"/>
      <c r="J18" s="4"/>
      <c r="K18" s="4"/>
    </row>
    <row r="19" spans="1:11" x14ac:dyDescent="0.3">
      <c r="A19" t="s">
        <v>33</v>
      </c>
      <c r="B19" t="s">
        <v>34</v>
      </c>
      <c r="D19">
        <v>400</v>
      </c>
      <c r="E19" s="4" cm="1">
        <f t="array" ref="E19">(EXP(-(Tabella3397120[Planck h]*Tabella49110133[Frequency1])/(2*Tabella3397120[Boltzmann k]*Tabella820100123[[#This Row],[Temperatura]])))/(1-EXP(-(Tabella3397120[Planck h]*Tabella49110133[Frequency1])/(Tabella3397120[Boltzmann k]*Tabella820100123[[#This Row],[Temperatura]])))</f>
        <v>3.2616035466690688E-4</v>
      </c>
      <c r="F19" s="4">
        <f>Tabella820100123[[#This Row],[Qvib1]]</f>
        <v>3.2616035466690688E-4</v>
      </c>
      <c r="G19" s="4"/>
      <c r="H19" s="4"/>
      <c r="I19" s="4"/>
      <c r="J19" s="4"/>
      <c r="K19" s="4"/>
    </row>
    <row r="20" spans="1:11" x14ac:dyDescent="0.3">
      <c r="A20" s="1">
        <f>4463.851</f>
        <v>4463.8509999999997</v>
      </c>
      <c r="B20" cm="1">
        <f t="array" ref="B20">Tabella47109132[[#This Row],[Wavenumbers '[cm^-1']]]*Tabella3397120[Speed of Light '[cm/s']]</f>
        <v>133823128284299.98</v>
      </c>
      <c r="D20">
        <v>500</v>
      </c>
      <c r="E20" s="4" cm="1">
        <f t="array" ref="E20">(EXP(-(Tabella3397120[Planck h]*Tabella49110133[Frequency1])/(2*Tabella3397120[Boltzmann k]*Tabella820100123[[#This Row],[Temperatura]])))/(1-EXP(-(Tabella3397120[Planck h]*Tabella49110133[Frequency1])/(Tabella3397120[Boltzmann k]*Tabella820100123[[#This Row],[Temperatura]])))</f>
        <v>1.6245984922272662E-3</v>
      </c>
      <c r="F20" s="4">
        <f>Tabella820100123[[#This Row],[Qvib1]]</f>
        <v>1.6245984922272662E-3</v>
      </c>
      <c r="G20" s="4"/>
      <c r="H20" s="4"/>
      <c r="I20" s="4"/>
      <c r="J20" s="4"/>
      <c r="K20" s="4"/>
    </row>
    <row r="21" spans="1:11" x14ac:dyDescent="0.3">
      <c r="D21">
        <v>600</v>
      </c>
      <c r="E21" s="4" cm="1">
        <f t="array" ref="E21">(EXP(-(Tabella3397120[Planck h]*Tabella49110133[Frequency1])/(2*Tabella3397120[Boltzmann k]*Tabella820100123[[#This Row],[Temperatura]])))/(1-EXP(-(Tabella3397120[Planck h]*Tabella49110133[Frequency1])/(Tabella3397120[Boltzmann k]*Tabella820100123[[#This Row],[Temperatura]])))</f>
        <v>4.7383866958487014E-3</v>
      </c>
      <c r="F21" s="4">
        <f>Tabella820100123[[#This Row],[Qvib1]]</f>
        <v>4.7383866958487014E-3</v>
      </c>
      <c r="G21" s="4"/>
      <c r="H21" s="4"/>
      <c r="I21" s="4"/>
      <c r="J21" s="4"/>
      <c r="K21" s="4"/>
    </row>
    <row r="22" spans="1:11" x14ac:dyDescent="0.3">
      <c r="D22">
        <v>700</v>
      </c>
      <c r="E22" s="4" cm="1">
        <f t="array" ref="E22">(EXP(-(Tabella3397120[Planck h]*Tabella49110133[Frequency1])/(2*Tabella3397120[Boltzmann k]*Tabella820100123[[#This Row],[Temperatura]])))/(1-EXP(-(Tabella3397120[Planck h]*Tabella49110133[Frequency1])/(Tabella3397120[Boltzmann k]*Tabella820100123[[#This Row],[Temperatura]])))</f>
        <v>1.0179347079119088E-2</v>
      </c>
      <c r="F22" s="4">
        <f>Tabella820100123[[#This Row],[Qvib1]]</f>
        <v>1.0179347079119088E-2</v>
      </c>
      <c r="G22" s="4"/>
      <c r="H22" s="4"/>
      <c r="I22" s="4"/>
      <c r="J22" s="4"/>
      <c r="K22" s="4"/>
    </row>
    <row r="23" spans="1:11" x14ac:dyDescent="0.3">
      <c r="D23">
        <v>800</v>
      </c>
      <c r="E23" s="4" cm="1">
        <f t="array" ref="E23">(EXP(-(Tabella3397120[Planck h]*Tabella49110133[Frequency1])/(2*Tabella3397120[Boltzmann k]*Tabella820100123[[#This Row],[Temperatura]])))/(1-EXP(-(Tabella3397120[Planck h]*Tabella49110133[Frequency1])/(Tabella3397120[Boltzmann k]*Tabella820100123[[#This Row],[Temperatura]])))</f>
        <v>1.8065801538129044E-2</v>
      </c>
      <c r="F23" s="4">
        <f>Tabella820100123[[#This Row],[Qvib1]]</f>
        <v>1.8065801538129044E-2</v>
      </c>
      <c r="G23" s="4"/>
      <c r="H23" s="4"/>
      <c r="I23" s="4"/>
      <c r="J23" s="4"/>
      <c r="K23" s="4"/>
    </row>
    <row r="24" spans="1:11" x14ac:dyDescent="0.3">
      <c r="D24">
        <v>900</v>
      </c>
      <c r="E24" s="4" cm="1">
        <f t="array" ref="E24">(EXP(-(Tabella3397120[Planck h]*Tabella49110133[Frequency1])/(2*Tabella3397120[Boltzmann k]*Tabella820100123[[#This Row],[Temperatura]])))/(1-EXP(-(Tabella3397120[Planck h]*Tabella49110133[Frequency1])/(Tabella3397120[Boltzmann k]*Tabella820100123[[#This Row],[Temperatura]])))</f>
        <v>2.8233167269250521E-2</v>
      </c>
      <c r="F24" s="4">
        <f>Tabella820100123[[#This Row],[Qvib1]]</f>
        <v>2.8233167269250521E-2</v>
      </c>
      <c r="G24" s="4"/>
      <c r="H24" s="4"/>
      <c r="I24" s="4"/>
      <c r="J24" s="4"/>
      <c r="K24" s="4"/>
    </row>
    <row r="25" spans="1:11" x14ac:dyDescent="0.3">
      <c r="D25">
        <v>1000</v>
      </c>
      <c r="E25" s="4" cm="1">
        <f t="array" ref="E25">(EXP(-(Tabella3397120[Planck h]*Tabella49110133[Frequency1])/(2*Tabella3397120[Boltzmann k]*Tabella820100123[[#This Row],[Temperatura]])))/(1-EXP(-(Tabella3397120[Planck h]*Tabella49110133[Frequency1])/(Tabella3397120[Boltzmann k]*Tabella820100123[[#This Row],[Temperatura]])))</f>
        <v>4.0371843014630378E-2</v>
      </c>
      <c r="F25" s="4">
        <f>Tabella820100123[[#This Row],[Qvib1]]</f>
        <v>4.0371843014630378E-2</v>
      </c>
      <c r="G25" s="4"/>
      <c r="H25" s="4"/>
      <c r="I25" s="4"/>
      <c r="J25" s="4"/>
      <c r="K25" s="4"/>
    </row>
    <row r="26" spans="1:11" x14ac:dyDescent="0.3">
      <c r="D26">
        <v>1100</v>
      </c>
      <c r="E26" s="4" cm="1">
        <f t="array" ref="E26">(EXP(-(Tabella3397120[Planck h]*Tabella49110133[Frequency1])/(2*Tabella3397120[Boltzmann k]*Tabella820100123[[#This Row],[Temperatura]])))/(1-EXP(-(Tabella3397120[Planck h]*Tabella49110133[Frequency1])/(Tabella3397120[Boltzmann k]*Tabella820100123[[#This Row],[Temperatura]])))</f>
        <v>5.4128206822114118E-2</v>
      </c>
      <c r="F26" s="4">
        <f>Tabella820100123[[#This Row],[Qvib1]]</f>
        <v>5.4128206822114118E-2</v>
      </c>
      <c r="G26" s="4"/>
      <c r="H26" s="4"/>
      <c r="I26" s="4"/>
      <c r="J26" s="4"/>
      <c r="K26" s="4"/>
    </row>
    <row r="27" spans="1:11" x14ac:dyDescent="0.3">
      <c r="D27">
        <v>1200</v>
      </c>
      <c r="E27" s="4" cm="1">
        <f t="array" ref="E27">(EXP(-(Tabella3397120[Planck h]*Tabella49110133[Frequency1])/(2*Tabella3397120[Boltzmann k]*Tabella820100123[[#This Row],[Temperatura]])))/(1-EXP(-(Tabella3397120[Planck h]*Tabella49110133[Frequency1])/(Tabella3397120[Boltzmann k]*Tabella820100123[[#This Row],[Temperatura]])))</f>
        <v>6.9162880821073289E-2</v>
      </c>
      <c r="F27" s="4">
        <f>Tabella820100123[[#This Row],[Qvib1]]</f>
        <v>6.9162880821073289E-2</v>
      </c>
      <c r="G27" s="4"/>
      <c r="H27" s="4"/>
      <c r="I27" s="4"/>
      <c r="J27" s="4"/>
      <c r="K27" s="4"/>
    </row>
    <row r="28" spans="1:11" x14ac:dyDescent="0.3">
      <c r="D28">
        <v>1300</v>
      </c>
      <c r="E28" s="4" cm="1">
        <f t="array" ref="E28">(EXP(-(Tabella3397120[Planck h]*Tabella49110133[Frequency1])/(2*Tabella3397120[Boltzmann k]*Tabella820100123[[#This Row],[Temperatura]])))/(1-EXP(-(Tabella3397120[Planck h]*Tabella49110133[Frequency1])/(Tabella3397120[Boltzmann k]*Tabella820100123[[#This Row],[Temperatura]])))</f>
        <v>8.5177865217074086E-2</v>
      </c>
      <c r="F28" s="4">
        <f>Tabella820100123[[#This Row],[Qvib1]]</f>
        <v>8.5177865217074086E-2</v>
      </c>
      <c r="G28" s="4"/>
      <c r="H28" s="4"/>
      <c r="I28" s="4"/>
      <c r="J28" s="4"/>
      <c r="K28" s="4"/>
    </row>
    <row r="29" spans="1:11" x14ac:dyDescent="0.3">
      <c r="D29">
        <v>1400</v>
      </c>
      <c r="E29" s="4" cm="1">
        <f t="array" ref="E29">(EXP(-(Tabella3397120[Planck h]*Tabella49110133[Frequency1])/(2*Tabella3397120[Boltzmann k]*Tabella820100123[[#This Row],[Temperatura]])))/(1-EXP(-(Tabella3397120[Planck h]*Tabella49110133[Frequency1])/(Tabella3397120[Boltzmann k]*Tabella820100123[[#This Row],[Temperatura]])))</f>
        <v>0.10192494603479832</v>
      </c>
      <c r="F29" s="4">
        <f>Tabella820100123[[#This Row],[Qvib1]]</f>
        <v>0.10192494603479832</v>
      </c>
      <c r="G29" s="4"/>
      <c r="H29" s="4"/>
      <c r="I29" s="4"/>
      <c r="J29" s="4"/>
      <c r="K29" s="4"/>
    </row>
    <row r="30" spans="1:11" x14ac:dyDescent="0.3">
      <c r="D30">
        <v>1500</v>
      </c>
      <c r="E30" s="4" cm="1">
        <f t="array" ref="E30">(EXP(-(Tabella3397120[Planck h]*Tabella49110133[Frequency1])/(2*Tabella3397120[Boltzmann k]*Tabella820100123[[#This Row],[Temperatura]])))/(1-EXP(-(Tabella3397120[Planck h]*Tabella49110133[Frequency1])/(Tabella3397120[Boltzmann k]*Tabella820100123[[#This Row],[Temperatura]])))</f>
        <v>0.11920430742363758</v>
      </c>
      <c r="F30" s="4">
        <f>Tabella820100123[[#This Row],[Qvib1]]</f>
        <v>0.11920430742363758</v>
      </c>
      <c r="G30" s="4"/>
      <c r="H30" s="4"/>
      <c r="I30" s="4"/>
      <c r="J30" s="4"/>
      <c r="K30" s="4"/>
    </row>
    <row r="31" spans="1:11" x14ac:dyDescent="0.3">
      <c r="D31">
        <v>1600</v>
      </c>
      <c r="E31" s="4" cm="1">
        <f t="array" ref="E31">(EXP(-(Tabella3397120[Planck h]*Tabella49110133[Frequency1])/(2*Tabella3397120[Boltzmann k]*Tabella820100123[[#This Row],[Temperatura]])))/(1-EXP(-(Tabella3397120[Planck h]*Tabella49110133[Frequency1])/(Tabella3397120[Boltzmann k]*Tabella820100123[[#This Row],[Temperatura]])))</f>
        <v>0.13685881940428093</v>
      </c>
      <c r="F31" s="4">
        <f>Tabella820100123[[#This Row],[Qvib1]]</f>
        <v>0.13685881940428093</v>
      </c>
      <c r="G31" s="4"/>
      <c r="H31" s="4"/>
      <c r="I31" s="4"/>
      <c r="J31" s="4"/>
      <c r="K31" s="4"/>
    </row>
    <row r="32" spans="1:11" x14ac:dyDescent="0.3">
      <c r="D32">
        <v>1700</v>
      </c>
      <c r="E32" s="4" cm="1">
        <f t="array" ref="E32">(EXP(-(Tabella3397120[Planck h]*Tabella49110133[Frequency1])/(2*Tabella3397120[Boltzmann k]*Tabella820100123[[#This Row],[Temperatura]])))/(1-EXP(-(Tabella3397120[Planck h]*Tabella49110133[Frequency1])/(Tabella3397120[Boltzmann k]*Tabella820100123[[#This Row],[Temperatura]])))</f>
        <v>0.15476701314002345</v>
      </c>
      <c r="F32" s="4">
        <f>Tabella820100123[[#This Row],[Qvib1]]</f>
        <v>0.15476701314002345</v>
      </c>
    </row>
    <row r="33" spans="1:9" x14ac:dyDescent="0.3">
      <c r="D33">
        <v>1800</v>
      </c>
      <c r="E33" s="4" cm="1">
        <f t="array" ref="E33">(EXP(-(Tabella3397120[Planck h]*Tabella49110133[Frequency1])/(2*Tabella3397120[Boltzmann k]*Tabella820100123[[#This Row],[Temperatura]])))/(1-EXP(-(Tabella3397120[Planck h]*Tabella49110133[Frequency1])/(Tabella3397120[Boltzmann k]*Tabella820100123[[#This Row],[Temperatura]])))</f>
        <v>0.17283623721401545</v>
      </c>
      <c r="F33" s="4">
        <f>Tabella820100123[[#This Row],[Qvib1]]</f>
        <v>0.17283623721401545</v>
      </c>
    </row>
    <row r="34" spans="1:9" x14ac:dyDescent="0.3">
      <c r="D34">
        <v>1900</v>
      </c>
      <c r="E34" s="4" cm="1">
        <f t="array" ref="E34">(EXP(-(Tabella3397120[Planck h]*Tabella49110133[Frequency1])/(2*Tabella3397120[Boltzmann k]*Tabella820100123[[#This Row],[Temperatura]])))/(1-EXP(-(Tabella3397120[Planck h]*Tabella49110133[Frequency1])/(Tabella3397120[Boltzmann k]*Tabella820100123[[#This Row],[Temperatura]])))</f>
        <v>0.19099662948331608</v>
      </c>
      <c r="F34" s="4">
        <f>Tabella820100123[[#This Row],[Qvib1]]</f>
        <v>0.19099662948331608</v>
      </c>
    </row>
    <row r="35" spans="1:9" x14ac:dyDescent="0.3">
      <c r="D35">
        <v>2000</v>
      </c>
      <c r="E35" s="4" cm="1">
        <f t="array" ref="E35">(EXP(-(Tabella3397120[Planck h]*Tabella49110133[Frequency1])/(2*Tabella3397120[Boltzmann k]*Tabella820100123[[#This Row],[Temperatura]])))/(1-EXP(-(Tabella3397120[Planck h]*Tabella49110133[Frequency1])/(Tabella3397120[Boltzmann k]*Tabella820100123[[#This Row],[Temperatura]])))</f>
        <v>0.20919608889721222</v>
      </c>
      <c r="F35" s="4">
        <f>Tabella820100123[[#This Row],[Qvib1]]</f>
        <v>0.20919608889721222</v>
      </c>
    </row>
    <row r="37" spans="1:9" x14ac:dyDescent="0.3">
      <c r="A37" t="s">
        <v>35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H37" s="9" t="s">
        <v>35</v>
      </c>
      <c r="I37" s="9" t="s">
        <v>45</v>
      </c>
    </row>
    <row r="38" spans="1:9" x14ac:dyDescent="0.3">
      <c r="A38">
        <v>298</v>
      </c>
      <c r="B38" s="4" cm="1">
        <f t="array" ref="B38">(Tabella3397120[Boltzmann k]*Tabella51898121[[#This Row],[Temperatura]])/101325</f>
        <v>4.0605319713792254E-26</v>
      </c>
      <c r="C38" s="4" cm="1">
        <f t="array" ref="C38">POWER((2*Tabella3397120[Pi Greco]*Tabella3397120[Massa]*Tabella3397120[Boltzmann k]*Tabella51898121[[#This Row],[Temperatura]])/(POWER(Tabella3397120[Planck h],2)),1.5)*Tabella51898121[[#This Row],[Volume]]</f>
        <v>112343.98234771728</v>
      </c>
      <c r="D38" s="4">
        <f t="shared" ref="D38:D55" si="0">F18</f>
        <v>2.0894971255523209E-5</v>
      </c>
      <c r="E38" s="4" cm="1">
        <f t="array" ref="E38">(8*POWER(PI(),2)*Tabella3397120[Boltzmann k]*Tabella51898121[[#This Row],[Temperatura]]*Tabella1118141[Total Moment of Inertia])/(Tabella61999122[Simmetry Number]*POWER(Tabella3397120[Planck h],2))</f>
        <v>1.7085802289338157</v>
      </c>
      <c r="F38">
        <f>1</f>
        <v>1</v>
      </c>
      <c r="H38" s="10">
        <v>298</v>
      </c>
      <c r="I38" s="10">
        <f>PRODUCT(Tabella51898121[[#This Row],[Qtrasl]:[Qel]])</f>
        <v>4.0107627169505351</v>
      </c>
    </row>
    <row r="39" spans="1:9" x14ac:dyDescent="0.3">
      <c r="A39">
        <v>400</v>
      </c>
      <c r="B39" s="4" cm="1">
        <f t="array" ref="B39">(Tabella3397120[Boltzmann k]*Tabella51898121[[#This Row],[Temperatura]])/101325</f>
        <v>5.4503784850727862E-26</v>
      </c>
      <c r="C39" s="4" cm="1">
        <f t="array" ref="C39">POWER((2*Tabella3397120[Pi Greco]*Tabella3397120[Massa]*Tabella3397120[Boltzmann k]*Tabella51898121[[#This Row],[Temperatura]])/(POWER(Tabella3397120[Planck h],2)),1.5)*Tabella51898121[[#This Row],[Volume]]</f>
        <v>234508.79371764077</v>
      </c>
      <c r="D39" s="4">
        <f t="shared" si="0"/>
        <v>3.2616035466690688E-4</v>
      </c>
      <c r="E39" s="4" cm="1">
        <f t="array" ref="E39">(8*POWER(PI(),2)*Tabella3397120[Boltzmann k]*Tabella51898121[[#This Row],[Temperatura]]*Tabella1118141[Total Moment of Inertia])/(Tabella61999122[Simmetry Number]*POWER(Tabella3397120[Planck h],2))</f>
        <v>2.2933962804480745</v>
      </c>
      <c r="F39">
        <f>1</f>
        <v>1</v>
      </c>
      <c r="H39" s="10">
        <v>400</v>
      </c>
      <c r="I39" s="10">
        <f>PRODUCT(Tabella51898121[[#This Row],[Qtrasl]:[Qel]])</f>
        <v>175.41608225243584</v>
      </c>
    </row>
    <row r="40" spans="1:9" x14ac:dyDescent="0.3">
      <c r="A40">
        <v>500</v>
      </c>
      <c r="B40" s="4" cm="1">
        <f t="array" ref="B40">(Tabella3397120[Boltzmann k]*Tabella51898121[[#This Row],[Temperatura]])/101325</f>
        <v>6.8129731063409828E-26</v>
      </c>
      <c r="C40" s="4" cm="1">
        <f t="array" ref="C40">POWER((2*Tabella3397120[Pi Greco]*Tabella3397120[Massa]*Tabella3397120[Boltzmann k]*Tabella51898121[[#This Row],[Temperatura]])/(POWER(Tabella3397120[Planck h],2)),1.5)*Tabella51898121[[#This Row],[Volume]]</f>
        <v>409670.00318290893</v>
      </c>
      <c r="D40" s="4">
        <f t="shared" si="0"/>
        <v>1.6245984922272662E-3</v>
      </c>
      <c r="E40" s="4" cm="1">
        <f t="array" ref="E40">(8*POWER(PI(),2)*Tabella3397120[Boltzmann k]*Tabella51898121[[#This Row],[Temperatura]]*Tabella1118141[Total Moment of Inertia])/(Tabella61999122[Simmetry Number]*POWER(Tabella3397120[Planck h],2))</f>
        <v>2.8667453505600937</v>
      </c>
      <c r="F40">
        <f>1</f>
        <v>1</v>
      </c>
      <c r="H40" s="10">
        <v>500</v>
      </c>
      <c r="I40" s="10">
        <f>PRODUCT(Tabella51898121[[#This Row],[Qtrasl]:[Qel]])</f>
        <v>1907.9602738553108</v>
      </c>
    </row>
    <row r="41" spans="1:9" x14ac:dyDescent="0.3">
      <c r="A41">
        <v>600</v>
      </c>
      <c r="B41" s="4" cm="1">
        <f t="array" ref="B41">(Tabella3397120[Boltzmann k]*Tabella51898121[[#This Row],[Temperatura]])/101325</f>
        <v>8.1755677276091782E-26</v>
      </c>
      <c r="C41" s="4" cm="1">
        <f t="array" ref="C41">POWER((2*Tabella3397120[Pi Greco]*Tabella3397120[Massa]*Tabella3397120[Boltzmann k]*Tabella51898121[[#This Row],[Temperatura]])/(POWER(Tabella3397120[Planck h],2)),1.5)*Tabella51898121[[#This Row],[Volume]]</f>
        <v>646230.24540429027</v>
      </c>
      <c r="D41" s="4">
        <f t="shared" si="0"/>
        <v>4.7383866958487014E-3</v>
      </c>
      <c r="E41" s="4" cm="1">
        <f t="array" ref="E41">(8*POWER(PI(),2)*Tabella3397120[Boltzmann k]*Tabella51898121[[#This Row],[Temperatura]]*Tabella1118141[Total Moment of Inertia])/(Tabella61999122[Simmetry Number]*POWER(Tabella3397120[Planck h],2))</f>
        <v>3.440094420672112</v>
      </c>
      <c r="F41">
        <f>1</f>
        <v>1</v>
      </c>
      <c r="H41" s="10">
        <v>600</v>
      </c>
      <c r="I41" s="10">
        <f>PRODUCT(Tabella51898121[[#This Row],[Qtrasl]:[Qel]])</f>
        <v>10533.874587121138</v>
      </c>
    </row>
    <row r="42" spans="1:9" x14ac:dyDescent="0.3">
      <c r="A42">
        <v>700</v>
      </c>
      <c r="B42" s="4" cm="1">
        <f t="array" ref="B42">(Tabella3397120[Boltzmann k]*Tabella51898121[[#This Row],[Temperatura]])/101325</f>
        <v>9.5381623488773759E-26</v>
      </c>
      <c r="C42" s="4" cm="1">
        <f t="array" ref="C42">POWER((2*Tabella3397120[Pi Greco]*Tabella3397120[Massa]*Tabella3397120[Boltzmann k]*Tabella51898121[[#This Row],[Temperatura]])/(POWER(Tabella3397120[Planck h],2)),1.5)*Tabella51898121[[#This Row],[Volume]]</f>
        <v>950067.04604052519</v>
      </c>
      <c r="D42" s="4">
        <f t="shared" si="0"/>
        <v>1.0179347079119088E-2</v>
      </c>
      <c r="E42" s="4" cm="1">
        <f t="array" ref="E42">(8*POWER(PI(),2)*Tabella3397120[Boltzmann k]*Tabella51898121[[#This Row],[Temperatura]]*Tabella1118141[Total Moment of Inertia])/(Tabella61999122[Simmetry Number]*POWER(Tabella3397120[Planck h],2))</f>
        <v>4.0134434907841303</v>
      </c>
      <c r="F42">
        <f>1</f>
        <v>1</v>
      </c>
      <c r="H42" s="10">
        <v>700</v>
      </c>
      <c r="I42" s="10">
        <f>PRODUCT(Tabella51898121[[#This Row],[Qtrasl]:[Qel]])</f>
        <v>38814.261676013644</v>
      </c>
    </row>
    <row r="43" spans="1:9" x14ac:dyDescent="0.3">
      <c r="A43">
        <v>800</v>
      </c>
      <c r="B43" s="4" cm="1">
        <f t="array" ref="B43">(Tabella3397120[Boltzmann k]*Tabella51898121[[#This Row],[Temperatura]])/101325</f>
        <v>1.0900756970145572E-25</v>
      </c>
      <c r="C43" s="4" cm="1">
        <f t="array" ref="C43">POWER((2*Tabella3397120[Pi Greco]*Tabella3397120[Massa]*Tabella3397120[Boltzmann k]*Tabella51898121[[#This Row],[Temperatura]])/(POWER(Tabella3397120[Planck h],2)),1.5)*Tabella51898121[[#This Row],[Volume]]</f>
        <v>1326582.0662849532</v>
      </c>
      <c r="D43" s="4">
        <f t="shared" si="0"/>
        <v>1.8065801538129044E-2</v>
      </c>
      <c r="E43" s="4" cm="1">
        <f t="array" ref="E43">(8*POWER(PI(),2)*Tabella3397120[Boltzmann k]*Tabella51898121[[#This Row],[Temperatura]]*Tabella1118141[Total Moment of Inertia])/(Tabella61999122[Simmetry Number]*POWER(Tabella3397120[Planck h],2))</f>
        <v>4.5867925608961491</v>
      </c>
      <c r="F43">
        <f>1</f>
        <v>1</v>
      </c>
      <c r="H43" s="10">
        <v>800</v>
      </c>
      <c r="I43" s="10">
        <f>PRODUCT(Tabella51898121[[#This Row],[Qtrasl]:[Qel]])</f>
        <v>109926.00790846521</v>
      </c>
    </row>
    <row r="44" spans="1:9" x14ac:dyDescent="0.3">
      <c r="A44">
        <v>900</v>
      </c>
      <c r="B44" s="4" cm="1">
        <f t="array" ref="B44">(Tabella3397120[Boltzmann k]*Tabella51898121[[#This Row],[Temperatura]])/101325</f>
        <v>1.2263351591413768E-25</v>
      </c>
      <c r="C44" s="4" cm="1">
        <f t="array" ref="C44">POWER((2*Tabella3397120[Pi Greco]*Tabella3397120[Massa]*Tabella3397120[Boltzmann k]*Tabella51898121[[#This Row],[Temperatura]])/(POWER(Tabella3397120[Planck h],2)),1.5)*Tabella51898121[[#This Row],[Volume]]</f>
        <v>1780801.1522933373</v>
      </c>
      <c r="D44" s="4">
        <f t="shared" si="0"/>
        <v>2.8233167269250521E-2</v>
      </c>
      <c r="E44" s="4" cm="1">
        <f t="array" ref="E44">(8*POWER(PI(),2)*Tabella3397120[Boltzmann k]*Tabella51898121[[#This Row],[Temperatura]]*Tabella1118141[Total Moment of Inertia])/(Tabella61999122[Simmetry Number]*POWER(Tabella3397120[Planck h],2))</f>
        <v>5.1601416310081678</v>
      </c>
      <c r="F44">
        <f>1</f>
        <v>1</v>
      </c>
      <c r="H44" s="10">
        <v>900</v>
      </c>
      <c r="I44" s="10">
        <f>PRODUCT(Tabella51898121[[#This Row],[Qtrasl]:[Qel]])</f>
        <v>259439.82999403655</v>
      </c>
    </row>
    <row r="45" spans="1:9" x14ac:dyDescent="0.3">
      <c r="A45">
        <v>1000</v>
      </c>
      <c r="B45" s="4" cm="1">
        <f t="array" ref="B45">(Tabella3397120[Boltzmann k]*Tabella51898121[[#This Row],[Temperatura]])/101325</f>
        <v>1.3625946212681966E-25</v>
      </c>
      <c r="C45" s="4" cm="1">
        <f t="array" ref="C45">POWER((2*Tabella3397120[Pi Greco]*Tabella3397120[Massa]*Tabella3397120[Boltzmann k]*Tabella51898121[[#This Row],[Temperatura]])/(POWER(Tabella3397120[Planck h],2)),1.5)*Tabella51898121[[#This Row],[Volume]]</f>
        <v>2317443.4983947687</v>
      </c>
      <c r="D45" s="4">
        <f t="shared" si="0"/>
        <v>4.0371843014630378E-2</v>
      </c>
      <c r="E45" s="4" cm="1">
        <f t="array" ref="E45">(8*POWER(PI(),2)*Tabella3397120[Boltzmann k]*Tabella51898121[[#This Row],[Temperatura]]*Tabella1118141[Total Moment of Inertia])/(Tabella61999122[Simmetry Number]*POWER(Tabella3397120[Planck h],2))</f>
        <v>5.7334907011201874</v>
      </c>
      <c r="F45">
        <f>1</f>
        <v>1</v>
      </c>
      <c r="H45" s="10">
        <v>1000</v>
      </c>
      <c r="I45" s="10">
        <f>PRODUCT(Tabella51898121[[#This Row],[Qtrasl]:[Qel]])</f>
        <v>536422.32322412205</v>
      </c>
    </row>
    <row r="46" spans="1:9" x14ac:dyDescent="0.3">
      <c r="A46">
        <v>1100</v>
      </c>
      <c r="B46" s="4" cm="1">
        <f t="array" ref="B46">(Tabella3397120[Boltzmann k]*Tabella51898121[[#This Row],[Temperatura]])/101325</f>
        <v>1.4988540833950161E-25</v>
      </c>
      <c r="C46" s="4" cm="1">
        <f t="array" ref="C46">POWER((2*Tabella3397120[Pi Greco]*Tabella3397120[Massa]*Tabella3397120[Boltzmann k]*Tabella51898121[[#This Row],[Temperatura]])/(POWER(Tabella3397120[Planck h],2)),1.5)*Tabella51898121[[#This Row],[Volume]]</f>
        <v>2940971.8479635157</v>
      </c>
      <c r="D46" s="4">
        <f t="shared" si="0"/>
        <v>5.4128206822114118E-2</v>
      </c>
      <c r="E46" s="4" cm="1">
        <f t="array" ref="E46">(8*POWER(PI(),2)*Tabella3397120[Boltzmann k]*Tabella51898121[[#This Row],[Temperatura]]*Tabella1118141[Total Moment of Inertia])/(Tabella61999122[Simmetry Number]*POWER(Tabella3397120[Planck h],2))</f>
        <v>6.3068397712322053</v>
      </c>
      <c r="F46">
        <f>1</f>
        <v>1</v>
      </c>
      <c r="H46" s="10">
        <v>1100</v>
      </c>
      <c r="I46" s="10">
        <f>PRODUCT(Tabella51898121[[#This Row],[Qtrasl]:[Qel]])</f>
        <v>1003982.874385364</v>
      </c>
    </row>
    <row r="47" spans="1:9" x14ac:dyDescent="0.3">
      <c r="A47">
        <v>1200</v>
      </c>
      <c r="B47" s="4" cm="1">
        <f t="array" ref="B47">(Tabella3397120[Boltzmann k]*Tabella51898121[[#This Row],[Temperatura]])/101325</f>
        <v>1.6351135455218356E-25</v>
      </c>
      <c r="C47" s="4" cm="1">
        <f t="array" ref="C47">POWER((2*Tabella3397120[Pi Greco]*Tabella3397120[Massa]*Tabella3397120[Boltzmann k]*Tabella51898121[[#This Row],[Temperatura]])/(POWER(Tabella3397120[Planck h],2)),1.5)*Tabella51898121[[#This Row],[Volume]]</f>
        <v>3655630.3098657732</v>
      </c>
      <c r="D47" s="4">
        <f t="shared" si="0"/>
        <v>6.9162880821073289E-2</v>
      </c>
      <c r="E47" s="4" cm="1">
        <f t="array" ref="E47">(8*POWER(PI(),2)*Tabella3397120[Boltzmann k]*Tabella51898121[[#This Row],[Temperatura]]*Tabella1118141[Total Moment of Inertia])/(Tabella61999122[Simmetry Number]*POWER(Tabella3397120[Planck h],2))</f>
        <v>6.880188841344224</v>
      </c>
      <c r="F47">
        <f>1</f>
        <v>1</v>
      </c>
      <c r="H47" s="10">
        <v>1200</v>
      </c>
      <c r="I47" s="10">
        <f>PRODUCT(Tabella51898121[[#This Row],[Qtrasl]:[Qel]])</f>
        <v>1739545.138814359</v>
      </c>
    </row>
    <row r="48" spans="1:9" x14ac:dyDescent="0.3">
      <c r="A48">
        <v>1300</v>
      </c>
      <c r="B48" s="4" cm="1">
        <f t="array" ref="B48">(Tabella3397120[Boltzmann k]*Tabella51898121[[#This Row],[Temperatura]])/101325</f>
        <v>1.7713730076486554E-25</v>
      </c>
      <c r="C48" s="4" cm="1">
        <f t="array" ref="C48">POWER((2*Tabella3397120[Pi Greco]*Tabella3397120[Massa]*Tabella3397120[Boltzmann k]*Tabella51898121[[#This Row],[Temperatura]])/(POWER(Tabella3397120[Planck h],2)),1.5)*Tabella51898121[[#This Row],[Volume]]</f>
        <v>4465473.6928140894</v>
      </c>
      <c r="D48" s="4">
        <f t="shared" si="0"/>
        <v>8.5177865217074086E-2</v>
      </c>
      <c r="E48" s="4" cm="1">
        <f t="array" ref="E48">(8*POWER(PI(),2)*Tabella3397120[Boltzmann k]*Tabella51898121[[#This Row],[Temperatura]]*Tabella1118141[Total Moment of Inertia])/(Tabella61999122[Simmetry Number]*POWER(Tabella3397120[Planck h],2))</f>
        <v>7.4535379114562428</v>
      </c>
      <c r="F48">
        <f>1</f>
        <v>1</v>
      </c>
      <c r="H48" s="10">
        <v>1300</v>
      </c>
      <c r="I48" s="10">
        <f>PRODUCT(Tabella51898121[[#This Row],[Qtrasl]:[Qel]])</f>
        <v>2835024.0750003085</v>
      </c>
    </row>
    <row r="49" spans="1:9" x14ac:dyDescent="0.3">
      <c r="A49">
        <v>1400</v>
      </c>
      <c r="B49" s="4" cm="1">
        <f t="array" ref="B49">(Tabella3397120[Boltzmann k]*Tabella51898121[[#This Row],[Temperatura]])/101325</f>
        <v>1.9076324697754752E-25</v>
      </c>
      <c r="C49" s="4" cm="1">
        <f t="array" ref="C49">POWER((2*Tabella3397120[Pi Greco]*Tabella3397120[Massa]*Tabella3397120[Boltzmann k]*Tabella51898121[[#This Row],[Temperatura]])/(POWER(Tabella3397120[Planck h],2)),1.5)*Tabella51898121[[#This Row],[Volume]]</f>
        <v>5374390.8066970324</v>
      </c>
      <c r="D49" s="4">
        <f t="shared" si="0"/>
        <v>0.10192494603479832</v>
      </c>
      <c r="E49" s="4" cm="1">
        <f t="array" ref="E49">(8*POWER(PI(),2)*Tabella3397120[Boltzmann k]*Tabella51898121[[#This Row],[Temperatura]]*Tabella1118141[Total Moment of Inertia])/(Tabella61999122[Simmetry Number]*POWER(Tabella3397120[Planck h],2))</f>
        <v>8.0268869815682606</v>
      </c>
      <c r="F49">
        <f>1</f>
        <v>1</v>
      </c>
      <c r="H49" s="10">
        <v>1400</v>
      </c>
      <c r="I49" s="10">
        <f>PRODUCT(Tabella51898121[[#This Row],[Qtrasl]:[Qel]])</f>
        <v>4397004.2151052142</v>
      </c>
    </row>
    <row r="50" spans="1:9" x14ac:dyDescent="0.3">
      <c r="A50">
        <v>1500</v>
      </c>
      <c r="B50" s="4" cm="1">
        <f t="array" ref="B50">(Tabella3397120[Boltzmann k]*Tabella51898121[[#This Row],[Temperatura]])/101325</f>
        <v>2.0438919319022949E-25</v>
      </c>
      <c r="C50" s="4" cm="1">
        <f t="array" ref="C50">POWER((2*Tabella3397120[Pi Greco]*Tabella3397120[Massa]*Tabella3397120[Boltzmann k]*Tabella51898121[[#This Row],[Temperatura]])/(POWER(Tabella3397120[Planck h],2)),1.5)*Tabella51898121[[#This Row],[Volume]]</f>
        <v>6386123.3386472948</v>
      </c>
      <c r="D50" s="4">
        <f t="shared" si="0"/>
        <v>0.11920430742363758</v>
      </c>
      <c r="E50" s="4" cm="1">
        <f t="array" ref="E50">(8*POWER(PI(),2)*Tabella3397120[Boltzmann k]*Tabella51898121[[#This Row],[Temperatura]]*Tabella1118141[Total Moment of Inertia])/(Tabella61999122[Simmetry Number]*POWER(Tabella3397120[Planck h],2))</f>
        <v>8.6002360516802803</v>
      </c>
      <c r="F50">
        <f>1</f>
        <v>1</v>
      </c>
      <c r="H50" s="10">
        <v>1500</v>
      </c>
      <c r="I50" s="10">
        <f>PRODUCT(Tabella51898121[[#This Row],[Qtrasl]:[Qel]])</f>
        <v>6546959.0186127387</v>
      </c>
    </row>
    <row r="51" spans="1:9" x14ac:dyDescent="0.3">
      <c r="A51">
        <v>1600</v>
      </c>
      <c r="B51" s="4" cm="1">
        <f t="array" ref="B51">(Tabella3397120[Boltzmann k]*Tabella51898121[[#This Row],[Temperatura]])/101325</f>
        <v>2.1801513940291145E-25</v>
      </c>
      <c r="C51" s="4" cm="1">
        <f t="array" ref="C51">POWER((2*Tabella3397120[Pi Greco]*Tabella3397120[Massa]*Tabella3397120[Boltzmann k]*Tabella51898121[[#This Row],[Temperatura]])/(POWER(Tabella3397120[Planck h],2)),1.5)*Tabella51898121[[#This Row],[Volume]]</f>
        <v>7504281.3989644405</v>
      </c>
      <c r="D51" s="4">
        <f t="shared" si="0"/>
        <v>0.13685881940428093</v>
      </c>
      <c r="E51" s="4" cm="1">
        <f t="array" ref="E51">(8*POWER(PI(),2)*Tabella3397120[Boltzmann k]*Tabella51898121[[#This Row],[Temperatura]]*Tabella1118141[Total Moment of Inertia])/(Tabella61999122[Simmetry Number]*POWER(Tabella3397120[Planck h],2))</f>
        <v>9.1735851217922981</v>
      </c>
      <c r="F51">
        <f>1</f>
        <v>1</v>
      </c>
      <c r="H51" s="10">
        <v>1600</v>
      </c>
      <c r="I51" s="10">
        <f>PRODUCT(Tabella51898121[[#This Row],[Qtrasl]:[Qel]])</f>
        <v>9421520.457635235</v>
      </c>
    </row>
    <row r="52" spans="1:9" x14ac:dyDescent="0.3">
      <c r="A52">
        <v>1700</v>
      </c>
      <c r="B52" s="4" cm="1">
        <f t="array" ref="B52">(Tabella3397120[Boltzmann k]*Tabella51898121[[#This Row],[Temperatura]])/101325</f>
        <v>2.316410856155934E-25</v>
      </c>
      <c r="C52" s="4" cm="1">
        <f t="array" ref="C52">POWER((2*Tabella3397120[Pi Greco]*Tabella3397120[Massa]*Tabella3397120[Boltzmann k]*Tabella51898121[[#This Row],[Temperatura]])/(POWER(Tabella3397120[Planck h],2)),1.5)*Tabella51898121[[#This Row],[Volume]]</f>
        <v>8732356.5061634444</v>
      </c>
      <c r="D52" s="4">
        <f t="shared" si="0"/>
        <v>0.15476701314002345</v>
      </c>
      <c r="E52" s="4" cm="1">
        <f t="array" ref="E52">(8*POWER(PI(),2)*Tabella3397120[Boltzmann k]*Tabella51898121[[#This Row],[Temperatura]]*Tabella1118141[Total Moment of Inertia])/(Tabella61999122[Simmetry Number]*POWER(Tabella3397120[Planck h],2))</f>
        <v>9.7469341919043178</v>
      </c>
      <c r="F52">
        <f>1</f>
        <v>1</v>
      </c>
      <c r="H52" s="10">
        <v>1700</v>
      </c>
      <c r="I52" s="10">
        <f>PRODUCT(Tabella51898121[[#This Row],[Qtrasl]:[Qel]])</f>
        <v>13172793.777218616</v>
      </c>
    </row>
    <row r="53" spans="1:9" x14ac:dyDescent="0.3">
      <c r="A53">
        <v>1800</v>
      </c>
      <c r="B53" s="4" cm="1">
        <f t="array" ref="B53">(Tabella3397120[Boltzmann k]*Tabella51898121[[#This Row],[Temperatura]])/101325</f>
        <v>2.4526703182827536E-25</v>
      </c>
      <c r="C53" s="4" cm="1">
        <f t="array" ref="C53">POWER((2*Tabella3397120[Pi Greco]*Tabella3397120[Massa]*Tabella3397120[Boltzmann k]*Tabella51898121[[#This Row],[Temperatura]])/(POWER(Tabella3397120[Planck h],2)),1.5)*Tabella51898121[[#This Row],[Volume]]</f>
        <v>10073732.565851519</v>
      </c>
      <c r="D53" s="4">
        <f t="shared" si="0"/>
        <v>0.17283623721401545</v>
      </c>
      <c r="E53" s="4" cm="1">
        <f t="array" ref="E53">(8*POWER(PI(),2)*Tabella3397120[Boltzmann k]*Tabella51898121[[#This Row],[Temperatura]]*Tabella1118141[Total Moment of Inertia])/(Tabella61999122[Simmetry Number]*POWER(Tabella3397120[Planck h],2))</f>
        <v>10.320283262016336</v>
      </c>
      <c r="F53">
        <f>1</f>
        <v>1</v>
      </c>
      <c r="H53" s="10">
        <v>1800</v>
      </c>
      <c r="I53" s="10">
        <f>PRODUCT(Tabella51898121[[#This Row],[Qtrasl]:[Qel]])</f>
        <v>17968707.433068018</v>
      </c>
    </row>
    <row r="54" spans="1:9" x14ac:dyDescent="0.3">
      <c r="A54">
        <v>1900</v>
      </c>
      <c r="B54" s="4" cm="1">
        <f t="array" ref="B54">(Tabella3397120[Boltzmann k]*Tabella51898121[[#This Row],[Temperatura]])/101325</f>
        <v>2.5889297804095731E-25</v>
      </c>
      <c r="C54" s="4" cm="1">
        <f t="array" ref="C54">POWER((2*Tabella3397120[Pi Greco]*Tabella3397120[Massa]*Tabella3397120[Boltzmann k]*Tabella51898121[[#This Row],[Temperatura]])/(POWER(Tabella3397120[Planck h],2)),1.5)*Tabella51898121[[#This Row],[Volume]]</f>
        <v>11531695.252513923</v>
      </c>
      <c r="D54" s="4">
        <f t="shared" si="0"/>
        <v>0.19099662948331608</v>
      </c>
      <c r="E54" s="4" cm="1">
        <f t="array" ref="E54">(8*POWER(PI(),2)*Tabella3397120[Boltzmann k]*Tabella51898121[[#This Row],[Temperatura]]*Tabella1118141[Total Moment of Inertia])/(Tabella61999122[Simmetry Number]*POWER(Tabella3397120[Planck h],2))</f>
        <v>10.893632332128353</v>
      </c>
      <c r="F54">
        <f>1</f>
        <v>1</v>
      </c>
      <c r="H54" s="10">
        <v>1900</v>
      </c>
      <c r="I54" s="10">
        <f>PRODUCT(Tabella51898121[[#This Row],[Qtrasl]:[Qel]])</f>
        <v>23993387.803974528</v>
      </c>
    </row>
    <row r="55" spans="1:9" x14ac:dyDescent="0.3">
      <c r="A55">
        <v>2000</v>
      </c>
      <c r="B55" s="4" cm="1">
        <f t="array" ref="B55">(Tabella3397120[Boltzmann k]*Tabella51898121[[#This Row],[Temperatura]])/101325</f>
        <v>2.7251892425363931E-25</v>
      </c>
      <c r="C55" s="4" cm="1">
        <f t="array" ref="C55">POWER((2*Tabella3397120[Pi Greco]*Tabella3397120[Massa]*Tabella3397120[Boltzmann k]*Tabella51898121[[#This Row],[Temperatura]])/(POWER(Tabella3397120[Planck h],2)),1.5)*Tabella51898121[[#This Row],[Volume]]</f>
        <v>13109440.101852972</v>
      </c>
      <c r="D55" s="4">
        <f t="shared" si="0"/>
        <v>0.20919608889721222</v>
      </c>
      <c r="E55" s="4" cm="1">
        <f t="array" ref="E55">(8*POWER(PI(),2)*Tabella3397120[Boltzmann k]*Tabella51898121[[#This Row],[Temperatura]]*Tabella1118141[Total Moment of Inertia])/(Tabella61999122[Simmetry Number]*POWER(Tabella3397120[Planck h],2))</f>
        <v>11.466981402240375</v>
      </c>
      <c r="F55">
        <f>1</f>
        <v>1</v>
      </c>
      <c r="H55" s="11">
        <v>2000</v>
      </c>
      <c r="I55" s="10">
        <f>PRODUCT(Tabella51898121[[#This Row],[Qtrasl]:[Qel]])</f>
        <v>31447549.722803179</v>
      </c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Q98"/>
  <sheetViews>
    <sheetView topLeftCell="B55" workbookViewId="0">
      <selection activeCell="R62" sqref="R62"/>
    </sheetView>
  </sheetViews>
  <sheetFormatPr defaultRowHeight="14.4" x14ac:dyDescent="0.3"/>
  <cols>
    <col min="1" max="1" width="13" customWidth="1"/>
    <col min="2" max="2" width="14.109375" customWidth="1"/>
    <col min="3" max="3" width="15.6640625" customWidth="1"/>
    <col min="4" max="4" width="11.44140625" customWidth="1"/>
    <col min="5" max="5" width="11.5546875" customWidth="1"/>
    <col min="6" max="6" width="13.33203125" customWidth="1"/>
    <col min="7" max="7" width="12.33203125" customWidth="1"/>
    <col min="8" max="8" width="13.44140625" customWidth="1"/>
    <col min="10" max="10" width="11.109375" customWidth="1"/>
    <col min="14" max="14" width="12" bestFit="1" customWidth="1"/>
    <col min="15" max="15" width="12.5546875" customWidth="1"/>
    <col min="16" max="16" width="12" bestFit="1" customWidth="1"/>
    <col min="17" max="17" width="10.21875" customWidth="1"/>
  </cols>
  <sheetData>
    <row r="5" spans="7:16" x14ac:dyDescent="0.3">
      <c r="G5" t="s">
        <v>0</v>
      </c>
      <c r="N5" t="s">
        <v>3</v>
      </c>
      <c r="O5" t="s">
        <v>7</v>
      </c>
    </row>
    <row r="6" spans="7:16" x14ac:dyDescent="0.3">
      <c r="N6" s="3">
        <v>1.0900000000000001</v>
      </c>
      <c r="O6" s="2">
        <f>-41.0268569853</f>
        <v>-41.0268569853</v>
      </c>
      <c r="P6" s="2"/>
    </row>
    <row r="7" spans="7:16" x14ac:dyDescent="0.3">
      <c r="G7" t="s">
        <v>1</v>
      </c>
      <c r="N7" s="3">
        <v>1.2</v>
      </c>
      <c r="O7" s="2">
        <f>-41.0209359175</f>
        <v>-41.020935917499997</v>
      </c>
      <c r="P7" s="2"/>
    </row>
    <row r="8" spans="7:16" x14ac:dyDescent="0.3">
      <c r="G8" t="s">
        <v>2</v>
      </c>
      <c r="N8" s="3">
        <v>1.3</v>
      </c>
      <c r="O8" s="2">
        <f>-41.0131993681</f>
        <v>-41.013199368099997</v>
      </c>
      <c r="P8" s="2"/>
    </row>
    <row r="9" spans="7:16" x14ac:dyDescent="0.3">
      <c r="N9" s="3">
        <v>1.4</v>
      </c>
      <c r="O9" s="2">
        <f>-41.0118028575</f>
        <v>-41.011802857500001</v>
      </c>
      <c r="P9" s="2"/>
    </row>
    <row r="10" spans="7:16" x14ac:dyDescent="0.3">
      <c r="G10" t="s">
        <v>4</v>
      </c>
      <c r="N10" s="3">
        <v>1.5</v>
      </c>
      <c r="O10" s="2">
        <f>-41.0124609412</f>
        <v>-41.012460941199997</v>
      </c>
      <c r="P10" s="2" t="s">
        <v>5</v>
      </c>
    </row>
    <row r="11" spans="7:16" x14ac:dyDescent="0.3">
      <c r="N11" s="3"/>
      <c r="O11" s="2"/>
      <c r="P11" s="2" t="s">
        <v>6</v>
      </c>
    </row>
    <row r="12" spans="7:16" x14ac:dyDescent="0.3">
      <c r="N12" s="3"/>
      <c r="O12" s="2"/>
      <c r="P12" s="2"/>
    </row>
    <row r="13" spans="7:16" x14ac:dyDescent="0.3">
      <c r="N13" s="3"/>
      <c r="O13" s="2"/>
    </row>
    <row r="14" spans="7:16" x14ac:dyDescent="0.3">
      <c r="N14" s="3" t="s">
        <v>8</v>
      </c>
      <c r="O14" s="2"/>
    </row>
    <row r="15" spans="7:16" x14ac:dyDescent="0.3">
      <c r="N15" s="3" t="s">
        <v>9</v>
      </c>
      <c r="O15" s="2"/>
    </row>
    <row r="48" spans="1:8" x14ac:dyDescent="0.3">
      <c r="A48" t="s">
        <v>10</v>
      </c>
      <c r="B48" t="s">
        <v>11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17</v>
      </c>
    </row>
    <row r="49" spans="1:17" x14ac:dyDescent="0.3">
      <c r="A49">
        <v>3.1415899999999999</v>
      </c>
      <c r="B49" s="4">
        <f>17.03913*1.6605655E-27</f>
        <v>2.8294591428014998E-26</v>
      </c>
      <c r="C49" s="4">
        <f>1.380649E-23</f>
        <v>1.3806490000000001E-23</v>
      </c>
      <c r="D49" s="4">
        <f>6.62607015E-34</f>
        <v>6.6260701499999998E-34</v>
      </c>
      <c r="E49" s="4">
        <f>8.314462</f>
        <v>8.3144620000000007</v>
      </c>
      <c r="F49" s="4">
        <v>6.0221410000000001E+23</v>
      </c>
      <c r="G49">
        <v>29979300000</v>
      </c>
      <c r="H49">
        <f>Tabella3336[[#This Row],[Speed of Light '[cm/s']]]*POWER(10,-2)</f>
        <v>299793000</v>
      </c>
    </row>
    <row r="51" spans="1:17" x14ac:dyDescent="0.3">
      <c r="A51" t="s">
        <v>18</v>
      </c>
      <c r="B51" t="s">
        <v>19</v>
      </c>
      <c r="C51" t="s">
        <v>20</v>
      </c>
      <c r="D51" t="s">
        <v>21</v>
      </c>
      <c r="E51" t="s">
        <v>22</v>
      </c>
    </row>
    <row r="52" spans="1:17" x14ac:dyDescent="0.3">
      <c r="A52" s="2">
        <f>148.87887</f>
        <v>148.87887000000001</v>
      </c>
      <c r="B52" cm="1">
        <f t="array" ref="B52">((Tabella5044[[#This Row],[Rotational Constants '[Ghz']]]*1000000000)/Tabella3336[Speed of Light '[cm/s']])*100</f>
        <v>496.60555783490611</v>
      </c>
      <c r="C52" s="4" cm="1">
        <f t="array" ref="C52">Tabella3336[Planck h]/(8*POWER(Tabella3336[Pi Greco],2)*Tabella5044[[#This Row],[Rotational Constant '[m^-1']]]*Tabella3336[Speed of Light '[m/s']])</f>
        <v>5.6368174060379654E-47</v>
      </c>
      <c r="D52">
        <f>SQRT(PRODUCT(Tabella5044[Moments of Inertia]))</f>
        <v>1.0849584775116828E-69</v>
      </c>
      <c r="E52" s="4" cm="1">
        <f t="array" ref="E52">POWER(Tabella3336[Planck h],2)/(8*POWER(Tabella3336[Pi Greco],2)*Tabella1945[[#This Row],[Total Moment of Inertia]]*Tabella3336[Boltzmann k])</f>
        <v>3.7121597703956859E+23</v>
      </c>
      <c r="F52" s="4"/>
    </row>
    <row r="53" spans="1:17" x14ac:dyDescent="0.3">
      <c r="A53">
        <f>58.07294</f>
        <v>58.072940000000003</v>
      </c>
      <c r="B53" cm="1">
        <f t="array" ref="B53">((Tabella5044[[#This Row],[Rotational Constants '[Ghz']]]*1000000000)/Tabella3336[Speed of Light '[cm/s']])*100</f>
        <v>193.71012665405794</v>
      </c>
      <c r="C53" s="4" cm="1">
        <f t="array" ref="C53">Tabella3336[Planck h]/(8*POWER(Tabella3336[Pi Greco],2)*Tabella5044[[#This Row],[Rotational Constant '[m^-1']]]*Tabella3336[Speed of Light '[m/s']])</f>
        <v>1.4450844159211907E-46</v>
      </c>
    </row>
    <row r="54" spans="1:17" x14ac:dyDescent="0.3">
      <c r="A54">
        <f>58.07216</f>
        <v>58.072159999999997</v>
      </c>
      <c r="B54" cm="1">
        <f t="array" ref="B54">((Tabella5044[[#This Row],[Rotational Constants '[Ghz']]]*1000000000)/Tabella3336[Speed of Light '[cm/s']])*100</f>
        <v>193.70752485881926</v>
      </c>
      <c r="C54" s="4" cm="1">
        <f t="array" ref="C54">Tabella3336[Planck h]/(8*POWER(Tabella3336[Pi Greco],2)*Tabella5044[[#This Row],[Rotational Constant '[m^-1']]]*Tabella3336[Speed of Light '[m/s']])</f>
        <v>1.4451038256666593E-46</v>
      </c>
    </row>
    <row r="56" spans="1:17" x14ac:dyDescent="0.3">
      <c r="E56" s="4"/>
    </row>
    <row r="57" spans="1:17" x14ac:dyDescent="0.3">
      <c r="A57" t="s">
        <v>23</v>
      </c>
    </row>
    <row r="58" spans="1:17" x14ac:dyDescent="0.3">
      <c r="A58">
        <v>1</v>
      </c>
      <c r="E58" t="s">
        <v>24</v>
      </c>
      <c r="F58" t="s">
        <v>25</v>
      </c>
      <c r="G58" t="s">
        <v>26</v>
      </c>
      <c r="H58" t="s">
        <v>27</v>
      </c>
      <c r="I58" t="s">
        <v>28</v>
      </c>
      <c r="J58" t="s">
        <v>29</v>
      </c>
      <c r="K58" t="s">
        <v>30</v>
      </c>
      <c r="L58" t="s">
        <v>31</v>
      </c>
      <c r="M58" t="s">
        <v>32</v>
      </c>
      <c r="N58" t="s">
        <v>51</v>
      </c>
      <c r="O58" t="s">
        <v>52</v>
      </c>
      <c r="P58" t="s">
        <v>53</v>
      </c>
    </row>
    <row r="59" spans="1:17" x14ac:dyDescent="0.3">
      <c r="E59">
        <f>B61</f>
        <v>-34725254030610.004</v>
      </c>
      <c r="F59">
        <f>B62</f>
        <v>16536422989710</v>
      </c>
      <c r="G59">
        <f>B63</f>
        <v>16541381565929.998</v>
      </c>
      <c r="H59">
        <f>B64</f>
        <v>32270222172240</v>
      </c>
      <c r="I59">
        <f>B65</f>
        <v>34983747546930</v>
      </c>
      <c r="J59">
        <f>B66</f>
        <v>34986241824690.004</v>
      </c>
      <c r="K59">
        <f>B67</f>
        <v>43077675880200</v>
      </c>
      <c r="L59">
        <f>B68</f>
        <v>43089940411830</v>
      </c>
      <c r="M59">
        <f>B69</f>
        <v>56156097538320</v>
      </c>
      <c r="N59">
        <f>B70</f>
        <v>92391531825060</v>
      </c>
      <c r="O59">
        <f>B71</f>
        <v>96825976945230</v>
      </c>
      <c r="P59">
        <f>B72</f>
        <v>96833174975160</v>
      </c>
    </row>
    <row r="60" spans="1:17" x14ac:dyDescent="0.3">
      <c r="A60" t="s">
        <v>33</v>
      </c>
      <c r="B60" t="s">
        <v>34</v>
      </c>
      <c r="D60" t="s">
        <v>35</v>
      </c>
      <c r="E60" t="s">
        <v>36</v>
      </c>
      <c r="F60" t="s">
        <v>37</v>
      </c>
      <c r="G60" t="s">
        <v>38</v>
      </c>
      <c r="H60" t="s">
        <v>39</v>
      </c>
      <c r="I60" t="s">
        <v>40</v>
      </c>
      <c r="J60" t="s">
        <v>41</v>
      </c>
      <c r="K60" t="s">
        <v>42</v>
      </c>
      <c r="L60" t="s">
        <v>43</v>
      </c>
      <c r="M60" t="s">
        <v>44</v>
      </c>
      <c r="N60" t="s">
        <v>54</v>
      </c>
      <c r="O60" t="s">
        <v>55</v>
      </c>
      <c r="P60" t="s">
        <v>56</v>
      </c>
      <c r="Q60" t="s">
        <v>45</v>
      </c>
    </row>
    <row r="61" spans="1:17" x14ac:dyDescent="0.3">
      <c r="A61" s="5">
        <f>-1158.3077</f>
        <v>-1158.3077000000001</v>
      </c>
      <c r="B61" cm="1">
        <f t="array" ref="B61">Tabella4742[[#This Row],[Wavenumbers '[cm^-1']]]*Tabella3336[Speed of Light '[cm/s']]</f>
        <v>-34725254030610.004</v>
      </c>
      <c r="D61">
        <v>298</v>
      </c>
      <c r="E61" s="4" cm="1">
        <f t="array" ref="E61">(EXP(-(Tabella3336[Planck h]*Tabella4943[Frequency1])/(2*Tabella3336[Boltzmann k]*Tabella82041[[#This Row],[Temperatura]])))/(1-EXP(-(Tabella3336[Planck h]*Tabella4943[Frequency1])/(Tabella3336[Boltzmann k]*Tabella82041[[#This Row],[Temperatura]])))</f>
        <v>-6.1268411214669152E-2</v>
      </c>
      <c r="F61" s="4" cm="1">
        <f t="array" ref="F61">(EXP(-(Tabella3336[Planck h]*Tabella4943[Frequency2])/(2*Tabella3336[Boltzmann k]*Tabella82041[[#This Row],[Temperatura]])))/(1-EXP(-(Tabella3336[Planck h]*Tabella4943[Frequency2])/(Tabella3336[Boltzmann k]*Tabella82041[[#This Row],[Temperatura]])))</f>
        <v>0.28385122171800703</v>
      </c>
      <c r="G61" s="4" cm="1">
        <f t="array" ref="G61">(EXP(-(Tabella3336[Planck h]*Tabella4943[Frequency3])/(2*Tabella3336[Boltzmann k]*Tabella82041[[#This Row],[Temperatura]])))/(1-EXP(-(Tabella3336[Planck h]*Tabella4943[Frequency3])/(Tabella3336[Boltzmann k]*Tabella82041[[#This Row],[Temperatura]])))</f>
        <v>0.28372093115134933</v>
      </c>
      <c r="H61" s="4" cm="1">
        <f t="array" ref="H61">(EXP(-(Tabella3336[Planck h]*Tabella4943[Frequency4])/(2*Tabella3336[Boltzmann k]*Tabella82041[[#This Row],[Temperatura]])))/(1-EXP(-(Tabella3336[Planck h]*Tabella4943[Frequency4])/(Tabella3336[Boltzmann k]*Tabella82041[[#This Row],[Temperatura]])))</f>
        <v>7.4796356162929734E-2</v>
      </c>
      <c r="I61" s="4" cm="1">
        <f t="array" ref="I61">(EXP(-(Tabella3336[Planck h]*Tabella4943[Frequency5])/(2*Tabella3336[Boltzmann k]*Tabella82041[[#This Row],[Temperatura]])))/(1-EXP(-(Tabella3336[Planck h]*Tabella4943[Frequency5])/(Tabella3336[Boltzmann k]*Tabella82041[[#This Row],[Temperatura]])))</f>
        <v>5.9997141974327359E-2</v>
      </c>
      <c r="J61" s="4" cm="1">
        <f t="array" ref="J61">(EXP(-(Tabella3336[Planck h]*Tabella4943[Frequency6])/(2*Tabella3336[Boltzmann k]*Tabella82041[[#This Row],[Temperatura]])))/(1-EXP(-(Tabella3336[Planck h]*Tabella4943[Frequency6])/(Tabella3336[Boltzmann k]*Tabella82041[[#This Row],[Temperatura]])))</f>
        <v>5.9985006363483265E-2</v>
      </c>
      <c r="K61" s="4" cm="1">
        <f t="array" ref="K61">(EXP(-(Tabella3336[Planck h]*Tabella4943[Frequency7])/(2*Tabella3336[Boltzmann k]*Tabella82041[[#This Row],[Temperatura]])))/(1-EXP(-(Tabella3336[Planck h]*Tabella4943[Frequency7])/(Tabella3336[Boltzmann k]*Tabella82041[[#This Row],[Temperatura]])))</f>
        <v>3.1184788312123325E-2</v>
      </c>
      <c r="L61" s="4" cm="1">
        <f t="array" ref="L61">(EXP(-(Tabella3336[Planck h]*Tabella4943[Frequency8])/(2*Tabella3336[Boltzmann k]*Tabella82041[[#This Row],[Temperatura]])))/(1-EXP(-(Tabella3336[Planck h]*Tabella4943[Frequency8])/(Tabella3336[Boltzmann k]*Tabella82041[[#This Row],[Temperatura]])))</f>
        <v>3.1153945950295504E-2</v>
      </c>
      <c r="M61" s="4" cm="1">
        <f t="array" ref="M61">(EXP(-(Tabella3336[Planck h]*Tabella4943[Frequency9])/(2*Tabella3336[Boltzmann k]*Tabella82041[[#This Row],[Temperatura]])))/(1-EXP(-(Tabella3336[Planck h]*Tabella4943[Frequency9])/(Tabella3336[Boltzmann k]*Tabella82041[[#This Row],[Temperatura]])))</f>
        <v>1.0869360435461262E-2</v>
      </c>
      <c r="N61" s="4" cm="1">
        <f t="array" ref="N61">(EXP(-(Tabella3336[Planck h]*Tabella4943[Frequency10])/(2*Tabella3336[Boltzmann k]*Tabella82041[[#This Row],[Temperatura]])))/(1-EXP(-(Tabella3336[Planck h]*Tabella4943[Frequency10])/(Tabella3336[Boltzmann k]*Tabella82041[[#This Row],[Temperatura]])))</f>
        <v>5.8742909430276069E-4</v>
      </c>
      <c r="O61" s="4" cm="1">
        <f t="array" ref="O61">(EXP(-(Tabella3336[Planck h]*Tabella4943[Frequency11])/(2*Tabella3336[Boltzmann k]*Tabella82041[[#This Row],[Temperatura]])))/(1-EXP(-(Tabella3336[Planck h]*Tabella4943[Frequency11])/(Tabella3336[Boltzmann k]*Tabella82041[[#This Row],[Temperatura]])))</f>
        <v>4.110336852006274E-4</v>
      </c>
      <c r="P61" s="4" cm="1">
        <f t="array" ref="P61">(EXP(-(Tabella3336[Planck h]*Tabella4943[Frequency12])/(2*Tabella3336[Boltzmann k]*Tabella82041[[#This Row],[Temperatura]])))/(1-EXP(-(Tabella3336[Planck h]*Tabella4943[Frequency12])/(Tabella3336[Boltzmann k]*Tabella82041[[#This Row],[Temperatura]])))</f>
        <v>4.1079551257699895E-4</v>
      </c>
      <c r="Q61" s="4">
        <f>ABS(PRODUCT(Tabella82041[[#This Row],[Qvib2]:[Qvib12]]))</f>
        <v>2.2706712879112707E-20</v>
      </c>
    </row>
    <row r="62" spans="1:17" x14ac:dyDescent="0.3">
      <c r="A62" s="5">
        <f>551.5947</f>
        <v>551.59469999999999</v>
      </c>
      <c r="B62" cm="1">
        <f t="array" ref="B62">Tabella4742[[#This Row],[Wavenumbers '[cm^-1']]]*Tabella3336[Speed of Light '[cm/s']]</f>
        <v>16536422989710</v>
      </c>
      <c r="D62">
        <v>400</v>
      </c>
      <c r="E62" s="4" cm="1">
        <f t="array" ref="E62">(EXP(-(Tabella3336[Planck h]*Tabella4943[Frequency1])/(2*Tabella3336[Boltzmann k]*Tabella82041[[#This Row],[Temperatura]])))/(1-EXP(-(Tabella3336[Planck h]*Tabella4943[Frequency1])/(Tabella3336[Boltzmann k]*Tabella82041[[#This Row],[Temperatura]])))</f>
        <v>-0.12649445936129292</v>
      </c>
      <c r="F62" s="4" cm="1">
        <f t="array" ref="F62">(EXP(-(Tabella3336[Planck h]*Tabella4943[Frequency2])/(2*Tabella3336[Boltzmann k]*Tabella82041[[#This Row],[Temperatura]])))/(1-EXP(-(Tabella3336[Planck h]*Tabella4943[Frequency2])/(Tabella3336[Boltzmann k]*Tabella82041[[#This Row],[Temperatura]])))</f>
        <v>0.42994539498794987</v>
      </c>
      <c r="G62" s="4" cm="1">
        <f t="array" ref="G62">(EXP(-(Tabella3336[Planck h]*Tabella4943[Frequency3])/(2*Tabella3336[Boltzmann k]*Tabella82041[[#This Row],[Temperatura]])))/(1-EXP(-(Tabella3336[Planck h]*Tabella4943[Frequency3])/(Tabella3336[Boltzmann k]*Tabella82041[[#This Row],[Temperatura]])))</f>
        <v>0.42977676573371804</v>
      </c>
      <c r="H62" s="4" cm="1">
        <f t="array" ref="H62">(EXP(-(Tabella3336[Planck h]*Tabella4943[Frequency4])/(2*Tabella3336[Boltzmann k]*Tabella82041[[#This Row],[Temperatura]])))/(1-EXP(-(Tabella3336[Planck h]*Tabella4943[Frequency4])/(Tabella3336[Boltzmann k]*Tabella82041[[#This Row],[Temperatura]])))</f>
        <v>0.1473613309364819</v>
      </c>
      <c r="I62" s="4" cm="1">
        <f t="array" ref="I62">(EXP(-(Tabella3336[Planck h]*Tabella4943[Frequency5])/(2*Tabella3336[Boltzmann k]*Tabella82041[[#This Row],[Temperatura]])))/(1-EXP(-(Tabella3336[Planck h]*Tabella4943[Frequency5])/(Tabella3336[Boltzmann k]*Tabella82041[[#This Row],[Temperatura]])))</f>
        <v>0.1244881333784639</v>
      </c>
      <c r="J62" s="4" cm="1">
        <f t="array" ref="J62">(EXP(-(Tabella3336[Planck h]*Tabella4943[Frequency6])/(2*Tabella3336[Boltzmann k]*Tabella82041[[#This Row],[Temperatura]])))/(1-EXP(-(Tabella3336[Planck h]*Tabella4943[Frequency6])/(Tabella3336[Boltzmann k]*Tabella82041[[#This Row],[Temperatura]])))</f>
        <v>0.12446893873112154</v>
      </c>
      <c r="K62" s="4" cm="1">
        <f t="array" ref="K62">(EXP(-(Tabella3336[Planck h]*Tabella4943[Frequency7])/(2*Tabella3336[Boltzmann k]*Tabella82041[[#This Row],[Temperatura]])))/(1-EXP(-(Tabella3336[Planck h]*Tabella4943[Frequency7])/(Tabella3336[Boltzmann k]*Tabella82041[[#This Row],[Temperatura]])))</f>
        <v>7.588443908288528E-2</v>
      </c>
      <c r="L62" s="4" cm="1">
        <f t="array" ref="L62">(EXP(-(Tabella3336[Planck h]*Tabella4943[Frequency8])/(2*Tabella3336[Boltzmann k]*Tabella82041[[#This Row],[Temperatura]])))/(1-EXP(-(Tabella3336[Planck h]*Tabella4943[Frequency8])/(Tabella3336[Boltzmann k]*Tabella82041[[#This Row],[Temperatura]])))</f>
        <v>7.5827988786925163E-2</v>
      </c>
      <c r="M62" s="4" cm="1">
        <f t="array" ref="M62">(EXP(-(Tabella3336[Planck h]*Tabella4943[Frequency9])/(2*Tabella3336[Boltzmann k]*Tabella82041[[#This Row],[Temperatura]])))/(1-EXP(-(Tabella3336[Planck h]*Tabella4943[Frequency9])/(Tabella3336[Boltzmann k]*Tabella82041[[#This Row],[Temperatura]])))</f>
        <v>3.4470602607655068E-2</v>
      </c>
      <c r="N62" s="4" cm="1">
        <f t="array" ref="N62">(EXP(-(Tabella3336[Planck h]*Tabella4943[Frequency10])/(2*Tabella3336[Boltzmann k]*Tabella82041[[#This Row],[Temperatura]])))/(1-EXP(-(Tabella3336[Planck h]*Tabella4943[Frequency10])/(Tabella3336[Boltzmann k]*Tabella82041[[#This Row],[Temperatura]])))</f>
        <v>3.9163217211240298E-3</v>
      </c>
      <c r="O62" s="4" cm="1">
        <f t="array" ref="O62">(EXP(-(Tabella3336[Planck h]*Tabella4943[Frequency11])/(2*Tabella3336[Boltzmann k]*Tabella82041[[#This Row],[Temperatura]])))/(1-EXP(-(Tabella3336[Planck h]*Tabella4943[Frequency11])/(Tabella3336[Boltzmann k]*Tabella82041[[#This Row],[Temperatura]])))</f>
        <v>3.0015289184589637E-3</v>
      </c>
      <c r="P62" s="4" cm="1">
        <f t="array" ref="P62">(EXP(-(Tabella3336[Planck h]*Tabella4943[Frequency12])/(2*Tabella3336[Boltzmann k]*Tabella82041[[#This Row],[Temperatura]])))/(1-EXP(-(Tabella3336[Planck h]*Tabella4943[Frequency12])/(Tabella3336[Boltzmann k]*Tabella82041[[#This Row],[Temperatura]])))</f>
        <v>3.0002330736415383E-3</v>
      </c>
      <c r="Q62" s="4">
        <f>ABS(PRODUCT(Tabella82041[[#This Row],[Qvib2]:[Qvib12]]))</f>
        <v>2.9514521097107459E-15</v>
      </c>
    </row>
    <row r="63" spans="1:17" x14ac:dyDescent="0.3">
      <c r="A63" s="5">
        <f>551.7601</f>
        <v>551.76009999999997</v>
      </c>
      <c r="B63" cm="1">
        <f t="array" ref="B63">Tabella4742[[#This Row],[Wavenumbers '[cm^-1']]]*Tabella3336[Speed of Light '[cm/s']]</f>
        <v>16541381565929.998</v>
      </c>
      <c r="D63">
        <v>500</v>
      </c>
      <c r="E63" s="4" cm="1">
        <f t="array" ref="E63">(EXP(-(Tabella3336[Planck h]*Tabella4943[Frequency1])/(2*Tabella3336[Boltzmann k]*Tabella82041[[#This Row],[Temperatura]])))/(1-EXP(-(Tabella3336[Planck h]*Tabella4943[Frequency1])/(Tabella3336[Boltzmann k]*Tabella82041[[#This Row],[Temperatura]])))</f>
        <v>-0.19588749154361532</v>
      </c>
      <c r="F63" s="4" cm="1">
        <f t="array" ref="F63">(EXP(-(Tabella3336[Planck h]*Tabella4943[Frequency2])/(2*Tabella3336[Boltzmann k]*Tabella82041[[#This Row],[Temperatura]])))/(1-EXP(-(Tabella3336[Planck h]*Tabella4943[Frequency2])/(Tabella3336[Boltzmann k]*Tabella82041[[#This Row],[Temperatura]])))</f>
        <v>0.56844321202062387</v>
      </c>
      <c r="G63" s="4" cm="1">
        <f t="array" ref="G63">(EXP(-(Tabella3336[Planck h]*Tabella4943[Frequency3])/(2*Tabella3336[Boltzmann k]*Tabella82041[[#This Row],[Temperatura]])))/(1-EXP(-(Tabella3336[Planck h]*Tabella4943[Frequency3])/(Tabella3336[Boltzmann k]*Tabella82041[[#This Row],[Temperatura]])))</f>
        <v>0.56823844963604087</v>
      </c>
      <c r="H63" s="4" cm="1">
        <f t="array" ref="H63">(EXP(-(Tabella3336[Planck h]*Tabella4943[Frequency4])/(2*Tabella3336[Boltzmann k]*Tabella82041[[#This Row],[Temperatura]])))/(1-EXP(-(Tabella3336[Planck h]*Tabella4943[Frequency4])/(Tabella3336[Boltzmann k]*Tabella82041[[#This Row],[Temperatura]])))</f>
        <v>0.22257066796716005</v>
      </c>
      <c r="I63" s="4" cm="1">
        <f t="array" ref="I63">(EXP(-(Tabella3336[Planck h]*Tabella4943[Frequency5])/(2*Tabella3336[Boltzmann k]*Tabella82041[[#This Row],[Temperatura]])))/(1-EXP(-(Tabella3336[Planck h]*Tabella4943[Frequency5])/(Tabella3336[Boltzmann k]*Tabella82041[[#This Row],[Temperatura]])))</f>
        <v>0.19329709448438304</v>
      </c>
      <c r="J63" s="4" cm="1">
        <f t="array" ref="J63">(EXP(-(Tabella3336[Planck h]*Tabella4943[Frequency6])/(2*Tabella3336[Boltzmann k]*Tabella82041[[#This Row],[Temperatura]])))/(1-EXP(-(Tabella3336[Planck h]*Tabella4943[Frequency6])/(Tabella3336[Boltzmann k]*Tabella82041[[#This Row],[Temperatura]])))</f>
        <v>0.19327228844692348</v>
      </c>
      <c r="K63" s="4" cm="1">
        <f t="array" ref="K63">(EXP(-(Tabella3336[Planck h]*Tabella4943[Frequency7])/(2*Tabella3336[Boltzmann k]*Tabella82041[[#This Row],[Temperatura]])))/(1-EXP(-(Tabella3336[Planck h]*Tabella4943[Frequency7])/(Tabella3336[Boltzmann k]*Tabella82041[[#This Row],[Temperatura]])))</f>
        <v>0.12857188562900718</v>
      </c>
      <c r="L63" s="4" cm="1">
        <f t="array" ref="L63">(EXP(-(Tabella3336[Planck h]*Tabella4943[Frequency8])/(2*Tabella3336[Boltzmann k]*Tabella82041[[#This Row],[Temperatura]])))/(1-EXP(-(Tabella3336[Planck h]*Tabella4943[Frequency8])/(Tabella3336[Boltzmann k]*Tabella82041[[#This Row],[Temperatura]])))</f>
        <v>0.12849377084741609</v>
      </c>
      <c r="M63" s="4" cm="1">
        <f t="array" ref="M63">(EXP(-(Tabella3336[Planck h]*Tabella4943[Frequency9])/(2*Tabella3336[Boltzmann k]*Tabella82041[[#This Row],[Temperatura]])))/(1-EXP(-(Tabella3336[Planck h]*Tabella4943[Frequency9])/(Tabella3336[Boltzmann k]*Tabella82041[[#This Row],[Temperatura]])))</f>
        <v>6.7847290291577475E-2</v>
      </c>
      <c r="N63" s="4" cm="1">
        <f t="array" ref="N63">(EXP(-(Tabella3336[Planck h]*Tabella4943[Frequency10])/(2*Tabella3336[Boltzmann k]*Tabella82041[[#This Row],[Temperatura]])))/(1-EXP(-(Tabella3336[Planck h]*Tabella4943[Frequency10])/(Tabella3336[Boltzmann k]*Tabella82041[[#This Row],[Temperatura]])))</f>
        <v>1.1867480102827741E-2</v>
      </c>
      <c r="O63" s="4" cm="1">
        <f t="array" ref="O63">(EXP(-(Tabella3336[Planck h]*Tabella4943[Frequency11])/(2*Tabella3336[Boltzmann k]*Tabella82041[[#This Row],[Temperatura]])))/(1-EXP(-(Tabella3336[Planck h]*Tabella4943[Frequency11])/(Tabella3336[Boltzmann k]*Tabella82041[[#This Row],[Temperatura]])))</f>
        <v>9.5920370633048278E-3</v>
      </c>
      <c r="P63" s="4" cm="1">
        <f t="array" ref="P63">(EXP(-(Tabella3336[Planck h]*Tabella4943[Frequency12])/(2*Tabella3336[Boltzmann k]*Tabella82041[[#This Row],[Temperatura]])))/(1-EXP(-(Tabella3336[Planck h]*Tabella4943[Frequency12])/(Tabella3336[Boltzmann k]*Tabella82041[[#This Row],[Temperatura]])))</f>
        <v>9.5887234479664265E-3</v>
      </c>
      <c r="Q63" s="4">
        <f>ABS(PRODUCT(Tabella82041[[#This Row],[Qvib2]:[Qvib12]]))</f>
        <v>3.2860282617676169E-12</v>
      </c>
    </row>
    <row r="64" spans="1:17" x14ac:dyDescent="0.3">
      <c r="A64" s="5">
        <f>1076.4168</f>
        <v>1076.4168</v>
      </c>
      <c r="B64" cm="1">
        <f t="array" ref="B64">Tabella4742[[#This Row],[Wavenumbers '[cm^-1']]]*Tabella3336[Speed of Light '[cm/s']]</f>
        <v>32270222172240</v>
      </c>
      <c r="D64">
        <v>600</v>
      </c>
      <c r="E64" s="4" cm="1">
        <f t="array" ref="E64">(EXP(-(Tabella3336[Planck h]*Tabella4943[Frequency1])/(2*Tabella3336[Boltzmann k]*Tabella82041[[#This Row],[Temperatura]])))/(1-EXP(-(Tabella3336[Planck h]*Tabella4943[Frequency1])/(Tabella3336[Boltzmann k]*Tabella82041[[#This Row],[Temperatura]])))</f>
        <v>-0.26591339135303504</v>
      </c>
      <c r="F64" s="4" cm="1">
        <f t="array" ref="F64">(EXP(-(Tabella3336[Planck h]*Tabella4943[Frequency2])/(2*Tabella3336[Boltzmann k]*Tabella82041[[#This Row],[Temperatura]])))/(1-EXP(-(Tabella3336[Planck h]*Tabella4943[Frequency2])/(Tabella3336[Boltzmann k]*Tabella82041[[#This Row],[Temperatura]])))</f>
        <v>0.70360181140382094</v>
      </c>
      <c r="G64" s="4" cm="1">
        <f t="array" ref="G64">(EXP(-(Tabella3336[Planck h]*Tabella4943[Frequency3])/(2*Tabella3336[Boltzmann k]*Tabella82041[[#This Row],[Temperatura]])))/(1-EXP(-(Tabella3336[Planck h]*Tabella4943[Frequency3])/(Tabella3336[Boltzmann k]*Tabella82041[[#This Row],[Temperatura]])))</f>
        <v>0.70336100056201178</v>
      </c>
      <c r="H64" s="4" cm="1">
        <f t="array" ref="H64">(EXP(-(Tabella3336[Planck h]*Tabella4943[Frequency4])/(2*Tabella3336[Boltzmann k]*Tabella82041[[#This Row],[Temperatura]])))/(1-EXP(-(Tabella3336[Planck h]*Tabella4943[Frequency4])/(Tabella3336[Boltzmann k]*Tabella82041[[#This Row],[Temperatura]])))</f>
        <v>0.29762949361515068</v>
      </c>
      <c r="I64" s="4" cm="1">
        <f t="array" ref="I64">(EXP(-(Tabella3336[Planck h]*Tabella4943[Frequency5])/(2*Tabella3336[Boltzmann k]*Tabella82041[[#This Row],[Temperatura]])))/(1-EXP(-(Tabella3336[Planck h]*Tabella4943[Frequency5])/(Tabella3336[Boltzmann k]*Tabella82041[[#This Row],[Temperatura]])))</f>
        <v>0.26282185704817673</v>
      </c>
      <c r="J64" s="4" cm="1">
        <f t="array" ref="J64">(EXP(-(Tabella3336[Planck h]*Tabella4943[Frequency6])/(2*Tabella3336[Boltzmann k]*Tabella82041[[#This Row],[Temperatura]])))/(1-EXP(-(Tabella3336[Planck h]*Tabella4943[Frequency6])/(Tabella3336[Boltzmann k]*Tabella82041[[#This Row],[Temperatura]])))</f>
        <v>0.26279223980480104</v>
      </c>
      <c r="K64" s="4" cm="1">
        <f t="array" ref="K64">(EXP(-(Tabella3336[Planck h]*Tabella4943[Frequency7])/(2*Tabella3336[Boltzmann k]*Tabella82041[[#This Row],[Temperatura]])))/(1-EXP(-(Tabella3336[Planck h]*Tabella4943[Frequency7])/(Tabella3336[Boltzmann k]*Tabella82041[[#This Row],[Temperatura]])))</f>
        <v>0.18443971872973611</v>
      </c>
      <c r="L64" s="4" cm="1">
        <f t="array" ref="L64">(EXP(-(Tabella3336[Planck h]*Tabella4943[Frequency8])/(2*Tabella3336[Boltzmann k]*Tabella82041[[#This Row],[Temperatura]])))/(1-EXP(-(Tabella3336[Planck h]*Tabella4943[Frequency8])/(Tabella3336[Boltzmann k]*Tabella82041[[#This Row],[Temperatura]])))</f>
        <v>0.1843433196820807</v>
      </c>
      <c r="M64" s="4" cm="1">
        <f t="array" ref="M64">(EXP(-(Tabella3336[Planck h]*Tabella4943[Frequency9])/(2*Tabella3336[Boltzmann k]*Tabella82041[[#This Row],[Temperatura]])))/(1-EXP(-(Tabella3336[Planck h]*Tabella4943[Frequency9])/(Tabella3336[Boltzmann k]*Tabella82041[[#This Row],[Temperatura]])))</f>
        <v>0.10703217503867873</v>
      </c>
      <c r="N64" s="4" cm="1">
        <f t="array" ref="N64">(EXP(-(Tabella3336[Planck h]*Tabella4943[Frequency10])/(2*Tabella3336[Boltzmann k]*Tabella82041[[#This Row],[Temperatura]])))/(1-EXP(-(Tabella3336[Planck h]*Tabella4943[Frequency10])/(Tabella3336[Boltzmann k]*Tabella82041[[#This Row],[Temperatura]])))</f>
        <v>2.486084996889322E-2</v>
      </c>
      <c r="O64" s="4" cm="1">
        <f t="array" ref="O64">(EXP(-(Tabella3336[Planck h]*Tabella4943[Frequency11])/(2*Tabella3336[Boltzmann k]*Tabella82041[[#This Row],[Temperatura]])))/(1-EXP(-(Tabella3336[Planck h]*Tabella4943[Frequency11])/(Tabella3336[Boltzmann k]*Tabella82041[[#This Row],[Temperatura]])))</f>
        <v>2.0816792859169004E-2</v>
      </c>
      <c r="P64" s="4" cm="1">
        <f t="array" ref="P64">(EXP(-(Tabella3336[Planck h]*Tabella4943[Frequency12])/(2*Tabella3336[Boltzmann k]*Tabella82041[[#This Row],[Temperatura]])))/(1-EXP(-(Tabella3336[Planck h]*Tabella4943[Frequency12])/(Tabella3336[Boltzmann k]*Tabella82041[[#This Row],[Temperatura]])))</f>
        <v>2.0810795882423388E-2</v>
      </c>
      <c r="Q64" s="4">
        <f>ABS(PRODUCT(Tabella82041[[#This Row],[Qvib2]:[Qvib12]]))</f>
        <v>3.9872172894042671E-10</v>
      </c>
    </row>
    <row r="65" spans="1:17" x14ac:dyDescent="0.3">
      <c r="A65" s="5">
        <f>1166.9301</f>
        <v>1166.9301</v>
      </c>
      <c r="B65" cm="1">
        <f t="array" ref="B65">Tabella4742[[#This Row],[Wavenumbers '[cm^-1']]]*Tabella3336[Speed of Light '[cm/s']]</f>
        <v>34983747546930</v>
      </c>
      <c r="D65">
        <v>700</v>
      </c>
      <c r="E65" s="4" cm="1">
        <f t="array" ref="E65">(EXP(-(Tabella3336[Planck h]*Tabella4943[Frequency1])/(2*Tabella3336[Boltzmann k]*Tabella82041[[#This Row],[Temperatura]])))/(1-EXP(-(Tabella3336[Planck h]*Tabella4943[Frequency1])/(Tabella3336[Boltzmann k]*Tabella82041[[#This Row],[Temperatura]])))</f>
        <v>-0.33509039419289166</v>
      </c>
      <c r="F65" s="4" cm="1">
        <f t="array" ref="F65">(EXP(-(Tabella3336[Planck h]*Tabella4943[Frequency2])/(2*Tabella3336[Boltzmann k]*Tabella82041[[#This Row],[Temperatura]])))/(1-EXP(-(Tabella3336[Planck h]*Tabella4943[Frequency2])/(Tabella3336[Boltzmann k]*Tabella82041[[#This Row],[Temperatura]])))</f>
        <v>0.83650419449302271</v>
      </c>
      <c r="G65" s="4" cm="1">
        <f t="array" ref="G65">(EXP(-(Tabella3336[Planck h]*Tabella4943[Frequency3])/(2*Tabella3336[Boltzmann k]*Tabella82041[[#This Row],[Temperatura]])))/(1-EXP(-(Tabella3336[Planck h]*Tabella4943[Frequency3])/(Tabella3336[Boltzmann k]*Tabella82041[[#This Row],[Temperatura]])))</f>
        <v>0.83622713241245739</v>
      </c>
      <c r="H65" s="4" cm="1">
        <f t="array" ref="H65">(EXP(-(Tabella3336[Planck h]*Tabella4943[Frequency4])/(2*Tabella3336[Boltzmann k]*Tabella82041[[#This Row],[Temperatura]])))/(1-EXP(-(Tabella3336[Planck h]*Tabella4943[Frequency4])/(Tabella3336[Boltzmann k]*Tabella82041[[#This Row],[Temperatura]])))</f>
        <v>0.37145071379937478</v>
      </c>
      <c r="I65" s="4" cm="1">
        <f t="array" ref="I65">(EXP(-(Tabella3336[Planck h]*Tabella4943[Frequency5])/(2*Tabella3336[Boltzmann k]*Tabella82041[[#This Row],[Temperatura]])))/(1-EXP(-(Tabella3336[Planck h]*Tabella4943[Frequency5])/(Tabella3336[Boltzmann k]*Tabella82041[[#This Row],[Temperatura]])))</f>
        <v>0.33154072460252348</v>
      </c>
      <c r="J65" s="4" cm="1">
        <f t="array" ref="J65">(EXP(-(Tabella3336[Planck h]*Tabella4943[Frequency6])/(2*Tabella3336[Boltzmann k]*Tabella82041[[#This Row],[Temperatura]])))/(1-EXP(-(Tabella3336[Planck h]*Tabella4943[Frequency6])/(Tabella3336[Boltzmann k]*Tabella82041[[#This Row],[Temperatura]])))</f>
        <v>0.3315067127833442</v>
      </c>
      <c r="K65" s="4" cm="1">
        <f t="array" ref="K65">(EXP(-(Tabella3336[Planck h]*Tabella4943[Frequency7])/(2*Tabella3336[Boltzmann k]*Tabella82041[[#This Row],[Temperatura]])))/(1-EXP(-(Tabella3336[Planck h]*Tabella4943[Frequency7])/(Tabella3336[Boltzmann k]*Tabella82041[[#This Row],[Temperatura]])))</f>
        <v>0.24095477748089317</v>
      </c>
      <c r="L65" s="4" cm="1">
        <f t="array" ref="L65">(EXP(-(Tabella3336[Planck h]*Tabella4943[Frequency8])/(2*Tabella3336[Boltzmann k]*Tabella82041[[#This Row],[Temperatura]])))/(1-EXP(-(Tabella3336[Planck h]*Tabella4943[Frequency8])/(Tabella3336[Boltzmann k]*Tabella82041[[#This Row],[Temperatura]])))</f>
        <v>0.24084235377915503</v>
      </c>
      <c r="M65" s="4" cm="1">
        <f t="array" ref="M65">(EXP(-(Tabella3336[Planck h]*Tabella4943[Frequency9])/(2*Tabella3336[Boltzmann k]*Tabella82041[[#This Row],[Temperatura]])))/(1-EXP(-(Tabella3336[Planck h]*Tabella4943[Frequency9])/(Tabella3336[Boltzmann k]*Tabella82041[[#This Row],[Temperatura]])))</f>
        <v>0.14903993526336656</v>
      </c>
      <c r="N65" s="4" cm="1">
        <f t="array" ref="N65">(EXP(-(Tabella3336[Planck h]*Tabella4943[Frequency10])/(2*Tabella3336[Boltzmann k]*Tabella82041[[#This Row],[Temperatura]])))/(1-EXP(-(Tabella3336[Planck h]*Tabella4943[Frequency10])/(Tabella3336[Boltzmann k]*Tabella82041[[#This Row],[Temperatura]])))</f>
        <v>4.2195808522166527E-2</v>
      </c>
      <c r="O65" s="4" cm="1">
        <f t="array" ref="O65">(EXP(-(Tabella3336[Planck h]*Tabella4943[Frequency11])/(2*Tabella3336[Boltzmann k]*Tabella82041[[#This Row],[Temperatura]])))/(1-EXP(-(Tabella3336[Planck h]*Tabella4943[Frequency11])/(Tabella3336[Boltzmann k]*Tabella82041[[#This Row],[Temperatura]])))</f>
        <v>3.6228312025649051E-2</v>
      </c>
      <c r="P65" s="4" cm="1">
        <f t="array" ref="P65">(EXP(-(Tabella3336[Planck h]*Tabella4943[Frequency12])/(2*Tabella3336[Boltzmann k]*Tabella82041[[#This Row],[Temperatura]])))/(1-EXP(-(Tabella3336[Planck h]*Tabella4943[Frequency12])/(Tabella3336[Boltzmann k]*Tabella82041[[#This Row],[Temperatura]])))</f>
        <v>3.6219350344447426E-2</v>
      </c>
      <c r="Q65" s="4">
        <f>ABS(PRODUCT(Tabella82041[[#This Row],[Qvib2]:[Qvib12]]))</f>
        <v>1.3675773858656464E-8</v>
      </c>
    </row>
    <row r="66" spans="1:17" x14ac:dyDescent="0.3">
      <c r="A66" s="5">
        <f>1167.0133</f>
        <v>1167.0133000000001</v>
      </c>
      <c r="B66" cm="1">
        <f t="array" ref="B66">Tabella4742[[#This Row],[Wavenumbers '[cm^-1']]]*Tabella3336[Speed of Light '[cm/s']]</f>
        <v>34986241824690.004</v>
      </c>
      <c r="D66">
        <v>800</v>
      </c>
      <c r="E66" s="4" cm="1">
        <f t="array" ref="E66">(EXP(-(Tabella3336[Planck h]*Tabella4943[Frequency1])/(2*Tabella3336[Boltzmann k]*Tabella82041[[#This Row],[Temperatura]])))/(1-EXP(-(Tabella3336[Planck h]*Tabella4943[Frequency1])/(Tabella3336[Boltzmann k]*Tabella82041[[#This Row],[Temperatura]])))</f>
        <v>-0.40308983436591633</v>
      </c>
      <c r="F66" s="4" cm="1">
        <f t="array" ref="F66">(EXP(-(Tabella3336[Planck h]*Tabella4943[Frequency2])/(2*Tabella3336[Boltzmann k]*Tabella82041[[#This Row],[Temperatura]])))/(1-EXP(-(Tabella3336[Planck h]*Tabella4943[Frequency2])/(Tabella3336[Boltzmann k]*Tabella82041[[#This Row],[Temperatura]])))</f>
        <v>0.96785701719344019</v>
      </c>
      <c r="G66" s="4" cm="1">
        <f t="array" ref="G66">(EXP(-(Tabella3336[Planck h]*Tabella4943[Frequency3])/(2*Tabella3336[Boltzmann k]*Tabella82041[[#This Row],[Temperatura]])))/(1-EXP(-(Tabella3336[Planck h]*Tabella4943[Frequency3])/(Tabella3336[Boltzmann k]*Tabella82041[[#This Row],[Temperatura]])))</f>
        <v>0.96754346909391831</v>
      </c>
      <c r="H66" s="4" cm="1">
        <f t="array" ref="H66">(EXP(-(Tabella3336[Planck h]*Tabella4943[Frequency4])/(2*Tabella3336[Boltzmann k]*Tabella82041[[#This Row],[Temperatura]])))/(1-EXP(-(Tabella3336[Planck h]*Tabella4943[Frequency4])/(Tabella3336[Boltzmann k]*Tabella82041[[#This Row],[Temperatura]])))</f>
        <v>0.44391306845483119</v>
      </c>
      <c r="I66" s="4" cm="1">
        <f t="array" ref="I66">(EXP(-(Tabella3336[Planck h]*Tabella4943[Frequency5])/(2*Tabella3336[Boltzmann k]*Tabella82041[[#This Row],[Temperatura]])))/(1-EXP(-(Tabella3336[Planck h]*Tabella4943[Frequency5])/(Tabella3336[Boltzmann k]*Tabella82041[[#This Row],[Temperatura]])))</f>
        <v>0.39910295872749402</v>
      </c>
      <c r="J66" s="4" cm="1">
        <f t="array" ref="J66">(EXP(-(Tabella3336[Planck h]*Tabella4943[Frequency6])/(2*Tabella3336[Boltzmann k]*Tabella82041[[#This Row],[Temperatura]])))/(1-EXP(-(Tabella3336[Planck h]*Tabella4943[Frequency6])/(Tabella3336[Boltzmann k]*Tabella82041[[#This Row],[Temperatura]])))</f>
        <v>0.39906475589275442</v>
      </c>
      <c r="K66" s="4" cm="1">
        <f t="array" ref="K66">(EXP(-(Tabella3336[Planck h]*Tabella4943[Frequency7])/(2*Tabella3336[Boltzmann k]*Tabella82041[[#This Row],[Temperatura]])))/(1-EXP(-(Tabella3336[Planck h]*Tabella4943[Frequency7])/(Tabella3336[Boltzmann k]*Tabella82041[[#This Row],[Temperatura]])))</f>
        <v>0.29710320261621886</v>
      </c>
      <c r="L66" s="4" cm="1">
        <f t="array" ref="L66">(EXP(-(Tabella3336[Planck h]*Tabella4943[Frequency8])/(2*Tabella3336[Boltzmann k]*Tabella82041[[#This Row],[Temperatura]])))/(1-EXP(-(Tabella3336[Planck h]*Tabella4943[Frequency8])/(Tabella3336[Boltzmann k]*Tabella82041[[#This Row],[Temperatura]])))</f>
        <v>0.29697609960254517</v>
      </c>
      <c r="M66" s="4" cm="1">
        <f t="array" ref="M66">(EXP(-(Tabella3336[Planck h]*Tabella4943[Frequency9])/(2*Tabella3336[Boltzmann k]*Tabella82041[[#This Row],[Temperatura]])))/(1-EXP(-(Tabella3336[Planck h]*Tabella4943[Frequency9])/(Tabella3336[Boltzmann k]*Tabella82041[[#This Row],[Temperatura]])))</f>
        <v>0.1921688525170496</v>
      </c>
      <c r="N66" s="4" cm="1">
        <f t="array" ref="N66">(EXP(-(Tabella3336[Planck h]*Tabella4943[Frequency10])/(2*Tabella3336[Boltzmann k]*Tabella82041[[#This Row],[Temperatura]])))/(1-EXP(-(Tabella3336[Planck h]*Tabella4943[Frequency10])/(Tabella3336[Boltzmann k]*Tabella82041[[#This Row],[Temperatura]])))</f>
        <v>6.2826085384105501E-2</v>
      </c>
      <c r="O66" s="4" cm="1">
        <f t="array" ref="O66">(EXP(-(Tabella3336[Planck h]*Tabella4943[Frequency11])/(2*Tabella3336[Boltzmann k]*Tabella82041[[#This Row],[Temperatura]])))/(1-EXP(-(Tabella3336[Planck h]*Tabella4943[Frequency11])/(Tabella3336[Boltzmann k]*Tabella82041[[#This Row],[Temperatura]])))</f>
        <v>5.4950899467361806E-2</v>
      </c>
      <c r="P66" s="4" cm="1">
        <f t="array" ref="P66">(EXP(-(Tabella3336[Planck h]*Tabella4943[Frequency12])/(2*Tabella3336[Boltzmann k]*Tabella82041[[#This Row],[Temperatura]])))/(1-EXP(-(Tabella3336[Planck h]*Tabella4943[Frequency12])/(Tabella3336[Boltzmann k]*Tabella82041[[#This Row],[Temperatura]])))</f>
        <v>5.4938965067924769E-2</v>
      </c>
      <c r="Q66" s="4">
        <f>ABS(PRODUCT(Tabella82041[[#This Row],[Qvib2]:[Qvib12]]))</f>
        <v>2.1291930988776129E-7</v>
      </c>
    </row>
    <row r="67" spans="1:17" x14ac:dyDescent="0.3">
      <c r="A67" s="5">
        <f>1436.914</f>
        <v>1436.914</v>
      </c>
      <c r="B67" cm="1">
        <f t="array" ref="B67">Tabella4742[[#This Row],[Wavenumbers '[cm^-1']]]*Tabella3336[Speed of Light '[cm/s']]</f>
        <v>43077675880200</v>
      </c>
      <c r="D67">
        <v>900</v>
      </c>
      <c r="E67" s="4" cm="1">
        <f t="array" ref="E67">(EXP(-(Tabella3336[Planck h]*Tabella4943[Frequency1])/(2*Tabella3336[Boltzmann k]*Tabella82041[[#This Row],[Temperatura]])))/(1-EXP(-(Tabella3336[Planck h]*Tabella4943[Frequency1])/(Tabella3336[Boltzmann k]*Tabella82041[[#This Row],[Temperatura]])))</f>
        <v>-0.46995801839625545</v>
      </c>
      <c r="F67" s="4" cm="1">
        <f t="array" ref="F67">(EXP(-(Tabella3336[Planck h]*Tabella4943[Frequency2])/(2*Tabella3336[Boltzmann k]*Tabella82041[[#This Row],[Temperatura]])))/(1-EXP(-(Tabella3336[Planck h]*Tabella4943[Frequency2])/(Tabella3336[Boltzmann k]*Tabella82041[[#This Row],[Temperatura]])))</f>
        <v>1.0981142429651147</v>
      </c>
      <c r="G67" s="4" cm="1">
        <f t="array" ref="G67">(EXP(-(Tabella3336[Planck h]*Tabella4943[Frequency3])/(2*Tabella3336[Boltzmann k]*Tabella82041[[#This Row],[Temperatura]])))/(1-EXP(-(Tabella3336[Planck h]*Tabella4943[Frequency3])/(Tabella3336[Boltzmann k]*Tabella82041[[#This Row],[Temperatura]])))</f>
        <v>1.0977640018246801</v>
      </c>
      <c r="H67" s="4" cm="1">
        <f t="array" ref="H67">(EXP(-(Tabella3336[Planck h]*Tabella4943[Frequency4])/(2*Tabella3336[Boltzmann k]*Tabella82041[[#This Row],[Temperatura]])))/(1-EXP(-(Tabella3336[Planck h]*Tabella4943[Frequency4])/(Tabella3336[Boltzmann k]*Tabella82041[[#This Row],[Temperatura]])))</f>
        <v>0.51516565013568971</v>
      </c>
      <c r="I67" s="4" cm="1">
        <f t="array" ref="I67">(EXP(-(Tabella3336[Planck h]*Tabella4943[Frequency5])/(2*Tabella3336[Boltzmann k]*Tabella82041[[#This Row],[Temperatura]])))/(1-EXP(-(Tabella3336[Planck h]*Tabella4943[Frequency5])/(Tabella3336[Boltzmann k]*Tabella82041[[#This Row],[Temperatura]])))</f>
        <v>0.4655435448196813</v>
      </c>
      <c r="J67" s="4" cm="1">
        <f t="array" ref="J67">(EXP(-(Tabella3336[Planck h]*Tabella4943[Frequency6])/(2*Tabella3336[Boltzmann k]*Tabella82041[[#This Row],[Temperatura]])))/(1-EXP(-(Tabella3336[Planck h]*Tabella4943[Frequency6])/(Tabella3336[Boltzmann k]*Tabella82041[[#This Row],[Temperatura]])))</f>
        <v>0.46550124488519973</v>
      </c>
      <c r="K67" s="4" cm="1">
        <f t="array" ref="K67">(EXP(-(Tabella3336[Planck h]*Tabella4943[Frequency7])/(2*Tabella3336[Boltzmann k]*Tabella82041[[#This Row],[Temperatura]])))/(1-EXP(-(Tabella3336[Planck h]*Tabella4943[Frequency7])/(Tabella3336[Boltzmann k]*Tabella82041[[#This Row],[Temperatura]])))</f>
        <v>0.35254162418180357</v>
      </c>
      <c r="L67" s="4" cm="1">
        <f t="array" ref="L67">(EXP(-(Tabella3336[Planck h]*Tabella4943[Frequency8])/(2*Tabella3336[Boltzmann k]*Tabella82041[[#This Row],[Temperatura]])))/(1-EXP(-(Tabella3336[Planck h]*Tabella4943[Frequency8])/(Tabella3336[Boltzmann k]*Tabella82041[[#This Row],[Temperatura]])))</f>
        <v>0.35240060524217276</v>
      </c>
      <c r="M67" s="4" cm="1">
        <f t="array" ref="M67">(EXP(-(Tabella3336[Planck h]*Tabella4943[Frequency9])/(2*Tabella3336[Boltzmann k]*Tabella82041[[#This Row],[Temperatura]])))/(1-EXP(-(Tabella3336[Planck h]*Tabella4943[Frequency9])/(Tabella3336[Boltzmann k]*Tabella82041[[#This Row],[Temperatura]])))</f>
        <v>0.2355333814352315</v>
      </c>
      <c r="N67" s="4" cm="1">
        <f t="array" ref="N67">(EXP(-(Tabella3336[Planck h]*Tabella4943[Frequency10])/(2*Tabella3336[Boltzmann k]*Tabella82041[[#This Row],[Temperatura]])))/(1-EXP(-(Tabella3336[Planck h]*Tabella4943[Frequency10])/(Tabella3336[Boltzmann k]*Tabella82041[[#This Row],[Temperatura]])))</f>
        <v>8.5767993272230156E-2</v>
      </c>
      <c r="O67" s="4" cm="1">
        <f t="array" ref="O67">(EXP(-(Tabella3336[Planck h]*Tabella4943[Frequency11])/(2*Tabella3336[Boltzmann k]*Tabella82041[[#This Row],[Temperatura]])))/(1-EXP(-(Tabella3336[Planck h]*Tabella4943[Frequency11])/(Tabella3336[Boltzmann k]*Tabella82041[[#This Row],[Temperatura]])))</f>
        <v>7.6086889797496116E-2</v>
      </c>
      <c r="P67" s="4" cm="1">
        <f t="array" ref="P67">(EXP(-(Tabella3336[Planck h]*Tabella4943[Frequency12])/(2*Tabella3336[Boltzmann k]*Tabella82041[[#This Row],[Temperatura]])))/(1-EXP(-(Tabella3336[Planck h]*Tabella4943[Frequency12])/(Tabella3336[Boltzmann k]*Tabella82041[[#This Row],[Temperatura]])))</f>
        <v>7.6072120775937335E-2</v>
      </c>
      <c r="Q67" s="4">
        <f>ABS(PRODUCT(Tabella82041[[#This Row],[Qvib2]:[Qvib12]]))</f>
        <v>1.9549906366503382E-6</v>
      </c>
    </row>
    <row r="68" spans="1:17" x14ac:dyDescent="0.3">
      <c r="A68" s="5">
        <f>1437.3231</f>
        <v>1437.3231000000001</v>
      </c>
      <c r="B68" cm="1">
        <f t="array" ref="B68">Tabella4742[[#This Row],[Wavenumbers '[cm^-1']]]*Tabella3336[Speed of Light '[cm/s']]</f>
        <v>43089940411830</v>
      </c>
      <c r="D68">
        <v>1000</v>
      </c>
      <c r="E68" s="4" cm="1">
        <f t="array" ref="E68">(EXP(-(Tabella3336[Planck h]*Tabella4943[Frequency1])/(2*Tabella3336[Boltzmann k]*Tabella82041[[#This Row],[Temperatura]])))/(1-EXP(-(Tabella3336[Planck h]*Tabella4943[Frequency1])/(Tabella3336[Boltzmann k]*Tabella82041[[#This Row],[Temperatura]])))</f>
        <v>-0.53584330347156373</v>
      </c>
      <c r="F68" s="4" cm="1">
        <f t="array" ref="F68">(EXP(-(Tabella3336[Planck h]*Tabella4943[Frequency2])/(2*Tabella3336[Boltzmann k]*Tabella82041[[#This Row],[Temperatura]])))/(1-EXP(-(Tabella3336[Planck h]*Tabella4943[Frequency2])/(Tabella3336[Boltzmann k]*Tabella82041[[#This Row],[Temperatura]])))</f>
        <v>1.22757381756859</v>
      </c>
      <c r="G68" s="4" cm="1">
        <f t="array" ref="G68">(EXP(-(Tabella3336[Planck h]*Tabella4943[Frequency3])/(2*Tabella3336[Boltzmann k]*Tabella82041[[#This Row],[Temperatura]])))/(1-EXP(-(Tabella3336[Planck h]*Tabella4943[Frequency3])/(Tabella3336[Boltzmann k]*Tabella82041[[#This Row],[Temperatura]])))</f>
        <v>1.2271867130102818</v>
      </c>
      <c r="H68" s="4" cm="1">
        <f t="array" ref="H68">(EXP(-(Tabella3336[Planck h]*Tabella4943[Frequency4])/(2*Tabella3336[Boltzmann k]*Tabella82041[[#This Row],[Temperatura]])))/(1-EXP(-(Tabella3336[Planck h]*Tabella4943[Frequency4])/(Tabella3336[Boltzmann k]*Tabella82041[[#This Row],[Temperatura]])))</f>
        <v>0.58540705947314997</v>
      </c>
      <c r="I68" s="4" cm="1">
        <f t="array" ref="I68">(EXP(-(Tabella3336[Planck h]*Tabella4943[Frequency5])/(2*Tabella3336[Boltzmann k]*Tabella82041[[#This Row],[Temperatura]])))/(1-EXP(-(Tabella3336[Planck h]*Tabella4943[Frequency5])/(Tabella3336[Boltzmann k]*Tabella82041[[#This Row],[Temperatura]])))</f>
        <v>0.53100513741631428</v>
      </c>
      <c r="J68" s="4" cm="1">
        <f t="array" ref="J68">(EXP(-(Tabella3336[Planck h]*Tabella4943[Frequency6])/(2*Tabella3336[Boltzmann k]*Tabella82041[[#This Row],[Temperatura]])))/(1-EXP(-(Tabella3336[Planck h]*Tabella4943[Frequency6])/(Tabella3336[Boltzmann k]*Tabella82041[[#This Row],[Temperatura]])))</f>
        <v>0.53095877891356669</v>
      </c>
      <c r="K68" s="4" cm="1">
        <f t="array" ref="K68">(EXP(-(Tabella3336[Planck h]*Tabella4943[Frequency7])/(2*Tabella3336[Boltzmann k]*Tabella82041[[#This Row],[Temperatura]])))/(1-EXP(-(Tabella3336[Planck h]*Tabella4943[Frequency7])/(Tabella3336[Boltzmann k]*Tabella82041[[#This Row],[Temperatura]])))</f>
        <v>0.40720520916901243</v>
      </c>
      <c r="L68" s="4" cm="1">
        <f t="array" ref="L68">(EXP(-(Tabella3336[Planck h]*Tabella4943[Frequency8])/(2*Tabella3336[Boltzmann k]*Tabella82041[[#This Row],[Temperatura]])))/(1-EXP(-(Tabella3336[Planck h]*Tabella4943[Frequency8])/(Tabella3336[Boltzmann k]*Tabella82041[[#This Row],[Temperatura]])))</f>
        <v>0.40705069354123047</v>
      </c>
      <c r="M68" s="4" cm="1">
        <f t="array" ref="M68">(EXP(-(Tabella3336[Planck h]*Tabella4943[Frequency9])/(2*Tabella3336[Boltzmann k]*Tabella82041[[#This Row],[Temperatura]])))/(1-EXP(-(Tabella3336[Planck h]*Tabella4943[Frequency9])/(Tabella3336[Boltzmann k]*Tabella82041[[#This Row],[Temperatura]])))</f>
        <v>0.27870340405176658</v>
      </c>
      <c r="N68" s="4" cm="1">
        <f t="array" ref="N68">(EXP(-(Tabella3336[Planck h]*Tabella4943[Frequency10])/(2*Tabella3336[Boltzmann k]*Tabella82041[[#This Row],[Temperatura]])))/(1-EXP(-(Tabella3336[Planck h]*Tabella4943[Frequency10])/(Tabella3336[Boltzmann k]*Tabella82041[[#This Row],[Temperatura]])))</f>
        <v>0.11023836248212959</v>
      </c>
      <c r="O68" s="4" cm="1">
        <f t="array" ref="O68">(EXP(-(Tabella3336[Planck h]*Tabella4943[Frequency11])/(2*Tabella3336[Boltzmann k]*Tabella82041[[#This Row],[Temperatura]])))/(1-EXP(-(Tabella3336[Planck h]*Tabella4943[Frequency11])/(Tabella3336[Boltzmann k]*Tabella82041[[#This Row],[Temperatura]])))</f>
        <v>9.8882841400562693E-2</v>
      </c>
      <c r="P68" s="4" cm="1">
        <f t="array" ref="P68">(EXP(-(Tabella3336[Planck h]*Tabella4943[Frequency12])/(2*Tabella3336[Boltzmann k]*Tabella82041[[#This Row],[Temperatura]])))/(1-EXP(-(Tabella3336[Planck h]*Tabella4943[Frequency12])/(Tabella3336[Boltzmann k]*Tabella82041[[#This Row],[Temperatura]])))</f>
        <v>9.8865432606345005E-2</v>
      </c>
      <c r="Q68" s="4">
        <f>ABS(PRODUCT(Tabella82041[[#This Row],[Qvib2]:[Qvib12]]))</f>
        <v>1.2378784561359431E-5</v>
      </c>
    </row>
    <row r="69" spans="1:17" x14ac:dyDescent="0.3">
      <c r="A69" s="5">
        <f>1873.1624</f>
        <v>1873.1623999999999</v>
      </c>
      <c r="B69" cm="1">
        <f t="array" ref="B69">Tabella4742[[#This Row],[Wavenumbers '[cm^-1']]]*Tabella3336[Speed of Light '[cm/s']]</f>
        <v>56156097538320</v>
      </c>
      <c r="D69">
        <v>1100</v>
      </c>
      <c r="E69" s="4" cm="1">
        <f t="array" ref="E69">(EXP(-(Tabella3336[Planck h]*Tabella4943[Frequency1])/(2*Tabella3336[Boltzmann k]*Tabella82041[[#This Row],[Temperatura]])))/(1-EXP(-(Tabella3336[Planck h]*Tabella4943[Frequency1])/(Tabella3336[Boltzmann k]*Tabella82041[[#This Row],[Temperatura]])))</f>
        <v>-0.60090429646458754</v>
      </c>
      <c r="F69" s="4" cm="1">
        <f t="array" ref="F69">(EXP(-(Tabella3336[Planck h]*Tabella4943[Frequency2])/(2*Tabella3336[Boltzmann k]*Tabella82041[[#This Row],[Temperatura]])))/(1-EXP(-(Tabella3336[Planck h]*Tabella4943[Frequency2])/(Tabella3336[Boltzmann k]*Tabella82041[[#This Row],[Temperatura]])))</f>
        <v>1.3564370359828195</v>
      </c>
      <c r="G69" s="4" cm="1">
        <f t="array" ref="G69">(EXP(-(Tabella3336[Planck h]*Tabella4943[Frequency3])/(2*Tabella3336[Boltzmann k]*Tabella82041[[#This Row],[Temperatura]])))/(1-EXP(-(Tabella3336[Planck h]*Tabella4943[Frequency3])/(Tabella3336[Boltzmann k]*Tabella82041[[#This Row],[Temperatura]])))</f>
        <v>1.3560129303991493</v>
      </c>
      <c r="H69" s="4" cm="1">
        <f t="array" ref="H69">(EXP(-(Tabella3336[Planck h]*Tabella4943[Frequency4])/(2*Tabella3336[Boltzmann k]*Tabella82041[[#This Row],[Temperatura]])))/(1-EXP(-(Tabella3336[Planck h]*Tabella4943[Frequency4])/(Tabella3336[Boltzmann k]*Tabella82041[[#This Row],[Temperatura]])))</f>
        <v>0.65482021055859463</v>
      </c>
      <c r="I69" s="4" cm="1">
        <f t="array" ref="I69">(EXP(-(Tabella3336[Planck h]*Tabella4943[Frequency5])/(2*Tabella3336[Boltzmann k]*Tabella82041[[#This Row],[Temperatura]])))/(1-EXP(-(Tabella3336[Planck h]*Tabella4943[Frequency5])/(Tabella3336[Boltzmann k]*Tabella82041[[#This Row],[Temperatura]])))</f>
        <v>0.59564349309144304</v>
      </c>
      <c r="J69" s="4" cm="1">
        <f t="array" ref="J69">(EXP(-(Tabella3336[Planck h]*Tabella4943[Frequency6])/(2*Tabella3336[Boltzmann k]*Tabella82041[[#This Row],[Temperatura]])))/(1-EXP(-(Tabella3336[Planck h]*Tabella4943[Frequency6])/(Tabella3336[Boltzmann k]*Tabella82041[[#This Row],[Temperatura]])))</f>
        <v>0.59559308678887024</v>
      </c>
      <c r="K69" s="4" cm="1">
        <f t="array" ref="K69">(EXP(-(Tabella3336[Planck h]*Tabella4943[Frequency7])/(2*Tabella3336[Boltzmann k]*Tabella82041[[#This Row],[Temperatura]])))/(1-EXP(-(Tabella3336[Planck h]*Tabella4943[Frequency7])/(Tabella3336[Boltzmann k]*Tabella82041[[#This Row],[Temperatura]])))</f>
        <v>0.46113717191772924</v>
      </c>
      <c r="L69" s="4" cm="1">
        <f t="array" ref="L69">(EXP(-(Tabella3336[Planck h]*Tabella4943[Frequency8])/(2*Tabella3336[Boltzmann k]*Tabella82041[[#This Row],[Temperatura]])))/(1-EXP(-(Tabella3336[Planck h]*Tabella4943[Frequency8])/(Tabella3336[Boltzmann k]*Tabella82041[[#This Row],[Temperatura]])))</f>
        <v>0.46096938004414784</v>
      </c>
      <c r="M69" s="4" cm="1">
        <f t="array" ref="M69">(EXP(-(Tabella3336[Planck h]*Tabella4943[Frequency9])/(2*Tabella3336[Boltzmann k]*Tabella82041[[#This Row],[Temperatura]])))/(1-EXP(-(Tabella3336[Planck h]*Tabella4943[Frequency9])/(Tabella3336[Boltzmann k]*Tabella82041[[#This Row],[Temperatura]])))</f>
        <v>0.32148944289546039</v>
      </c>
      <c r="N69" s="4" cm="1">
        <f t="array" ref="N69">(EXP(-(Tabella3336[Planck h]*Tabella4943[Frequency10])/(2*Tabella3336[Boltzmann k]*Tabella82041[[#This Row],[Temperatura]])))/(1-EXP(-(Tabella3336[Planck h]*Tabella4943[Frequency10])/(Tabella3336[Boltzmann k]*Tabella82041[[#This Row],[Temperatura]])))</f>
        <v>0.13566303377856914</v>
      </c>
      <c r="O69" s="4" cm="1">
        <f t="array" ref="O69">(EXP(-(Tabella3336[Planck h]*Tabella4943[Frequency11])/(2*Tabella3336[Boltzmann k]*Tabella82041[[#This Row],[Temperatura]])))/(1-EXP(-(Tabella3336[Planck h]*Tabella4943[Frequency11])/(Tabella3336[Boltzmann k]*Tabella82041[[#This Row],[Temperatura]])))</f>
        <v>0.12276388726873418</v>
      </c>
      <c r="P69" s="4" cm="1">
        <f t="array" ref="P69">(EXP(-(Tabella3336[Planck h]*Tabella4943[Frequency12])/(2*Tabella3336[Boltzmann k]*Tabella82041[[#This Row],[Temperatura]])))/(1-EXP(-(Tabella3336[Planck h]*Tabella4943[Frequency12])/(Tabella3336[Boltzmann k]*Tabella82041[[#This Row],[Temperatura]])))</f>
        <v>0.12274403965398169</v>
      </c>
      <c r="Q69" s="4">
        <f>ABS(PRODUCT(Tabella82041[[#This Row],[Qvib2]:[Qvib12]]))</f>
        <v>5.9692956604101647E-5</v>
      </c>
    </row>
    <row r="70" spans="1:17" x14ac:dyDescent="0.3">
      <c r="A70" s="5">
        <f>3081.8442</f>
        <v>3081.8442</v>
      </c>
      <c r="B70" s="12" cm="1">
        <f t="array" ref="B70">Tabella4742[[#This Row],[Wavenumbers '[cm^-1']]]*Tabella3336[Speed of Light '[cm/s']]</f>
        <v>92391531825060</v>
      </c>
      <c r="D70">
        <v>1200</v>
      </c>
      <c r="E70" s="4" cm="1">
        <f t="array" ref="E70">(EXP(-(Tabella3336[Planck h]*Tabella4943[Frequency1])/(2*Tabella3336[Boltzmann k]*Tabella82041[[#This Row],[Temperatura]])))/(1-EXP(-(Tabella3336[Planck h]*Tabella4943[Frequency1])/(Tabella3336[Boltzmann k]*Tabella82041[[#This Row],[Temperatura]])))</f>
        <v>-0.66528193853908824</v>
      </c>
      <c r="F70" s="4" cm="1">
        <f t="array" ref="F70">(EXP(-(Tabella3336[Planck h]*Tabella4943[Frequency2])/(2*Tabella3336[Boltzmann k]*Tabella82041[[#This Row],[Temperatura]])))/(1-EXP(-(Tabella3336[Planck h]*Tabella4943[Frequency2])/(Tabella3336[Boltzmann k]*Tabella82041[[#This Row],[Temperatura]])))</f>
        <v>1.4848438679358194</v>
      </c>
      <c r="G70" s="4" cm="1">
        <f t="array" ref="G70">(EXP(-(Tabella3336[Planck h]*Tabella4943[Frequency3])/(2*Tabella3336[Boltzmann k]*Tabella82041[[#This Row],[Temperatura]])))/(1-EXP(-(Tabella3336[Planck h]*Tabella4943[Frequency3])/(Tabella3336[Boltzmann k]*Tabella82041[[#This Row],[Temperatura]])))</f>
        <v>1.484382650336836</v>
      </c>
      <c r="H70" s="4" cm="1">
        <f t="array" ref="H70">(EXP(-(Tabella3336[Planck h]*Tabella4943[Frequency4])/(2*Tabella3336[Boltzmann k]*Tabella82041[[#This Row],[Temperatura]])))/(1-EXP(-(Tabella3336[Planck h]*Tabella4943[Frequency4])/(Tabella3336[Boltzmann k]*Tabella82041[[#This Row],[Temperatura]])))</f>
        <v>0.72355746782769592</v>
      </c>
      <c r="I70" s="4" cm="1">
        <f t="array" ref="I70">(EXP(-(Tabella3336[Planck h]*Tabella4943[Frequency5])/(2*Tabella3336[Boltzmann k]*Tabella82041[[#This Row],[Temperatura]])))/(1-EXP(-(Tabella3336[Planck h]*Tabella4943[Frequency5])/(Tabella3336[Boltzmann k]*Tabella82041[[#This Row],[Temperatura]])))</f>
        <v>0.65959815380306552</v>
      </c>
      <c r="J70" s="4" cm="1">
        <f t="array" ref="J70">(EXP(-(Tabella3336[Planck h]*Tabella4943[Frequency6])/(2*Tabella3336[Boltzmann k]*Tabella82041[[#This Row],[Temperatura]])))/(1-EXP(-(Tabella3336[Planck h]*Tabella4943[Frequency6])/(Tabella3336[Boltzmann k]*Tabella82041[[#This Row],[Temperatura]])))</f>
        <v>0.65954369678964353</v>
      </c>
      <c r="K70" s="4" cm="1">
        <f t="array" ref="K70">(EXP(-(Tabella3336[Planck h]*Tabella4943[Frequency7])/(2*Tabella3336[Boltzmann k]*Tabella82041[[#This Row],[Temperatura]])))/(1-EXP(-(Tabella3336[Planck h]*Tabella4943[Frequency7])/(Tabella3336[Boltzmann k]*Tabella82041[[#This Row],[Temperatura]])))</f>
        <v>0.51441636136009439</v>
      </c>
      <c r="L70" s="4" cm="1">
        <f t="array" ref="L70">(EXP(-(Tabella3336[Planck h]*Tabella4943[Frequency8])/(2*Tabella3336[Boltzmann k]*Tabella82041[[#This Row],[Temperatura]])))/(1-EXP(-(Tabella3336[Planck h]*Tabella4943[Frequency8])/(Tabella3336[Boltzmann k]*Tabella82041[[#This Row],[Temperatura]])))</f>
        <v>0.51423539966362142</v>
      </c>
      <c r="M70" s="4" cm="1">
        <f t="array" ref="M70">(EXP(-(Tabella3336[Planck h]*Tabella4943[Frequency9])/(2*Tabella3336[Boltzmann k]*Tabella82041[[#This Row],[Temperatura]])))/(1-EXP(-(Tabella3336[Planck h]*Tabella4943[Frequency9])/(Tabella3336[Boltzmann k]*Tabella82041[[#This Row],[Temperatura]])))</f>
        <v>0.36382520183558348</v>
      </c>
      <c r="N70" s="4" cm="1">
        <f t="array" ref="N70">(EXP(-(Tabella3336[Planck h]*Tabella4943[Frequency10])/(2*Tabella3336[Boltzmann k]*Tabella82041[[#This Row],[Temperatura]])))/(1-EXP(-(Tabella3336[Planck h]*Tabella4943[Frequency10])/(Tabella3336[Boltzmann k]*Tabella82041[[#This Row],[Temperatura]])))</f>
        <v>0.161640606925918</v>
      </c>
      <c r="O70" s="4" cm="1">
        <f t="array" ref="O70">(EXP(-(Tabella3336[Planck h]*Tabella4943[Frequency11])/(2*Tabella3336[Boltzmann k]*Tabella82041[[#This Row],[Temperatura]])))/(1-EXP(-(Tabella3336[Planck h]*Tabella4943[Frequency11])/(Tabella3336[Boltzmann k]*Tabella82041[[#This Row],[Temperatura]])))</f>
        <v>0.14731430422242553</v>
      </c>
      <c r="P70" s="4" cm="1">
        <f t="array" ref="P70">(EXP(-(Tabella3336[Planck h]*Tabella4943[Frequency12])/(2*Tabella3336[Boltzmann k]*Tabella82041[[#This Row],[Temperatura]])))/(1-EXP(-(Tabella3336[Planck h]*Tabella4943[Frequency12])/(Tabella3336[Boltzmann k]*Tabella82041[[#This Row],[Temperatura]])))</f>
        <v>0.14729220072978222</v>
      </c>
      <c r="Q70" s="4">
        <f>ABS(PRODUCT(Tabella82041[[#This Row],[Qvib2]:[Qvib12]]))</f>
        <v>2.3418946781812359E-4</v>
      </c>
    </row>
    <row r="71" spans="1:17" x14ac:dyDescent="0.3">
      <c r="A71" s="5">
        <f>3229.7611</f>
        <v>3229.7611000000002</v>
      </c>
      <c r="B71" s="12" cm="1">
        <f t="array" ref="B71">Tabella4742[[#This Row],[Wavenumbers '[cm^-1']]]*Tabella3336[Speed of Light '[cm/s']]</f>
        <v>96825976945230</v>
      </c>
      <c r="D71">
        <v>1300</v>
      </c>
      <c r="E71" s="4" cm="1">
        <f t="array" ref="E71">(EXP(-(Tabella3336[Planck h]*Tabella4943[Frequency1])/(2*Tabella3336[Boltzmann k]*Tabella82041[[#This Row],[Temperatura]])))/(1-EXP(-(Tabella3336[Planck h]*Tabella4943[Frequency1])/(Tabella3336[Boltzmann k]*Tabella82041[[#This Row],[Temperatura]])))</f>
        <v>-0.72909378135619918</v>
      </c>
      <c r="F71" s="4" cm="1">
        <f t="array" ref="F71">(EXP(-(Tabella3336[Planck h]*Tabella4943[Frequency2])/(2*Tabella3336[Boltzmann k]*Tabella82041[[#This Row],[Temperatura]])))/(1-EXP(-(Tabella3336[Planck h]*Tabella4943[Frequency2])/(Tabella3336[Boltzmann k]*Tabella82041[[#This Row],[Temperatura]])))</f>
        <v>1.6128942524413852</v>
      </c>
      <c r="G71" s="4" cm="1">
        <f t="array" ref="G71">(EXP(-(Tabella3336[Planck h]*Tabella4943[Frequency3])/(2*Tabella3336[Boltzmann k]*Tabella82041[[#This Row],[Temperatura]])))/(1-EXP(-(Tabella3336[Planck h]*Tabella4943[Frequency3])/(Tabella3336[Boltzmann k]*Tabella82041[[#This Row],[Temperatura]])))</f>
        <v>1.6123958328148325</v>
      </c>
      <c r="H71" s="4" cm="1">
        <f t="array" ref="H71">(EXP(-(Tabella3336[Planck h]*Tabella4943[Frequency4])/(2*Tabella3336[Boltzmann k]*Tabella82041[[#This Row],[Temperatura]])))/(1-EXP(-(Tabella3336[Planck h]*Tabella4943[Frequency4])/(Tabella3336[Boltzmann k]*Tabella82041[[#This Row],[Temperatura]])))</f>
        <v>0.79174134631104054</v>
      </c>
      <c r="I71" s="4" cm="1">
        <f t="array" ref="I71">(EXP(-(Tabella3336[Planck h]*Tabella4943[Frequency5])/(2*Tabella3336[Boltzmann k]*Tabella82041[[#This Row],[Temperatura]])))/(1-EXP(-(Tabella3336[Planck h]*Tabella4943[Frequency5])/(Tabella3336[Boltzmann k]*Tabella82041[[#This Row],[Temperatura]])))</f>
        <v>0.72298601696098586</v>
      </c>
      <c r="J71" s="4" cm="1">
        <f t="array" ref="J71">(EXP(-(Tabella3336[Planck h]*Tabella4943[Frequency6])/(2*Tabella3336[Boltzmann k]*Tabella82041[[#This Row],[Temperatura]])))/(1-EXP(-(Tabella3336[Planck h]*Tabella4943[Frequency6])/(Tabella3336[Boltzmann k]*Tabella82041[[#This Row],[Temperatura]])))</f>
        <v>0.72292749989202099</v>
      </c>
      <c r="K71" s="4" cm="1">
        <f t="array" ref="K71">(EXP(-(Tabella3336[Planck h]*Tabella4943[Frequency7])/(2*Tabella3336[Boltzmann k]*Tabella82041[[#This Row],[Temperatura]])))/(1-EXP(-(Tabella3336[Planck h]*Tabella4943[Frequency7])/(Tabella3336[Boltzmann k]*Tabella82041[[#This Row],[Temperatura]])))</f>
        <v>0.56712735557051974</v>
      </c>
      <c r="L71" s="4" cm="1">
        <f t="array" ref="L71">(EXP(-(Tabella3336[Planck h]*Tabella4943[Frequency8])/(2*Tabella3336[Boltzmann k]*Tabella82041[[#This Row],[Temperatura]])))/(1-EXP(-(Tabella3336[Planck h]*Tabella4943[Frequency8])/(Tabella3336[Boltzmann k]*Tabella82041[[#This Row],[Temperatura]])))</f>
        <v>0.56693326536173694</v>
      </c>
      <c r="M71" s="4" cm="1">
        <f t="array" ref="M71">(EXP(-(Tabella3336[Planck h]*Tabella4943[Frequency9])/(2*Tabella3336[Boltzmann k]*Tabella82041[[#This Row],[Temperatura]])))/(1-EXP(-(Tabella3336[Planck h]*Tabella4943[Frequency9])/(Tabella3336[Boltzmann k]*Tabella82041[[#This Row],[Temperatura]])))</f>
        <v>0.40570539330525407</v>
      </c>
      <c r="N71" s="4" cm="1">
        <f t="array" ref="N71">(EXP(-(Tabella3336[Planck h]*Tabella4943[Frequency10])/(2*Tabella3336[Boltzmann k]*Tabella82041[[#This Row],[Temperatura]])))/(1-EXP(-(Tabella3336[Planck h]*Tabella4943[Frequency10])/(Tabella3336[Boltzmann k]*Tabella82041[[#This Row],[Temperatura]])))</f>
        <v>0.18789909290099271</v>
      </c>
      <c r="O71" s="4" cm="1">
        <f t="array" ref="O71">(EXP(-(Tabella3336[Planck h]*Tabella4943[Frequency11])/(2*Tabella3336[Boltzmann k]*Tabella82041[[#This Row],[Temperatura]])))/(1-EXP(-(Tabella3336[Planck h]*Tabella4943[Frequency11])/(Tabella3336[Boltzmann k]*Tabella82041[[#This Row],[Temperatura]])))</f>
        <v>0.1722434713897204</v>
      </c>
      <c r="P71" s="4" cm="1">
        <f t="array" ref="P71">(EXP(-(Tabella3336[Planck h]*Tabella4943[Frequency12])/(2*Tabella3336[Boltzmann k]*Tabella82041[[#This Row],[Temperatura]])))/(1-EXP(-(Tabella3336[Planck h]*Tabella4943[Frequency12])/(Tabella3336[Boltzmann k]*Tabella82041[[#This Row],[Temperatura]])))</f>
        <v>0.17221926816104519</v>
      </c>
      <c r="Q71" s="4">
        <f>ABS(PRODUCT(Tabella82041[[#This Row],[Qvib2]:[Qvib12]]))</f>
        <v>7.8245260375126035E-4</v>
      </c>
    </row>
    <row r="72" spans="1:17" x14ac:dyDescent="0.3">
      <c r="A72" s="5">
        <f>3230.0012</f>
        <v>3230.0012000000002</v>
      </c>
      <c r="B72" s="12" cm="1">
        <f t="array" ref="B72">Tabella4742[[#This Row],[Wavenumbers '[cm^-1']]]*Tabella3336[Speed of Light '[cm/s']]</f>
        <v>96833174975160</v>
      </c>
      <c r="D72">
        <v>1400</v>
      </c>
      <c r="E72" s="4" cm="1">
        <f t="array" ref="E72">(EXP(-(Tabella3336[Planck h]*Tabella4943[Frequency1])/(2*Tabella3336[Boltzmann k]*Tabella82041[[#This Row],[Temperatura]])))/(1-EXP(-(Tabella3336[Planck h]*Tabella4943[Frequency1])/(Tabella3336[Boltzmann k]*Tabella82041[[#This Row],[Temperatura]])))</f>
        <v>-0.79243552010960194</v>
      </c>
      <c r="F72" s="4" cm="1">
        <f t="array" ref="F72">(EXP(-(Tabella3336[Planck h]*Tabella4943[Frequency2])/(2*Tabella3336[Boltzmann k]*Tabella82041[[#This Row],[Temperatura]])))/(1-EXP(-(Tabella3336[Planck h]*Tabella4943[Frequency2])/(Tabella3336[Boltzmann k]*Tabella82041[[#This Row],[Temperatura]])))</f>
        <v>1.7406612594131381</v>
      </c>
      <c r="G72" s="4" cm="1">
        <f t="array" ref="G72">(EXP(-(Tabella3336[Planck h]*Tabella4943[Frequency3])/(2*Tabella3336[Boltzmann k]*Tabella82041[[#This Row],[Temperatura]])))/(1-EXP(-(Tabella3336[Planck h]*Tabella4943[Frequency3])/(Tabella3336[Boltzmann k]*Tabella82041[[#This Row],[Temperatura]])))</f>
        <v>1.7401255641624349</v>
      </c>
      <c r="H72" s="4" cm="1">
        <f t="array" ref="H72">(EXP(-(Tabella3336[Planck h]*Tabella4943[Frequency4])/(2*Tabella3336[Boltzmann k]*Tabella82041[[#This Row],[Temperatura]])))/(1-EXP(-(Tabella3336[Planck h]*Tabella4943[Frequency4])/(Tabella3336[Boltzmann k]*Tabella82041[[#This Row],[Temperatura]])))</f>
        <v>0.85946925711665345</v>
      </c>
      <c r="I72" s="4" cm="1">
        <f t="array" ref="I72">(EXP(-(Tabella3336[Planck h]*Tabella4943[Frequency5])/(2*Tabella3336[Boltzmann k]*Tabella82041[[#This Row],[Temperatura]])))/(1-EXP(-(Tabella3336[Planck h]*Tabella4943[Frequency5])/(Tabella3336[Boltzmann k]*Tabella82041[[#This Row],[Temperatura]])))</f>
        <v>0.78590250823408891</v>
      </c>
      <c r="J72" s="4" cm="1">
        <f t="array" ref="J72">(EXP(-(Tabella3336[Planck h]*Tabella4943[Frequency6])/(2*Tabella3336[Boltzmann k]*Tabella82041[[#This Row],[Temperatura]])))/(1-EXP(-(Tabella3336[Planck h]*Tabella4943[Frequency6])/(Tabella3336[Boltzmann k]*Tabella82041[[#This Row],[Temperatura]])))</f>
        <v>0.78583991908217987</v>
      </c>
      <c r="K72" s="4" cm="1">
        <f t="array" ref="K72">(EXP(-(Tabella3336[Planck h]*Tabella4943[Frequency7])/(2*Tabella3336[Boltzmann k]*Tabella82041[[#This Row],[Temperatura]])))/(1-EXP(-(Tabella3336[Planck h]*Tabella4943[Frequency7])/(Tabella3336[Boltzmann k]*Tabella82041[[#This Row],[Temperatura]])))</f>
        <v>0.61934890189406355</v>
      </c>
      <c r="L72" s="4" cm="1">
        <f t="array" ref="L72">(EXP(-(Tabella3336[Planck h]*Tabella4943[Frequency8])/(2*Tabella3336[Boltzmann k]*Tabella82041[[#This Row],[Temperatura]])))/(1-EXP(-(Tabella3336[Planck h]*Tabella4943[Frequency8])/(Tabella3336[Boltzmann k]*Tabella82041[[#This Row],[Temperatura]])))</f>
        <v>0.61914168764900812</v>
      </c>
      <c r="M72" s="4" cm="1">
        <f t="array" ref="M72">(EXP(-(Tabella3336[Planck h]*Tabella4943[Frequency9])/(2*Tabella3336[Boltzmann k]*Tabella82041[[#This Row],[Temperatura]])))/(1-EXP(-(Tabella3336[Planck h]*Tabella4943[Frequency9])/(Tabella3336[Boltzmann k]*Tabella82041[[#This Row],[Temperatura]])))</f>
        <v>0.44715330114715379</v>
      </c>
      <c r="N72" s="4" cm="1">
        <f t="array" ref="N72">(EXP(-(Tabella3336[Planck h]*Tabella4943[Frequency10])/(2*Tabella3336[Boltzmann k]*Tabella82041[[#This Row],[Temperatura]])))/(1-EXP(-(Tabella3336[Planck h]*Tabella4943[Frequency10])/(Tabella3336[Boltzmann k]*Tabella82041[[#This Row],[Temperatura]])))</f>
        <v>0.21425865808908146</v>
      </c>
      <c r="O72" s="4" cm="1">
        <f t="array" ref="O72">(EXP(-(Tabella3336[Planck h]*Tabella4943[Frequency11])/(2*Tabella3336[Boltzmann k]*Tabella82041[[#This Row],[Temperatura]])))/(1-EXP(-(Tabella3336[Planck h]*Tabella4943[Frequency11])/(Tabella3336[Boltzmann k]*Tabella82041[[#This Row],[Temperatura]])))</f>
        <v>0.19735315390947852</v>
      </c>
      <c r="P72" s="4" cm="1">
        <f t="array" ref="P72">(EXP(-(Tabella3336[Planck h]*Tabella4943[Frequency12])/(2*Tabella3336[Boltzmann k]*Tabella82041[[#This Row],[Temperatura]])))/(1-EXP(-(Tabella3336[Planck h]*Tabella4943[Frequency12])/(Tabella3336[Boltzmann k]*Tabella82041[[#This Row],[Temperatura]])))</f>
        <v>0.19732697932509616</v>
      </c>
      <c r="Q72" s="4">
        <f>ABS(PRODUCT(Tabella82041[[#This Row],[Qvib2]:[Qvib12]]))</f>
        <v>2.300269591791046E-3</v>
      </c>
    </row>
    <row r="73" spans="1:17" x14ac:dyDescent="0.3">
      <c r="D73">
        <v>1500</v>
      </c>
      <c r="E73" s="4" cm="1">
        <f t="array" ref="E73">(EXP(-(Tabella3336[Planck h]*Tabella4943[Frequency1])/(2*Tabella3336[Boltzmann k]*Tabella82041[[#This Row],[Temperatura]])))/(1-EXP(-(Tabella3336[Planck h]*Tabella4943[Frequency1])/(Tabella3336[Boltzmann k]*Tabella82041[[#This Row],[Temperatura]])))</f>
        <v>-0.85538444324163654</v>
      </c>
      <c r="F73" s="4" cm="1">
        <f t="array" ref="F73">(EXP(-(Tabella3336[Planck h]*Tabella4943[Frequency2])/(2*Tabella3336[Boltzmann k]*Tabella82041[[#This Row],[Temperatura]])))/(1-EXP(-(Tabella3336[Planck h]*Tabella4943[Frequency2])/(Tabella3336[Boltzmann k]*Tabella82041[[#This Row],[Temperatura]])))</f>
        <v>1.8681994515249392</v>
      </c>
      <c r="G73" s="4" cm="1">
        <f t="array" ref="G73">(EXP(-(Tabella3336[Planck h]*Tabella4943[Frequency3])/(2*Tabella3336[Boltzmann k]*Tabella82041[[#This Row],[Temperatura]])))/(1-EXP(-(Tabella3336[Planck h]*Tabella4943[Frequency3])/(Tabella3336[Boltzmann k]*Tabella82041[[#This Row],[Temperatura]])))</f>
        <v>1.8676264199301749</v>
      </c>
      <c r="H73" s="4" cm="1">
        <f t="array" ref="H73">(EXP(-(Tabella3336[Planck h]*Tabella4943[Frequency4])/(2*Tabella3336[Boltzmann k]*Tabella82041[[#This Row],[Temperatura]])))/(1-EXP(-(Tabella3336[Planck h]*Tabella4943[Frequency4])/(Tabella3336[Boltzmann k]*Tabella82041[[#This Row],[Temperatura]])))</f>
        <v>0.92681859172138314</v>
      </c>
      <c r="I73" s="4" cm="1">
        <f t="array" ref="I73">(EXP(-(Tabella3336[Planck h]*Tabella4943[Frequency5])/(2*Tabella3336[Boltzmann k]*Tabella82041[[#This Row],[Temperatura]])))/(1-EXP(-(Tabella3336[Planck h]*Tabella4943[Frequency5])/(Tabella3336[Boltzmann k]*Tabella82041[[#This Row],[Temperatura]])))</f>
        <v>0.84842484446765376</v>
      </c>
      <c r="J73" s="4" cm="1">
        <f t="array" ref="J73">(EXP(-(Tabella3336[Planck h]*Tabella4943[Frequency6])/(2*Tabella3336[Boltzmann k]*Tabella82041[[#This Row],[Temperatura]])))/(1-EXP(-(Tabella3336[Planck h]*Tabella4943[Frequency6])/(Tabella3336[Boltzmann k]*Tabella82041[[#This Row],[Temperatura]])))</f>
        <v>0.84835817045819062</v>
      </c>
      <c r="K73" s="4" cm="1">
        <f t="array" ref="K73">(EXP(-(Tabella3336[Planck h]*Tabella4943[Frequency7])/(2*Tabella3336[Boltzmann k]*Tabella82041[[#This Row],[Temperatura]])))/(1-EXP(-(Tabella3336[Planck h]*Tabella4943[Frequency7])/(Tabella3336[Boltzmann k]*Tabella82041[[#This Row],[Temperatura]])))</f>
        <v>0.67115021257189833</v>
      </c>
      <c r="L73" s="4" cm="1">
        <f t="array" ref="L73">(EXP(-(Tabella3336[Planck h]*Tabella4943[Frequency8])/(2*Tabella3336[Boltzmann k]*Tabella82041[[#This Row],[Temperatura]])))/(1-EXP(-(Tabella3336[Planck h]*Tabella4943[Frequency8])/(Tabella3336[Boltzmann k]*Tabella82041[[#This Row],[Temperatura]])))</f>
        <v>0.67092985838427655</v>
      </c>
      <c r="M73" s="4" cm="1">
        <f t="array" ref="M73">(EXP(-(Tabella3336[Planck h]*Tabella4943[Frequency9])/(2*Tabella3336[Boltzmann k]*Tabella82041[[#This Row],[Temperatura]])))/(1-EXP(-(Tabella3336[Planck h]*Tabella4943[Frequency9])/(Tabella3336[Boltzmann k]*Tabella82041[[#This Row],[Temperatura]])))</f>
        <v>0.48820404454498806</v>
      </c>
      <c r="N73" s="4" cm="1">
        <f t="array" ref="N73">(EXP(-(Tabella3336[Planck h]*Tabella4943[Frequency10])/(2*Tabella3336[Boltzmann k]*Tabella82041[[#This Row],[Temperatura]])))/(1-EXP(-(Tabella3336[Planck h]*Tabella4943[Frequency10])/(Tabella3336[Boltzmann k]*Tabella82041[[#This Row],[Temperatura]])))</f>
        <v>0.24060324251414636</v>
      </c>
      <c r="O73" s="4" cm="1">
        <f t="array" ref="O73">(EXP(-(Tabella3336[Planck h]*Tabella4943[Frequency11])/(2*Tabella3336[Boltzmann k]*Tabella82041[[#This Row],[Temperatura]])))/(1-EXP(-(Tabella3336[Planck h]*Tabella4943[Frequency11])/(Tabella3336[Boltzmann k]*Tabella82041[[#This Row],[Temperatura]])))</f>
        <v>0.2225110063983223</v>
      </c>
      <c r="P73" s="4" cm="1">
        <f t="array" ref="P73">(EXP(-(Tabella3336[Planck h]*Tabella4943[Frequency12])/(2*Tabella3336[Boltzmann k]*Tabella82041[[#This Row],[Temperatura]])))/(1-EXP(-(Tabella3336[Planck h]*Tabella4943[Frequency12])/(Tabella3336[Boltzmann k]*Tabella82041[[#This Row],[Temperatura]])))</f>
        <v>0.22248296360717074</v>
      </c>
      <c r="Q73" s="4">
        <f>ABS(PRODUCT(Tabella82041[[#This Row],[Qvib2]:[Qvib12]]))</f>
        <v>6.094647192488401E-3</v>
      </c>
    </row>
    <row r="74" spans="1:17" x14ac:dyDescent="0.3">
      <c r="D74">
        <v>1600</v>
      </c>
      <c r="E74" s="4" cm="1">
        <f t="array" ref="E74">(EXP(-(Tabella3336[Planck h]*Tabella4943[Frequency1])/(2*Tabella3336[Boltzmann k]*Tabella82041[[#This Row],[Temperatura]])))/(1-EXP(-(Tabella3336[Planck h]*Tabella4943[Frequency1])/(Tabella3336[Boltzmann k]*Tabella82041[[#This Row],[Temperatura]])))</f>
        <v>-0.91800295852291469</v>
      </c>
      <c r="F74" s="4" cm="1">
        <f t="array" ref="F74">(EXP(-(Tabella3336[Planck h]*Tabella4943[Frequency2])/(2*Tabella3336[Boltzmann k]*Tabella82041[[#This Row],[Temperatura]])))/(1-EXP(-(Tabella3336[Planck h]*Tabella4943[Frequency2])/(Tabella3336[Boltzmann k]*Tabella82041[[#This Row],[Temperatura]])))</f>
        <v>1.9955503410528306</v>
      </c>
      <c r="G74" s="4" cm="1">
        <f t="array" ref="G74">(EXP(-(Tabella3336[Planck h]*Tabella4943[Frequency3])/(2*Tabella3336[Boltzmann k]*Tabella82041[[#This Row],[Temperatura]])))/(1-EXP(-(Tabella3336[Planck h]*Tabella4943[Frequency3])/(Tabella3336[Boltzmann k]*Tabella82041[[#This Row],[Temperatura]])))</f>
        <v>1.9949399225611926</v>
      </c>
      <c r="H74" s="4" cm="1">
        <f t="array" ref="H74">(EXP(-(Tabella3336[Planck h]*Tabella4943[Frequency4])/(2*Tabella3336[Boltzmann k]*Tabella82041[[#This Row],[Temperatura]])))/(1-EXP(-(Tabella3336[Planck h]*Tabella4943[Frequency4])/(Tabella3336[Boltzmann k]*Tabella82041[[#This Row],[Temperatura]])))</f>
        <v>0.99385109123539206</v>
      </c>
      <c r="I74" s="4" cm="1">
        <f t="array" ref="I74">(EXP(-(Tabella3336[Planck h]*Tabella4943[Frequency5])/(2*Tabella3336[Boltzmann k]*Tabella82041[[#This Row],[Temperatura]])))/(1-EXP(-(Tabella3336[Planck h]*Tabella4943[Frequency5])/(Tabella3336[Boltzmann k]*Tabella82041[[#This Row],[Temperatura]])))</f>
        <v>0.91061546145788208</v>
      </c>
      <c r="J74" s="4" cm="1">
        <f t="array" ref="J74">(EXP(-(Tabella3336[Planck h]*Tabella4943[Frequency6])/(2*Tabella3336[Boltzmann k]*Tabella82041[[#This Row],[Temperatura]])))/(1-EXP(-(Tabella3336[Planck h]*Tabella4943[Frequency6])/(Tabella3336[Boltzmann k]*Tabella82041[[#This Row],[Temperatura]])))</f>
        <v>0.91054469004741156</v>
      </c>
      <c r="K74" s="4" cm="1">
        <f t="array" ref="K74">(EXP(-(Tabella3336[Planck h]*Tabella4943[Frequency7])/(2*Tabella3336[Boltzmann k]*Tabella82041[[#This Row],[Temperatura]])))/(1-EXP(-(Tabella3336[Planck h]*Tabella4943[Frequency7])/(Tabella3336[Boltzmann k]*Tabella82041[[#This Row],[Temperatura]])))</f>
        <v>0.72259053074236668</v>
      </c>
      <c r="L74" s="4" cm="1">
        <f t="array" ref="L74">(EXP(-(Tabella3336[Planck h]*Tabella4943[Frequency8])/(2*Tabella3336[Boltzmann k]*Tabella82041[[#This Row],[Temperatura]])))/(1-EXP(-(Tabella3336[Planck h]*Tabella4943[Frequency8])/(Tabella3336[Boltzmann k]*Tabella82041[[#This Row],[Temperatura]])))</f>
        <v>0.72235700994992924</v>
      </c>
      <c r="M74" s="4" cm="1">
        <f t="array" ref="M74">(EXP(-(Tabella3336[Planck h]*Tabella4943[Frequency9])/(2*Tabella3336[Boltzmann k]*Tabella82041[[#This Row],[Temperatura]])))/(1-EXP(-(Tabella3336[Planck h]*Tabella4943[Frequency9])/(Tabella3336[Boltzmann k]*Tabella82041[[#This Row],[Temperatura]])))</f>
        <v>0.52889609367716683</v>
      </c>
      <c r="N74" s="4" cm="1">
        <f t="array" ref="N74">(EXP(-(Tabella3336[Planck h]*Tabella4943[Frequency10])/(2*Tabella3336[Boltzmann k]*Tabella82041[[#This Row],[Temperatura]])))/(1-EXP(-(Tabella3336[Planck h]*Tabella4943[Frequency10])/(Tabella3336[Boltzmann k]*Tabella82041[[#This Row],[Temperatura]])))</f>
        <v>0.26686015230699417</v>
      </c>
      <c r="O74" s="4" cm="1">
        <f t="array" ref="O74">(EXP(-(Tabella3336[Planck h]*Tabella4943[Frequency11])/(2*Tabella3336[Boltzmann k]*Tabella82041[[#This Row],[Temperatura]])))/(1-EXP(-(Tabella3336[Planck h]*Tabella4943[Frequency11])/(Tabella3336[Boltzmann k]*Tabella82041[[#This Row],[Temperatura]])))</f>
        <v>0.24763070430645681</v>
      </c>
      <c r="P74" s="4" cm="1">
        <f t="array" ref="P74">(EXP(-(Tabella3336[Planck h]*Tabella4943[Frequency12])/(2*Tabella3336[Boltzmann k]*Tabella82041[[#This Row],[Temperatura]])))/(1-EXP(-(Tabella3336[Planck h]*Tabella4943[Frequency12])/(Tabella3336[Boltzmann k]*Tabella82041[[#This Row],[Temperatura]])))</f>
        <v>0.24760087495722485</v>
      </c>
      <c r="Q74" s="4">
        <f>ABS(PRODUCT(Tabella82041[[#This Row],[Qvib2]:[Qvib12]]))</f>
        <v>1.4818526769525218E-2</v>
      </c>
    </row>
    <row r="75" spans="1:17" x14ac:dyDescent="0.3">
      <c r="D75">
        <v>1700</v>
      </c>
      <c r="E75" s="4" cm="1">
        <f t="array" ref="E75">(EXP(-(Tabella3336[Planck h]*Tabella4943[Frequency1])/(2*Tabella3336[Boltzmann k]*Tabella82041[[#This Row],[Temperatura]])))/(1-EXP(-(Tabella3336[Planck h]*Tabella4943[Frequency1])/(Tabella3336[Boltzmann k]*Tabella82041[[#This Row],[Temperatura]])))</f>
        <v>-0.98034163892220494</v>
      </c>
      <c r="F75" s="4" cm="1">
        <f t="array" ref="F75">(EXP(-(Tabella3336[Planck h]*Tabella4943[Frequency2])/(2*Tabella3336[Boltzmann k]*Tabella82041[[#This Row],[Temperatura]])))/(1-EXP(-(Tabella3336[Planck h]*Tabella4943[Frequency2])/(Tabella3336[Boltzmann k]*Tabella82041[[#This Row],[Temperatura]])))</f>
        <v>2.1227460411375478</v>
      </c>
      <c r="G75" s="4" cm="1">
        <f t="array" ref="G75">(EXP(-(Tabella3336[Planck h]*Tabella4943[Frequency3])/(2*Tabella3336[Boltzmann k]*Tabella82041[[#This Row],[Temperatura]])))/(1-EXP(-(Tabella3336[Planck h]*Tabella4943[Frequency3])/(Tabella3336[Boltzmann k]*Tabella82041[[#This Row],[Temperatura]])))</f>
        <v>2.122098193290932</v>
      </c>
      <c r="H75" s="4" cm="1">
        <f t="array" ref="H75">(EXP(-(Tabella3336[Planck h]*Tabella4943[Frequency4])/(2*Tabella3336[Boltzmann k]*Tabella82041[[#This Row],[Temperatura]])))/(1-EXP(-(Tabella3336[Planck h]*Tabella4943[Frequency4])/(Tabella3336[Boltzmann k]*Tabella82041[[#This Row],[Temperatura]])))</f>
        <v>1.0606163301058982</v>
      </c>
      <c r="I75" s="4" cm="1">
        <f t="array" ref="I75">(EXP(-(Tabella3336[Planck h]*Tabella4943[Frequency5])/(2*Tabella3336[Boltzmann k]*Tabella82041[[#This Row],[Temperatura]])))/(1-EXP(-(Tabella3336[Planck h]*Tabella4943[Frequency5])/(Tabella3336[Boltzmann k]*Tabella82041[[#This Row],[Temperatura]])))</f>
        <v>0.97252500757471072</v>
      </c>
      <c r="J75" s="4" cm="1">
        <f t="array" ref="J75">(EXP(-(Tabella3336[Planck h]*Tabella4943[Frequency6])/(2*Tabella3336[Boltzmann k]*Tabella82041[[#This Row],[Temperatura]])))/(1-EXP(-(Tabella3336[Planck h]*Tabella4943[Frequency6])/(Tabella3336[Boltzmann k]*Tabella82041[[#This Row],[Temperatura]])))</f>
        <v>0.972450126919568</v>
      </c>
      <c r="K75" s="4" cm="1">
        <f t="array" ref="K75">(EXP(-(Tabella3336[Planck h]*Tabella4943[Frequency7])/(2*Tabella3336[Boltzmann k]*Tabella82041[[#This Row],[Temperatura]])))/(1-EXP(-(Tabella3336[Planck h]*Tabella4943[Frequency7])/(Tabella3336[Boltzmann k]*Tabella82041[[#This Row],[Temperatura]])))</f>
        <v>0.77371995637440505</v>
      </c>
      <c r="L75" s="4" cm="1">
        <f t="array" ref="L75">(EXP(-(Tabella3336[Planck h]*Tabella4943[Frequency8])/(2*Tabella3336[Boltzmann k]*Tabella82041[[#This Row],[Temperatura]])))/(1-EXP(-(Tabella3336[Planck h]*Tabella4943[Frequency8])/(Tabella3336[Boltzmann k]*Tabella82041[[#This Row],[Temperatura]])))</f>
        <v>0.77347323720376437</v>
      </c>
      <c r="M75" s="4" cm="1">
        <f t="array" ref="M75">(EXP(-(Tabella3336[Planck h]*Tabella4943[Frequency9])/(2*Tabella3336[Boltzmann k]*Tabella82041[[#This Row],[Temperatura]])))/(1-EXP(-(Tabella3336[Planck h]*Tabella4943[Frequency9])/(Tabella3336[Boltzmann k]*Tabella82041[[#This Row],[Temperatura]])))</f>
        <v>0.56926711816186737</v>
      </c>
      <c r="N75" s="4" cm="1">
        <f t="array" ref="N75">(EXP(-(Tabella3336[Planck h]*Tabella4943[Frequency10])/(2*Tabella3336[Boltzmann k]*Tabella82041[[#This Row],[Temperatura]])))/(1-EXP(-(Tabella3336[Planck h]*Tabella4943[Frequency10])/(Tabella3336[Boltzmann k]*Tabella82041[[#This Row],[Temperatura]])))</f>
        <v>0.292985828443031</v>
      </c>
      <c r="O75" s="4" cm="1">
        <f t="array" ref="O75">(EXP(-(Tabella3336[Planck h]*Tabella4943[Frequency11])/(2*Tabella3336[Boltzmann k]*Tabella82041[[#This Row],[Temperatura]])))/(1-EXP(-(Tabella3336[Planck h]*Tabella4943[Frequency11])/(Tabella3336[Boltzmann k]*Tabella82041[[#This Row],[Temperatura]])))</f>
        <v>0.27265763296454776</v>
      </c>
      <c r="P75" s="4" cm="1">
        <f t="array" ref="P75">(EXP(-(Tabella3336[Planck h]*Tabella4943[Frequency12])/(2*Tabella3336[Boltzmann k]*Tabella82041[[#This Row],[Temperatura]])))/(1-EXP(-(Tabella3336[Planck h]*Tabella4943[Frequency12])/(Tabella3336[Boltzmann k]*Tabella82041[[#This Row],[Temperatura]])))</f>
        <v>0.27262608103209818</v>
      </c>
      <c r="Q75" s="4">
        <f>ABS(PRODUCT(Tabella82041[[#This Row],[Qvib2]:[Qvib12]]))</f>
        <v>3.3524846947203049E-2</v>
      </c>
    </row>
    <row r="76" spans="1:17" x14ac:dyDescent="0.3">
      <c r="D76">
        <v>1800</v>
      </c>
      <c r="E76" s="4" cm="1">
        <f t="array" ref="E76">(EXP(-(Tabella3336[Planck h]*Tabella4943[Frequency1])/(2*Tabella3336[Boltzmann k]*Tabella82041[[#This Row],[Temperatura]])))/(1-EXP(-(Tabella3336[Planck h]*Tabella4943[Frequency1])/(Tabella3336[Boltzmann k]*Tabella82041[[#This Row],[Temperatura]])))</f>
        <v>-1.0424416922100541</v>
      </c>
      <c r="F76" s="4" cm="1">
        <f t="array" ref="F76">(EXP(-(Tabella3336[Planck h]*Tabella4943[Frequency2])/(2*Tabella3336[Boltzmann k]*Tabella82041[[#This Row],[Temperatura]])))/(1-EXP(-(Tabella3336[Planck h]*Tabella4943[Frequency2])/(Tabella3336[Boltzmann k]*Tabella82041[[#This Row],[Temperatura]])))</f>
        <v>2.2498117655655867</v>
      </c>
      <c r="G76" s="4" cm="1">
        <f t="array" ref="G76">(EXP(-(Tabella3336[Planck h]*Tabella4943[Frequency3])/(2*Tabella3336[Boltzmann k]*Tabella82041[[#This Row],[Temperatura]])))/(1-EXP(-(Tabella3336[Planck h]*Tabella4943[Frequency3])/(Tabella3336[Boltzmann k]*Tabella82041[[#This Row],[Temperatura]])))</f>
        <v>2.2491264524083632</v>
      </c>
      <c r="H76" s="4" cm="1">
        <f t="array" ref="H76">(EXP(-(Tabella3336[Planck h]*Tabella4943[Frequency4])/(2*Tabella3336[Boltzmann k]*Tabella82041[[#This Row],[Temperatura]])))/(1-EXP(-(Tabella3336[Planck h]*Tabella4943[Frequency4])/(Tabella3336[Boltzmann k]*Tabella82041[[#This Row],[Temperatura]])))</f>
        <v>1.1271544120859514</v>
      </c>
      <c r="I76" s="4" cm="1">
        <f t="array" ref="I76">(EXP(-(Tabella3336[Planck h]*Tabella4943[Frequency5])/(2*Tabella3336[Boltzmann k]*Tabella82041[[#This Row],[Temperatura]])))/(1-EXP(-(Tabella3336[Planck h]*Tabella4943[Frequency5])/(Tabella3336[Boltzmann k]*Tabella82041[[#This Row],[Temperatura]])))</f>
        <v>1.034194785538338</v>
      </c>
      <c r="J76" s="4" cm="1">
        <f t="array" ref="J76">(EXP(-(Tabella3336[Planck h]*Tabella4943[Frequency6])/(2*Tabella3336[Boltzmann k]*Tabella82041[[#This Row],[Temperatura]])))/(1-EXP(-(Tabella3336[Planck h]*Tabella4943[Frequency6])/(Tabella3336[Boltzmann k]*Tabella82041[[#This Row],[Temperatura]])))</f>
        <v>1.0341157846911124</v>
      </c>
      <c r="K76" s="4" cm="1">
        <f t="array" ref="K76">(EXP(-(Tabella3336[Planck h]*Tabella4943[Frequency7])/(2*Tabella3336[Boltzmann k]*Tabella82041[[#This Row],[Temperatura]])))/(1-EXP(-(Tabella3336[Planck h]*Tabella4943[Frequency7])/(Tabella3336[Boltzmann k]*Tabella82041[[#This Row],[Temperatura]])))</f>
        <v>0.82458065895024013</v>
      </c>
      <c r="L76" s="4" cm="1">
        <f t="array" ref="L76">(EXP(-(Tabella3336[Planck h]*Tabella4943[Frequency8])/(2*Tabella3336[Boltzmann k]*Tabella82041[[#This Row],[Temperatura]])))/(1-EXP(-(Tabella3336[Planck h]*Tabella4943[Frequency8])/(Tabella3336[Boltzmann k]*Tabella82041[[#This Row],[Temperatura]])))</f>
        <v>0.82432070781375422</v>
      </c>
      <c r="M76" s="4" cm="1">
        <f t="array" ref="M76">(EXP(-(Tabella3336[Planck h]*Tabella4943[Frequency9])/(2*Tabella3336[Boltzmann k]*Tabella82041[[#This Row],[Temperatura]])))/(1-EXP(-(Tabella3336[Planck h]*Tabella4943[Frequency9])/(Tabella3336[Boltzmann k]*Tabella82041[[#This Row],[Temperatura]])))</f>
        <v>0.60935210385013872</v>
      </c>
      <c r="N76" s="4" cm="1">
        <f t="array" ref="N76">(EXP(-(Tabella3336[Planck h]*Tabella4943[Frequency10])/(2*Tabella3336[Boltzmann k]*Tabella82041[[#This Row],[Temperatura]])))/(1-EXP(-(Tabella3336[Planck h]*Tabella4943[Frequency10])/(Tabella3336[Boltzmann k]*Tabella82041[[#This Row],[Temperatura]])))</f>
        <v>0.31895608886023624</v>
      </c>
      <c r="O76" s="4" cm="1">
        <f t="array" ref="O76">(EXP(-(Tabella3336[Planck h]*Tabella4943[Frequency11])/(2*Tabella3336[Boltzmann k]*Tabella82041[[#This Row],[Temperatura]])))/(1-EXP(-(Tabella3336[Planck h]*Tabella4943[Frequency11])/(Tabella3336[Boltzmann k]*Tabella82041[[#This Row],[Temperatura]])))</f>
        <v>0.2975588079644228</v>
      </c>
      <c r="P76" s="4" cm="1">
        <f t="array" ref="P76">(EXP(-(Tabella3336[Planck h]*Tabella4943[Frequency12])/(2*Tabella3336[Boltzmann k]*Tabella82041[[#This Row],[Temperatura]])))/(1-EXP(-(Tabella3336[Planck h]*Tabella4943[Frequency12])/(Tabella3336[Boltzmann k]*Tabella82041[[#This Row],[Temperatura]])))</f>
        <v>0.29752558320045097</v>
      </c>
      <c r="Q76" s="4">
        <f>ABS(PRODUCT(Tabella82041[[#This Row],[Qvib2]:[Qvib12]]))</f>
        <v>7.1341243463048654E-2</v>
      </c>
    </row>
    <row r="77" spans="1:17" x14ac:dyDescent="0.3">
      <c r="D77">
        <v>1900</v>
      </c>
      <c r="E77" s="4" cm="1">
        <f t="array" ref="E77">(EXP(-(Tabella3336[Planck h]*Tabella4943[Frequency1])/(2*Tabella3336[Boltzmann k]*Tabella82041[[#This Row],[Temperatura]])))/(1-EXP(-(Tabella3336[Planck h]*Tabella4943[Frequency1])/(Tabella3336[Boltzmann k]*Tabella82041[[#This Row],[Temperatura]])))</f>
        <v>-1.1043369099686704</v>
      </c>
      <c r="F77" s="4" cm="1">
        <f t="array" ref="F77">(EXP(-(Tabella3336[Planck h]*Tabella4943[Frequency2])/(2*Tabella3336[Boltzmann k]*Tabella82041[[#This Row],[Temperatura]])))/(1-EXP(-(Tabella3336[Planck h]*Tabella4943[Frequency2])/(Tabella3336[Boltzmann k]*Tabella82041[[#This Row],[Temperatura]])))</f>
        <v>2.3767675762978127</v>
      </c>
      <c r="G77" s="4" cm="1">
        <f t="array" ref="G77">(EXP(-(Tabella3336[Planck h]*Tabella4943[Frequency3])/(2*Tabella3336[Boltzmann k]*Tabella82041[[#This Row],[Temperatura]])))/(1-EXP(-(Tabella3336[Planck h]*Tabella4943[Frequency3])/(Tabella3336[Boltzmann k]*Tabella82041[[#This Row],[Temperatura]])))</f>
        <v>2.3760447671447245</v>
      </c>
      <c r="H77" s="4" cm="1">
        <f t="array" ref="H77">(EXP(-(Tabella3336[Planck h]*Tabella4943[Frequency4])/(2*Tabella3336[Boltzmann k]*Tabella82041[[#This Row],[Temperatura]])))/(1-EXP(-(Tabella3336[Planck h]*Tabella4943[Frequency4])/(Tabella3336[Boltzmann k]*Tabella82041[[#This Row],[Temperatura]])))</f>
        <v>1.1934980337404495</v>
      </c>
      <c r="I77" s="4" cm="1">
        <f t="array" ref="I77">(EXP(-(Tabella3336[Planck h]*Tabella4943[Frequency5])/(2*Tabella3336[Boltzmann k]*Tabella82041[[#This Row],[Temperatura]])))/(1-EXP(-(Tabella3336[Planck h]*Tabella4943[Frequency5])/(Tabella3336[Boltzmann k]*Tabella82041[[#This Row],[Temperatura]])))</f>
        <v>1.0956586867500901</v>
      </c>
      <c r="J77" s="4" cm="1">
        <f t="array" ref="J77">(EXP(-(Tabella3336[Planck h]*Tabella4943[Frequency6])/(2*Tabella3336[Boltzmann k]*Tabella82041[[#This Row],[Temperatura]])))/(1-EXP(-(Tabella3336[Planck h]*Tabella4943[Frequency6])/(Tabella3336[Boltzmann k]*Tabella82041[[#This Row],[Temperatura]])))</f>
        <v>1.095575555712029</v>
      </c>
      <c r="K77" s="4" cm="1">
        <f t="array" ref="K77">(EXP(-(Tabella3336[Planck h]*Tabella4943[Frequency7])/(2*Tabella3336[Boltzmann k]*Tabella82041[[#This Row],[Temperatura]])))/(1-EXP(-(Tabella3336[Planck h]*Tabella4943[Frequency7])/(Tabella3336[Boltzmann k]*Tabella82041[[#This Row],[Temperatura]])))</f>
        <v>0.87520811085526784</v>
      </c>
      <c r="L77" s="4" cm="1">
        <f t="array" ref="L77">(EXP(-(Tabella3336[Planck h]*Tabella4943[Frequency8])/(2*Tabella3336[Boltzmann k]*Tabella82041[[#This Row],[Temperatura]])))/(1-EXP(-(Tabella3336[Planck h]*Tabella4943[Frequency8])/(Tabella3336[Boltzmann k]*Tabella82041[[#This Row],[Temperatura]])))</f>
        <v>0.87493489425012339</v>
      </c>
      <c r="M77" s="4" cm="1">
        <f t="array" ref="M77">(EXP(-(Tabella3336[Planck h]*Tabella4943[Frequency9])/(2*Tabella3336[Boltzmann k]*Tabella82041[[#This Row],[Temperatura]])))/(1-EXP(-(Tabella3336[Planck h]*Tabella4943[Frequency9])/(Tabella3336[Boltzmann k]*Tabella82041[[#This Row],[Temperatura]])))</f>
        <v>0.64918264534022008</v>
      </c>
      <c r="N77" s="4" cm="1">
        <f t="array" ref="N77">(EXP(-(Tabella3336[Planck h]*Tabella4943[Frequency10])/(2*Tabella3336[Boltzmann k]*Tabella82041[[#This Row],[Temperatura]])))/(1-EXP(-(Tabella3336[Planck h]*Tabella4943[Frequency10])/(Tabella3336[Boltzmann k]*Tabella82041[[#This Row],[Temperatura]])))</f>
        <v>0.34475950123955251</v>
      </c>
      <c r="O77" s="4" cm="1">
        <f t="array" ref="O77">(EXP(-(Tabella3336[Planck h]*Tabella4943[Frequency11])/(2*Tabella3336[Boltzmann k]*Tabella82041[[#This Row],[Temperatura]])))/(1-EXP(-(Tabella3336[Planck h]*Tabella4943[Frequency11])/(Tabella3336[Boltzmann k]*Tabella82041[[#This Row],[Temperatura]])))</f>
        <v>0.32231586602110518</v>
      </c>
      <c r="P77" s="4" cm="1">
        <f t="array" ref="P77">(EXP(-(Tabella3336[Planck h]*Tabella4943[Frequency12])/(2*Tabella3336[Boltzmann k]*Tabella82041[[#This Row],[Temperatura]])))/(1-EXP(-(Tabella3336[Planck h]*Tabella4943[Frequency12])/(Tabella3336[Boltzmann k]*Tabella82041[[#This Row],[Temperatura]])))</f>
        <v>0.32228100687697553</v>
      </c>
      <c r="Q77" s="4">
        <f>ABS(PRODUCT(Tabella82041[[#This Row],[Qvib2]:[Qvib12]]))</f>
        <v>0.14403474676054684</v>
      </c>
    </row>
    <row r="78" spans="1:17" x14ac:dyDescent="0.3">
      <c r="D78">
        <v>2000</v>
      </c>
      <c r="E78" s="4" cm="1">
        <f t="array" ref="E78">(EXP(-(Tabella3336[Planck h]*Tabella4943[Frequency1])/(2*Tabella3336[Boltzmann k]*Tabella82041[[#This Row],[Temperatura]])))/(1-EXP(-(Tabella3336[Planck h]*Tabella4943[Frequency1])/(Tabella3336[Boltzmann k]*Tabella82041[[#This Row],[Temperatura]])))</f>
        <v>-1.1660551890469355</v>
      </c>
      <c r="F78" s="4" cm="1">
        <f t="array" ref="F78">(EXP(-(Tabella3336[Planck h]*Tabella4943[Frequency2])/(2*Tabella3336[Boltzmann k]*Tabella82041[[#This Row],[Temperatura]])))/(1-EXP(-(Tabella3336[Planck h]*Tabella4943[Frequency2])/(Tabella3336[Boltzmann k]*Tabella82041[[#This Row],[Temperatura]])))</f>
        <v>2.5036296284998021</v>
      </c>
      <c r="G78" s="4" cm="1">
        <f t="array" ref="G78">(EXP(-(Tabella3336[Planck h]*Tabella4943[Frequency3])/(2*Tabella3336[Boltzmann k]*Tabella82041[[#This Row],[Temperatura]])))/(1-EXP(-(Tabella3336[Planck h]*Tabella4943[Frequency3])/(Tabella3336[Boltzmann k]*Tabella82041[[#This Row],[Temperatura]])))</f>
        <v>2.5028692969746005</v>
      </c>
      <c r="H78" s="4" cm="1">
        <f t="array" ref="H78">(EXP(-(Tabella3336[Planck h]*Tabella4943[Frequency4])/(2*Tabella3336[Boltzmann k]*Tabella82041[[#This Row],[Temperatura]])))/(1-EXP(-(Tabella3336[Planck h]*Tabella4943[Frequency4])/(Tabella3336[Boltzmann k]*Tabella82041[[#This Row],[Temperatura]])))</f>
        <v>1.2596740607486159</v>
      </c>
      <c r="I78" s="4" cm="1">
        <f t="array" ref="I78">(EXP(-(Tabella3336[Planck h]*Tabella4943[Frequency5])/(2*Tabella3336[Boltzmann k]*Tabella82041[[#This Row],[Temperatura]])))/(1-EXP(-(Tabella3336[Planck h]*Tabella4943[Frequency5])/(Tabella3336[Boltzmann k]*Tabella82041[[#This Row],[Temperatura]])))</f>
        <v>1.1569447052248503</v>
      </c>
      <c r="J78" s="4" cm="1">
        <f t="array" ref="J78">(EXP(-(Tabella3336[Planck h]*Tabella4943[Frequency6])/(2*Tabella3336[Boltzmann k]*Tabella82041[[#This Row],[Temperatura]])))/(1-EXP(-(Tabella3336[Planck h]*Tabella4943[Frequency6])/(Tabella3336[Boltzmann k]*Tabella82041[[#This Row],[Temperatura]])))</f>
        <v>1.1568574349240599</v>
      </c>
      <c r="K78" s="4" cm="1">
        <f t="array" ref="K78">(EXP(-(Tabella3336[Planck h]*Tabella4943[Frequency7])/(2*Tabella3336[Boltzmann k]*Tabella82041[[#This Row],[Temperatura]])))/(1-EXP(-(Tabella3336[Planck h]*Tabella4943[Frequency7])/(Tabella3336[Boltzmann k]*Tabella82041[[#This Row],[Temperatura]])))</f>
        <v>0.92563220174364502</v>
      </c>
      <c r="L78" s="4" cm="1">
        <f t="array" ref="L78">(EXP(-(Tabella3336[Planck h]*Tabella4943[Frequency8])/(2*Tabella3336[Boltzmann k]*Tabella82041[[#This Row],[Temperatura]])))/(1-EXP(-(Tabella3336[Planck h]*Tabella4943[Frequency8])/(Tabella3336[Boltzmann k]*Tabella82041[[#This Row],[Temperatura]])))</f>
        <v>0.92534568731305122</v>
      </c>
      <c r="M78" s="4" cm="1">
        <f t="array" ref="M78">(EXP(-(Tabella3336[Planck h]*Tabella4943[Frequency9])/(2*Tabella3336[Boltzmann k]*Tabella82041[[#This Row],[Temperatura]])))/(1-EXP(-(Tabella3336[Planck h]*Tabella4943[Frequency9])/(Tabella3336[Boltzmann k]*Tabella82041[[#This Row],[Temperatura]])))</f>
        <v>0.68878683355455161</v>
      </c>
      <c r="N78" s="4" cm="1">
        <f t="array" ref="N78">(EXP(-(Tabella3336[Planck h]*Tabella4943[Frequency10])/(2*Tabella3336[Boltzmann k]*Tabella82041[[#This Row],[Temperatura]])))/(1-EXP(-(Tabella3336[Planck h]*Tabella4943[Frequency10])/(Tabella3336[Boltzmann k]*Tabella82041[[#This Row],[Temperatura]])))</f>
        <v>0.37039290716933443</v>
      </c>
      <c r="O78" s="4" cm="1">
        <f t="array" ref="O78">(EXP(-(Tabella3336[Planck h]*Tabella4943[Frequency11])/(2*Tabella3336[Boltzmann k]*Tabella82041[[#This Row],[Temperatura]])))/(1-EXP(-(Tabella3336[Planck h]*Tabella4943[Frequency11])/(Tabella3336[Boltzmann k]*Tabella82041[[#This Row],[Temperatura]])))</f>
        <v>0.34692022713397364</v>
      </c>
      <c r="P78" s="4" cm="1">
        <f t="array" ref="P78">(EXP(-(Tabella3336[Planck h]*Tabella4943[Frequency12])/(2*Tabella3336[Boltzmann k]*Tabella82041[[#This Row],[Temperatura]])))/(1-EXP(-(Tabella3336[Planck h]*Tabella4943[Frequency12])/(Tabella3336[Boltzmann k]*Tabella82041[[#This Row],[Temperatura]])))</f>
        <v>0.34688376315222907</v>
      </c>
      <c r="Q78" s="4">
        <f>ABS(PRODUCT(Tabella82041[[#This Row],[Qvib2]:[Qvib12]]))</f>
        <v>0.27781931558609385</v>
      </c>
    </row>
    <row r="80" spans="1:17" x14ac:dyDescent="0.3">
      <c r="A80" t="s">
        <v>35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I80" s="6" t="s">
        <v>35</v>
      </c>
      <c r="J80" s="6" t="s">
        <v>45</v>
      </c>
    </row>
    <row r="81" spans="1:10" x14ac:dyDescent="0.3">
      <c r="A81">
        <v>298</v>
      </c>
      <c r="B81" s="4" cm="1">
        <f t="array" ref="B81">(Tabella3336[Boltzmann k]*Tabella51847[[#This Row],[Temperatura]])/101325</f>
        <v>4.0605319713792254E-26</v>
      </c>
      <c r="C81" s="4" cm="1">
        <f t="array" ref="C81">POWER((2*Tabella3336[Pi Greco]*Tabella3336[Massa]*Tabella3336[Boltzmann k]*Tabella51847[[#This Row],[Temperatura]])/(POWER(Tabella3336[Planck h],2)),1.5)*Tabella51847[[#This Row],[Volume]]</f>
        <v>2761140.8368761484</v>
      </c>
      <c r="D81" s="4">
        <f>Q61</f>
        <v>2.2706712879112707E-20</v>
      </c>
      <c r="E81" s="4" cm="1">
        <f t="array" ref="E81">(8*POWER(Tabella3336[Pi Greco],2)*POWER(2*Tabella3336[Pi Greco]*Tabella3336[Boltzmann k]*Tabella51847[[#This Row],[Temperatura]],1.5)*Tabella1945[Total Moment of Inertia])/(Tabella61937[Simmetry Number]*POWER(Tabella3336[Planck h],3))</f>
        <v>1223.918784845981</v>
      </c>
      <c r="F81">
        <f>2</f>
        <v>2</v>
      </c>
      <c r="I81" s="7">
        <v>298</v>
      </c>
      <c r="J81" s="7">
        <f>PRODUCT(Tabella51847[[#This Row],[Qtrasl]:[Qel]])</f>
        <v>1.5347068222906333E-10</v>
      </c>
    </row>
    <row r="82" spans="1:10" x14ac:dyDescent="0.3">
      <c r="A82">
        <v>400</v>
      </c>
      <c r="B82" s="4" cm="1">
        <f t="array" ref="B82">(Tabella3336[Boltzmann k]*Tabella51847[[#This Row],[Temperatura]])/101325</f>
        <v>5.4503784850727862E-26</v>
      </c>
      <c r="C82" s="4" cm="1">
        <f t="array" ref="C82">POWER((2*Tabella3336[Pi Greco]*Tabella3336[Massa]*Tabella3336[Boltzmann k]*Tabella51847[[#This Row],[Temperatura]])/(POWER(Tabella3336[Planck h],2)),1.5)*Tabella51847[[#This Row],[Volume]]</f>
        <v>5763653.6769386539</v>
      </c>
      <c r="D82" s="4">
        <f>Q62</f>
        <v>2.9514521097107459E-15</v>
      </c>
      <c r="E82" s="4" cm="1">
        <f t="array" ref="E82">(8*POWER(Tabella3336[Pi Greco],2)*POWER(2*Tabella3336[Pi Greco]*Tabella3336[Boltzmann k]*Tabella51847[[#This Row],[Temperatura]],1.5)*Tabella1945[Total Moment of Inertia])/(Tabella61937[Simmetry Number]*POWER(Tabella3336[Planck h],3))</f>
        <v>1903.3479615392919</v>
      </c>
      <c r="F82">
        <f>2</f>
        <v>2</v>
      </c>
      <c r="I82" s="7">
        <v>400</v>
      </c>
      <c r="J82" s="7">
        <f>PRODUCT(Tabella51847[[#This Row],[Qtrasl]:[Qel]])</f>
        <v>6.4756266994059187E-5</v>
      </c>
    </row>
    <row r="83" spans="1:10" x14ac:dyDescent="0.3">
      <c r="A83">
        <v>500</v>
      </c>
      <c r="B83" s="4" cm="1">
        <f t="array" ref="B83">(Tabella3336[Boltzmann k]*Tabella51847[[#This Row],[Temperatura]])/101325</f>
        <v>6.8129731063409828E-26</v>
      </c>
      <c r="C83" s="4" cm="1">
        <f t="array" ref="C83">POWER((2*Tabella3336[Pi Greco]*Tabella3336[Massa]*Tabella3336[Boltzmann k]*Tabella51847[[#This Row],[Temperatura]])/(POWER(Tabella3336[Planck h],2)),1.5)*Tabella51847[[#This Row],[Volume]]</f>
        <v>10068688.609688541</v>
      </c>
      <c r="D83" s="4">
        <f>Q63</f>
        <v>3.2860282617676169E-12</v>
      </c>
      <c r="E83" s="4" cm="1">
        <f t="array" ref="E83">(8*POWER(Tabella3336[Pi Greco],2)*POWER(2*Tabella3336[Pi Greco]*Tabella3336[Boltzmann k]*Tabella51847[[#This Row],[Temperatura]],1.5)*Tabella1945[Total Moment of Inertia])/(Tabella61937[Simmetry Number]*POWER(Tabella3336[Planck h],3))</f>
        <v>2660.0096417734226</v>
      </c>
      <c r="F83">
        <f>2</f>
        <v>2</v>
      </c>
      <c r="I83" s="7">
        <v>500</v>
      </c>
      <c r="J83" s="7">
        <f>PRODUCT(Tabella51847[[#This Row],[Qtrasl]:[Qel]])</f>
        <v>0.17601813317293183</v>
      </c>
    </row>
    <row r="84" spans="1:10" x14ac:dyDescent="0.3">
      <c r="A84">
        <v>600</v>
      </c>
      <c r="B84" s="4" cm="1">
        <f t="array" ref="B84">(Tabella3336[Boltzmann k]*Tabella51847[[#This Row],[Temperatura]])/101325</f>
        <v>8.1755677276091782E-26</v>
      </c>
      <c r="C84" s="4" cm="1">
        <f t="array" ref="C84">POWER((2*Tabella3336[Pi Greco]*Tabella3336[Massa]*Tabella3336[Boltzmann k]*Tabella51847[[#This Row],[Temperatura]])/(POWER(Tabella3336[Planck h],2)),1.5)*Tabella51847[[#This Row],[Volume]]</f>
        <v>15882761.882942652</v>
      </c>
      <c r="D84" s="4">
        <f>Q64</f>
        <v>3.9872172894042671E-10</v>
      </c>
      <c r="E84" s="4" cm="1">
        <f t="array" ref="E84">(8*POWER(Tabella3336[Pi Greco],2)*POWER(2*Tabella3336[Pi Greco]*Tabella3336[Boltzmann k]*Tabella51847[[#This Row],[Temperatura]],1.5)*Tabella1945[Total Moment of Inertia])/(Tabella61937[Simmetry Number]*POWER(Tabella3336[Planck h],3))</f>
        <v>3496.6734815533036</v>
      </c>
      <c r="F84">
        <f>2</f>
        <v>2</v>
      </c>
      <c r="I84" s="7">
        <v>600</v>
      </c>
      <c r="J84" s="7">
        <f>PRODUCT(Tabella51847[[#This Row],[Qtrasl]:[Qel]])</f>
        <v>44.287483581015813</v>
      </c>
    </row>
    <row r="85" spans="1:10" x14ac:dyDescent="0.3">
      <c r="A85">
        <v>700</v>
      </c>
      <c r="B85" s="4" cm="1">
        <f t="array" ref="B85">(Tabella3336[Boltzmann k]*Tabella51847[[#This Row],[Temperatura]])/101325</f>
        <v>9.5381623488773759E-26</v>
      </c>
      <c r="C85" s="4" cm="1">
        <f t="array" ref="C85">POWER((2*Tabella3336[Pi Greco]*Tabella3336[Massa]*Tabella3336[Boltzmann k]*Tabella51847[[#This Row],[Temperatura]])/(POWER(Tabella3336[Planck h],2)),1.5)*Tabella51847[[#This Row],[Volume]]</f>
        <v>23350328.729432728</v>
      </c>
      <c r="D85" s="4">
        <f>Q65</f>
        <v>1.3675773858656464E-8</v>
      </c>
      <c r="E85" s="4" cm="1">
        <f t="array" ref="E85">(8*POWER(Tabella3336[Pi Greco],2)*POWER(2*Tabella3336[Pi Greco]*Tabella3336[Boltzmann k]*Tabella51847[[#This Row],[Temperatura]],1.5)*Tabella1945[Total Moment of Inertia])/(Tabella61937[Simmetry Number]*POWER(Tabella3336[Planck h],3))</f>
        <v>4406.3121940728333</v>
      </c>
      <c r="F85">
        <f>2</f>
        <v>2</v>
      </c>
      <c r="I85" s="7">
        <v>700</v>
      </c>
      <c r="J85" s="7">
        <f>PRODUCT(Tabella51847[[#This Row],[Qtrasl]:[Qel]])</f>
        <v>2814.1689680467853</v>
      </c>
    </row>
    <row r="86" spans="1:10" x14ac:dyDescent="0.3">
      <c r="A86">
        <v>800</v>
      </c>
      <c r="B86" s="4" cm="1">
        <f t="array" ref="B86">(Tabella3336[Boltzmann k]*Tabella51847[[#This Row],[Temperatura]])/101325</f>
        <v>1.0900756970145572E-25</v>
      </c>
      <c r="C86" s="4" cm="1">
        <f t="array" ref="C86">POWER((2*Tabella3336[Pi Greco]*Tabella3336[Massa]*Tabella3336[Boltzmann k]*Tabella51847[[#This Row],[Temperatura]])/(POWER(Tabella3336[Planck h],2)),1.5)*Tabella51847[[#This Row],[Volume]]</f>
        <v>32604148.794992436</v>
      </c>
      <c r="D86" s="4">
        <f>Q66</f>
        <v>2.1291930988776129E-7</v>
      </c>
      <c r="E86" s="4" cm="1">
        <f t="array" ref="E86">(8*POWER(Tabella3336[Pi Greco],2)*POWER(2*Tabella3336[Pi Greco]*Tabella3336[Boltzmann k]*Tabella51847[[#This Row],[Temperatura]],1.5)*Tabella1945[Total Moment of Inertia])/(Tabella61937[Simmetry Number]*POWER(Tabella3336[Planck h],3))</f>
        <v>5383.4810022480406</v>
      </c>
      <c r="F86">
        <f>2</f>
        <v>2</v>
      </c>
      <c r="I86" s="7">
        <v>800</v>
      </c>
      <c r="J86" s="7">
        <f>PRODUCT(Tabella51847[[#This Row],[Qtrasl]:[Qel]])</f>
        <v>74744.819386596238</v>
      </c>
    </row>
    <row r="87" spans="1:10" x14ac:dyDescent="0.3">
      <c r="A87">
        <v>900</v>
      </c>
      <c r="B87" s="4" cm="1">
        <f t="array" ref="B87">(Tabella3336[Boltzmann k]*Tabella51847[[#This Row],[Temperatura]])/101325</f>
        <v>1.2263351591413768E-25</v>
      </c>
      <c r="C87" s="4" cm="1">
        <f t="array" ref="C87">POWER((2*Tabella3336[Pi Greco]*Tabella3336[Massa]*Tabella3336[Boltzmann k]*Tabella51847[[#This Row],[Temperatura]])/(POWER(Tabella3336[Planck h],2)),1.5)*Tabella51847[[#This Row],[Volume]]</f>
        <v>43767745.109252974</v>
      </c>
      <c r="D87" s="4">
        <f>Q67</f>
        <v>1.9549906366503382E-6</v>
      </c>
      <c r="E87" s="4" cm="1">
        <f t="array" ref="E87">(8*POWER(Tabella3336[Pi Greco],2)*POWER(2*Tabella3336[Pi Greco]*Tabella3336[Boltzmann k]*Tabella51847[[#This Row],[Temperatura]],1.5)*Tabella1945[Total Moment of Inertia])/(Tabella61937[Simmetry Number]*POWER(Tabella3336[Planck h],3))</f>
        <v>6423.79937019503</v>
      </c>
      <c r="F87">
        <f>2</f>
        <v>2</v>
      </c>
      <c r="I87" s="7">
        <v>900</v>
      </c>
      <c r="J87" s="7">
        <f>PRODUCT(Tabella51847[[#This Row],[Qtrasl]:[Qel]])</f>
        <v>1099311.6195494668</v>
      </c>
    </row>
    <row r="88" spans="1:10" x14ac:dyDescent="0.3">
      <c r="A88">
        <v>1000</v>
      </c>
      <c r="B88" s="4" cm="1">
        <f t="array" ref="B88">(Tabella3336[Boltzmann k]*Tabella51847[[#This Row],[Temperatura]])/101325</f>
        <v>1.3625946212681966E-25</v>
      </c>
      <c r="C88" s="4" cm="1">
        <f t="array" ref="C88">POWER((2*Tabella3336[Pi Greco]*Tabella3336[Massa]*Tabella3336[Boltzmann k]*Tabella51847[[#This Row],[Temperatura]])/(POWER(Tabella3336[Planck h],2)),1.5)*Tabella51847[[#This Row],[Volume]]</f>
        <v>56957103.948532313</v>
      </c>
      <c r="D88" s="4">
        <f>Q68</f>
        <v>1.2378784561359431E-5</v>
      </c>
      <c r="E88" s="4" cm="1">
        <f t="array" ref="E88">(8*POWER(Tabella3336[Pi Greco],2)*POWER(2*Tabella3336[Pi Greco]*Tabella3336[Boltzmann k]*Tabella51847[[#This Row],[Temperatura]],1.5)*Tabella1945[Total Moment of Inertia])/(Tabella61937[Simmetry Number]*POWER(Tabella3336[Planck h],3))</f>
        <v>7523.64342287826</v>
      </c>
      <c r="F88">
        <f>2</f>
        <v>2</v>
      </c>
      <c r="I88" s="7">
        <v>1000</v>
      </c>
      <c r="J88" s="7">
        <f>PRODUCT(Tabella51847[[#This Row],[Qtrasl]:[Qel]])</f>
        <v>10609235.835449873</v>
      </c>
    </row>
    <row r="89" spans="1:10" x14ac:dyDescent="0.3">
      <c r="A89">
        <v>1100</v>
      </c>
      <c r="B89" s="4" cm="1">
        <f t="array" ref="B89">(Tabella3336[Boltzmann k]*Tabella51847[[#This Row],[Temperatura]])/101325</f>
        <v>1.4988540833950161E-25</v>
      </c>
      <c r="C89" s="4" cm="1">
        <f t="array" ref="C89">POWER((2*Tabella3336[Pi Greco]*Tabella3336[Massa]*Tabella3336[Boltzmann k]*Tabella51847[[#This Row],[Temperatura]])/(POWER(Tabella3336[Planck h],2)),1.5)*Tabella51847[[#This Row],[Volume]]</f>
        <v>72281908.650714442</v>
      </c>
      <c r="D89" s="4">
        <f>Q69</f>
        <v>5.9692956604101647E-5</v>
      </c>
      <c r="E89" s="4" cm="1">
        <f t="array" ref="E89">(8*POWER(Tabella3336[Pi Greco],2)*POWER(2*Tabella3336[Pi Greco]*Tabella3336[Boltzmann k]*Tabella51847[[#This Row],[Temperatura]],1.5)*Tabella1945[Total Moment of Inertia])/(Tabella61937[Simmetry Number]*POWER(Tabella3336[Planck h],3))</f>
        <v>8679.9501716311297</v>
      </c>
      <c r="F89">
        <f>2</f>
        <v>2</v>
      </c>
      <c r="I89" s="7">
        <v>1100</v>
      </c>
      <c r="J89" s="7">
        <f>PRODUCT(Tabella51847[[#This Row],[Qtrasl]:[Qel]])</f>
        <v>74903123.728011265</v>
      </c>
    </row>
    <row r="90" spans="1:10" x14ac:dyDescent="0.3">
      <c r="A90">
        <v>1200</v>
      </c>
      <c r="B90" s="4" cm="1">
        <f t="array" ref="B90">(Tabella3336[Boltzmann k]*Tabella51847[[#This Row],[Temperatura]])/101325</f>
        <v>1.6351135455218356E-25</v>
      </c>
      <c r="C90" s="4" cm="1">
        <f t="array" ref="C90">POWER((2*Tabella3336[Pi Greco]*Tabella3336[Massa]*Tabella3336[Boltzmann k]*Tabella51847[[#This Row],[Temperatura]])/(POWER(Tabella3336[Planck h],2)),1.5)*Tabella51847[[#This Row],[Volume]]</f>
        <v>89846469.051199988</v>
      </c>
      <c r="D90" s="4">
        <f>Q70</f>
        <v>2.3418946781812359E-4</v>
      </c>
      <c r="E90" s="4" cm="1">
        <f t="array" ref="E90">(8*POWER(Tabella3336[Pi Greco],2)*POWER(2*Tabella3336[Pi Greco]*Tabella3336[Boltzmann k]*Tabella51847[[#This Row],[Temperatura]],1.5)*Tabella1945[Total Moment of Inertia])/(Tabella61937[Simmetry Number]*POWER(Tabella3336[Planck h],3))</f>
        <v>9890.0861216060875</v>
      </c>
      <c r="F90">
        <f>2</f>
        <v>2</v>
      </c>
      <c r="I90" s="7">
        <v>1200</v>
      </c>
      <c r="J90" s="7">
        <f>PRODUCT(Tabella51847[[#This Row],[Qtrasl]:[Qel]])</f>
        <v>416196518.3449201</v>
      </c>
    </row>
    <row r="91" spans="1:10" x14ac:dyDescent="0.3">
      <c r="A91">
        <v>1300</v>
      </c>
      <c r="B91" s="4" cm="1">
        <f t="array" ref="B91">(Tabella3336[Boltzmann k]*Tabella51847[[#This Row],[Temperatura]])/101325</f>
        <v>1.7713730076486554E-25</v>
      </c>
      <c r="C91" s="4" cm="1">
        <f t="array" ref="C91">POWER((2*Tabella3336[Pi Greco]*Tabella3336[Massa]*Tabella3336[Boltzmann k]*Tabella51847[[#This Row],[Temperatura]])/(POWER(Tabella3336[Planck h],2)),1.5)*Tabella51847[[#This Row],[Volume]]</f>
        <v>109750442.44971657</v>
      </c>
      <c r="D91" s="4">
        <f>Q71</f>
        <v>7.8245260375126035E-4</v>
      </c>
      <c r="E91" s="4" cm="1">
        <f t="array" ref="E91">(8*POWER(Tabella3336[Pi Greco],2)*POWER(2*Tabella3336[Pi Greco]*Tabella3336[Boltzmann k]*Tabella51847[[#This Row],[Temperatura]],1.5)*Tabella1945[Total Moment of Inertia])/(Tabella61937[Simmetry Number]*POWER(Tabella3336[Planck h],3))</f>
        <v>11151.755339366953</v>
      </c>
      <c r="F91">
        <f>2</f>
        <v>2</v>
      </c>
      <c r="I91" s="7">
        <v>1300</v>
      </c>
      <c r="J91" s="7">
        <f>PRODUCT(Tabella51847[[#This Row],[Qtrasl]:[Qel]])</f>
        <v>1915303261.7544732</v>
      </c>
    </row>
    <row r="92" spans="1:10" x14ac:dyDescent="0.3">
      <c r="A92">
        <v>1400</v>
      </c>
      <c r="B92" s="4" cm="1">
        <f t="array" ref="B92">(Tabella3336[Boltzmann k]*Tabella51847[[#This Row],[Temperatura]])/101325</f>
        <v>1.9076324697754752E-25</v>
      </c>
      <c r="C92" s="4" cm="1">
        <f t="array" ref="C92">POWER((2*Tabella3336[Pi Greco]*Tabella3336[Massa]*Tabella3336[Boltzmann k]*Tabella51847[[#This Row],[Temperatura]])/(POWER(Tabella3336[Planck h],2)),1.5)*Tabella51847[[#This Row],[Volume]]</f>
        <v>132089406.30013403</v>
      </c>
      <c r="D92" s="4">
        <f>Q72</f>
        <v>2.300269591791046E-3</v>
      </c>
      <c r="E92" s="4" cm="1">
        <f t="array" ref="E92">(8*POWER(Tabella3336[Pi Greco],2)*POWER(2*Tabella3336[Pi Greco]*Tabella3336[Boltzmann k]*Tabella51847[[#This Row],[Temperatura]],1.5)*Tabella1945[Total Moment of Inertia])/(Tabella61937[Simmetry Number]*POWER(Tabella3336[Planck h],3))</f>
        <v>12462.932929815535</v>
      </c>
      <c r="F92">
        <f>2</f>
        <v>2</v>
      </c>
      <c r="I92" s="7">
        <v>1400</v>
      </c>
      <c r="J92" s="7">
        <f>PRODUCT(Tabella51847[[#This Row],[Qtrasl]:[Qel]])</f>
        <v>7573506108.2630777</v>
      </c>
    </row>
    <row r="93" spans="1:10" x14ac:dyDescent="0.3">
      <c r="A93">
        <v>1500</v>
      </c>
      <c r="B93" s="4" cm="1">
        <f t="array" ref="B93">(Tabella3336[Boltzmann k]*Tabella51847[[#This Row],[Temperatura]])/101325</f>
        <v>2.0438919319022949E-25</v>
      </c>
      <c r="C93" s="4" cm="1">
        <f t="array" ref="C93">POWER((2*Tabella3336[Pi Greco]*Tabella3336[Massa]*Tabella3336[Boltzmann k]*Tabella51847[[#This Row],[Temperatura]])/(POWER(Tabella3336[Planck h],2)),1.5)*Tabella51847[[#This Row],[Volume]]</f>
        <v>156955322.13813481</v>
      </c>
      <c r="D93" s="4">
        <f>Q73</f>
        <v>6.094647192488401E-3</v>
      </c>
      <c r="E93" s="4" cm="1">
        <f t="array" ref="E93">(8*POWER(Tabella3336[Pi Greco],2)*POWER(2*Tabella3336[Pi Greco]*Tabella3336[Boltzmann k]*Tabella51847[[#This Row],[Temperatura]],1.5)*Tabella1945[Total Moment of Inertia])/(Tabella61937[Simmetry Number]*POWER(Tabella3336[Planck h],3))</f>
        <v>13821.815544523921</v>
      </c>
      <c r="F93">
        <f>2</f>
        <v>2</v>
      </c>
      <c r="I93" s="7">
        <v>1500</v>
      </c>
      <c r="J93" s="7">
        <f>PRODUCT(Tabella51847[[#This Row],[Qtrasl]:[Qel]])</f>
        <v>26443546796.515827</v>
      </c>
    </row>
    <row r="94" spans="1:10" x14ac:dyDescent="0.3">
      <c r="A94">
        <v>1600</v>
      </c>
      <c r="B94" s="4" cm="1">
        <f t="array" ref="B94">(Tabella3336[Boltzmann k]*Tabella51847[[#This Row],[Temperatura]])/101325</f>
        <v>2.1801513940291145E-25</v>
      </c>
      <c r="C94" s="4" cm="1">
        <f t="array" ref="C94">POWER((2*Tabella3336[Pi Greco]*Tabella3336[Massa]*Tabella3336[Boltzmann k]*Tabella51847[[#This Row],[Temperatura]])/(POWER(Tabella3336[Planck h],2)),1.5)*Tabella51847[[#This Row],[Volume]]</f>
        <v>184436917.66203535</v>
      </c>
      <c r="D94" s="4">
        <f>Q74</f>
        <v>1.4818526769525218E-2</v>
      </c>
      <c r="E94" s="4" cm="1">
        <f t="array" ref="E94">(8*POWER(Tabella3336[Pi Greco],2)*POWER(2*Tabella3336[Pi Greco]*Tabella3336[Boltzmann k]*Tabella51847[[#This Row],[Temperatura]],1.5)*Tabella1945[Total Moment of Inertia])/(Tabella61937[Simmetry Number]*POWER(Tabella3336[Planck h],3))</f>
        <v>15226.783692314208</v>
      </c>
      <c r="F94">
        <f>2</f>
        <v>2</v>
      </c>
      <c r="I94" s="7">
        <v>1600</v>
      </c>
      <c r="J94" s="7">
        <f>PRODUCT(Tabella51847[[#This Row],[Qtrasl]:[Qel]])</f>
        <v>83232139540.371567</v>
      </c>
    </row>
    <row r="95" spans="1:10" x14ac:dyDescent="0.3">
      <c r="A95">
        <v>1700</v>
      </c>
      <c r="B95" s="4" cm="1">
        <f t="array" ref="B95">(Tabella3336[Boltzmann k]*Tabella51847[[#This Row],[Temperatura]])/101325</f>
        <v>2.316410856155934E-25</v>
      </c>
      <c r="C95" s="4" cm="1">
        <f t="array" ref="C95">POWER((2*Tabella3336[Pi Greco]*Tabella3336[Massa]*Tabella3336[Boltzmann k]*Tabella51847[[#This Row],[Temperatura]])/(POWER(Tabella3336[Planck h],2)),1.5)*Tabella51847[[#This Row],[Volume]]</f>
        <v>214620005.87358809</v>
      </c>
      <c r="D95" s="4">
        <f>Q75</f>
        <v>3.3524846947203049E-2</v>
      </c>
      <c r="E95" s="4" cm="1">
        <f t="array" ref="E95">(8*POWER(Tabella3336[Pi Greco],2)*POWER(2*Tabella3336[Pi Greco]*Tabella3336[Boltzmann k]*Tabella51847[[#This Row],[Temperatura]],1.5)*Tabella1945[Total Moment of Inertia])/(Tabella61937[Simmetry Number]*POWER(Tabella3336[Planck h],3))</f>
        <v>16676.372461427422</v>
      </c>
      <c r="F95">
        <f>2</f>
        <v>2</v>
      </c>
      <c r="I95" s="7">
        <v>1700</v>
      </c>
      <c r="J95" s="7">
        <f>PRODUCT(Tabella51847[[#This Row],[Qtrasl]:[Qel]])</f>
        <v>239976430007.05975</v>
      </c>
    </row>
    <row r="96" spans="1:10" x14ac:dyDescent="0.3">
      <c r="A96">
        <v>1800</v>
      </c>
      <c r="B96" s="4" cm="1">
        <f t="array" ref="B96">(Tabella3336[Boltzmann k]*Tabella51847[[#This Row],[Temperatura]])/101325</f>
        <v>2.4526703182827536E-25</v>
      </c>
      <c r="C96" s="4" cm="1">
        <f t="array" ref="C96">POWER((2*Tabella3336[Pi Greco]*Tabella3336[Massa]*Tabella3336[Boltzmann k]*Tabella51847[[#This Row],[Temperatura]])/(POWER(Tabella3336[Planck h],2)),1.5)*Tabella51847[[#This Row],[Volume]]</f>
        <v>247587754.91197419</v>
      </c>
      <c r="D96" s="4">
        <f>Q76</f>
        <v>7.1341243463048654E-2</v>
      </c>
      <c r="E96" s="4" cm="1">
        <f t="array" ref="E96">(8*POWER(Tabella3336[Pi Greco],2)*POWER(2*Tabella3336[Pi Greco]*Tabella3336[Boltzmann k]*Tabella51847[[#This Row],[Temperatura]],1.5)*Tabella1945[Total Moment of Inertia])/(Tabella61937[Simmetry Number]*POWER(Tabella3336[Planck h],3))</f>
        <v>18169.248382587168</v>
      </c>
      <c r="F96">
        <f>2</f>
        <v>2</v>
      </c>
      <c r="I96" s="7">
        <v>1800</v>
      </c>
      <c r="J96" s="7">
        <f>PRODUCT(Tabella51847[[#This Row],[Qtrasl]:[Qel]])</f>
        <v>641854801116.88672</v>
      </c>
    </row>
    <row r="97" spans="1:10" x14ac:dyDescent="0.3">
      <c r="A97">
        <v>1900</v>
      </c>
      <c r="B97" s="4" cm="1">
        <f t="array" ref="B97">(Tabella3336[Boltzmann k]*Tabella51847[[#This Row],[Temperatura]])/101325</f>
        <v>2.5889297804095731E-25</v>
      </c>
      <c r="C97" s="4" cm="1">
        <f t="array" ref="C97">POWER((2*Tabella3336[Pi Greco]*Tabella3336[Massa]*Tabella3336[Boltzmann k]*Tabella51847[[#This Row],[Temperatura]])/(POWER(Tabella3336[Planck h],2)),1.5)*Tabella51847[[#This Row],[Volume]]</f>
        <v>283420918.63520241</v>
      </c>
      <c r="D97" s="4">
        <f>Q77</f>
        <v>0.14403474676054684</v>
      </c>
      <c r="E97" s="4" cm="1">
        <f t="array" ref="E97">(8*POWER(Tabella3336[Pi Greco],2)*POWER(2*Tabella3336[Pi Greco]*Tabella3336[Boltzmann k]*Tabella51847[[#This Row],[Temperatura]],1.5)*Tabella1945[Total Moment of Inertia])/(Tabella61937[Simmetry Number]*POWER(Tabella3336[Planck h],3))</f>
        <v>19704.190869516664</v>
      </c>
      <c r="F97">
        <f>2</f>
        <v>2</v>
      </c>
      <c r="I97" s="7">
        <v>1900</v>
      </c>
      <c r="J97" s="7">
        <f>PRODUCT(Tabella51847[[#This Row],[Qtrasl]:[Qel]])</f>
        <v>1608747096753.6084</v>
      </c>
    </row>
    <row r="98" spans="1:10" x14ac:dyDescent="0.3">
      <c r="A98">
        <v>2000</v>
      </c>
      <c r="B98" s="4" cm="1">
        <f t="array" ref="B98">(Tabella3336[Boltzmann k]*Tabella51847[[#This Row],[Temperatura]])/101325</f>
        <v>2.7251892425363931E-25</v>
      </c>
      <c r="C98" s="4" cm="1">
        <f t="array" ref="C98">POWER((2*Tabella3336[Pi Greco]*Tabella3336[Massa]*Tabella3336[Boltzmann k]*Tabella51847[[#This Row],[Temperatura]])/(POWER(Tabella3336[Planck h],2)),1.5)*Tabella51847[[#This Row],[Volume]]</f>
        <v>322198035.51003516</v>
      </c>
      <c r="D98" s="4">
        <f>Q78</f>
        <v>0.27781931558609385</v>
      </c>
      <c r="E98" s="4" cm="1">
        <f t="array" ref="E98">(8*POWER(Tabella3336[Pi Greco],2)*POWER(2*Tabella3336[Pi Greco]*Tabella3336[Boltzmann k]*Tabella51847[[#This Row],[Temperatura]],1.5)*Tabella1945[Total Moment of Inertia])/(Tabella61937[Simmetry Number]*POWER(Tabella3336[Planck h],3))</f>
        <v>21280.077134187195</v>
      </c>
      <c r="F98">
        <f>2</f>
        <v>2</v>
      </c>
      <c r="I98" s="8">
        <v>2000</v>
      </c>
      <c r="J98" s="7">
        <f>PRODUCT(Tabella51847[[#This Row],[Qtrasl]:[Qel]])</f>
        <v>3809680181877.207</v>
      </c>
    </row>
  </sheetData>
  <phoneticPr fontId="2" type="noConversion"/>
  <pageMargins left="0.7" right="0.7" top="0.75" bottom="0.75" header="0.3" footer="0.3"/>
  <pageSetup orientation="portrait" r:id="rId1"/>
  <drawing r:id="rId2"/>
  <tableParts count="10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401E-E89B-4C3B-A57E-859613A333CD}">
  <dimension ref="A1:K26"/>
  <sheetViews>
    <sheetView tabSelected="1" workbookViewId="0">
      <selection activeCell="E26" sqref="E26"/>
    </sheetView>
  </sheetViews>
  <sheetFormatPr defaultRowHeight="14.4" x14ac:dyDescent="0.3"/>
  <cols>
    <col min="1" max="1" width="13.21875" customWidth="1"/>
    <col min="2" max="2" width="14.44140625" customWidth="1"/>
    <col min="3" max="3" width="10.6640625" customWidth="1"/>
    <col min="4" max="4" width="12" bestFit="1" customWidth="1"/>
    <col min="5" max="6" width="10.6640625" customWidth="1"/>
    <col min="8" max="8" width="12" bestFit="1" customWidth="1"/>
    <col min="10" max="10" width="13.6640625" customWidth="1"/>
  </cols>
  <sheetData>
    <row r="1" spans="1:11" x14ac:dyDescent="0.3">
      <c r="A1" t="s">
        <v>13</v>
      </c>
      <c r="B1" t="s">
        <v>12</v>
      </c>
    </row>
    <row r="2" spans="1:11" x14ac:dyDescent="0.3">
      <c r="A2" s="4">
        <f>6.62607015E-34</f>
        <v>6.6260701499999998E-34</v>
      </c>
      <c r="B2" s="4">
        <f>1.380649E-23</f>
        <v>1.3806490000000001E-23</v>
      </c>
    </row>
    <row r="4" spans="1:11" x14ac:dyDescent="0.3">
      <c r="A4" t="s">
        <v>57</v>
      </c>
      <c r="B4" t="s">
        <v>58</v>
      </c>
      <c r="C4" t="s">
        <v>59</v>
      </c>
      <c r="D4" t="s">
        <v>60</v>
      </c>
      <c r="E4" t="s">
        <v>62</v>
      </c>
      <c r="G4" t="s">
        <v>57</v>
      </c>
      <c r="H4" t="s">
        <v>63</v>
      </c>
      <c r="I4" t="s">
        <v>64</v>
      </c>
      <c r="J4" t="s">
        <v>60</v>
      </c>
      <c r="K4" t="s">
        <v>65</v>
      </c>
    </row>
    <row r="5" spans="1:11" x14ac:dyDescent="0.3">
      <c r="A5">
        <v>298</v>
      </c>
      <c r="B5" s="12">
        <f>'CH4'!J34</f>
        <v>9.1057058962467052E-13</v>
      </c>
      <c r="C5" s="12">
        <f>H!J6</f>
        <v>79438.009428005476</v>
      </c>
      <c r="D5" s="12">
        <f>'TST1'!J81</f>
        <v>1.5347068222906333E-10</v>
      </c>
      <c r="E5" s="4">
        <f>(Tabella51[Boltzmann k]*Tabella48[[#This Row],[Temperature]]*Tabella48[[#This Row],[Q TST]])/(Tabella51[Planck h]*(Tabella48[[#This Row],[Q CH4]]*Tabella48[[#This Row],[Q H ]]))</f>
        <v>13174282413.128271</v>
      </c>
      <c r="G5">
        <v>298</v>
      </c>
      <c r="H5" s="12">
        <f>'CH3'!J34</f>
        <v>1.1994514692970909E-5</v>
      </c>
      <c r="I5" s="12">
        <f>'H2'!I38</f>
        <v>4.0107627169505351</v>
      </c>
      <c r="J5" s="12">
        <f>'TST1'!J81</f>
        <v>1.5347068222906333E-10</v>
      </c>
      <c r="K5" s="4">
        <f>(Tabella51[Boltzmann k]*Tabella4852[[#This Row],[Temperature]]*Tabella4852[[#This Row],[Q TST]])/(Tabella51[Planck h]*(Tabella4852[[#This Row],[Q CH3]]*Tabella4852[[#This Row],[Q H2]]))</f>
        <v>19808851.262945242</v>
      </c>
    </row>
    <row r="6" spans="1:11" x14ac:dyDescent="0.3">
      <c r="A6">
        <v>400</v>
      </c>
      <c r="B6" s="12">
        <f>'CH4'!J35</f>
        <v>5.4609321562876897E-7</v>
      </c>
      <c r="C6" s="12">
        <f>H!J7</f>
        <v>165820.29029942662</v>
      </c>
      <c r="D6" s="12">
        <f>'TST1'!J82</f>
        <v>6.4756266994059187E-5</v>
      </c>
      <c r="E6" s="4">
        <f>(Tabella51[Boltzmann k]*Tabella48[[#This Row],[Temperature]]*Tabella48[[#This Row],[Q TST]])/(Tabella51[Planck h]*(Tabella48[[#This Row],[Q CH4]]*Tabella48[[#This Row],[Q H ]]))</f>
        <v>5960251659.7156343</v>
      </c>
      <c r="G6">
        <v>400</v>
      </c>
      <c r="H6" s="12">
        <f>'CH3'!J35</f>
        <v>0.13470395697910101</v>
      </c>
      <c r="I6" s="12">
        <f>'H2'!I39</f>
        <v>175.41608225243584</v>
      </c>
      <c r="J6" s="12">
        <f>'TST1'!J82</f>
        <v>6.4756266994059187E-5</v>
      </c>
      <c r="K6" s="4">
        <f>(Tabella51[Boltzmann k]*Tabella4852[[#This Row],[Temperature]]*Tabella4852[[#This Row],[Q TST]])/(Tabella51[Planck h]*(Tabella4852[[#This Row],[Q CH3]]*Tabella4852[[#This Row],[Q H2]]))</f>
        <v>22841219.582582284</v>
      </c>
    </row>
    <row r="7" spans="1:11" x14ac:dyDescent="0.3">
      <c r="A7">
        <v>500</v>
      </c>
      <c r="B7" s="12">
        <f>'CH4'!J36</f>
        <v>1.6578570088769909E-3</v>
      </c>
      <c r="C7" s="12">
        <f>H!J8</f>
        <v>289676.12590489769</v>
      </c>
      <c r="D7" s="12">
        <f>'TST1'!J83</f>
        <v>0.17601813317293183</v>
      </c>
      <c r="E7" s="4">
        <f>(Tabella51[Boltzmann k]*Tabella48[[#This Row],[Temperature]]*Tabella48[[#This Row],[Q TST]])/(Tabella51[Planck h]*(Tabella48[[#This Row],[Q CH4]]*Tabella48[[#This Row],[Q H ]]))</f>
        <v>3818518463.4706049</v>
      </c>
      <c r="G7">
        <v>500</v>
      </c>
      <c r="H7" s="12">
        <f>'CH3'!J36</f>
        <v>40.589552251374592</v>
      </c>
      <c r="I7" s="12">
        <f>'H2'!I40</f>
        <v>1907.9602738553108</v>
      </c>
      <c r="J7" s="12">
        <f>'TST1'!J83</f>
        <v>0.17601813317293183</v>
      </c>
      <c r="K7" s="4">
        <f>(Tabella51[Boltzmann k]*Tabella4852[[#This Row],[Temperature]]*Tabella4852[[#This Row],[Q TST]])/(Tabella51[Planck h]*(Tabella4852[[#This Row],[Q CH3]]*Tabella4852[[#This Row],[Q H2]]))</f>
        <v>23679421.039228693</v>
      </c>
    </row>
    <row r="8" spans="1:11" x14ac:dyDescent="0.3">
      <c r="A8">
        <v>600</v>
      </c>
      <c r="B8" s="12">
        <f>'CH4'!J37</f>
        <v>0.41737830184790564</v>
      </c>
      <c r="C8" s="12">
        <f>H!J9</f>
        <v>456946.98776299984</v>
      </c>
      <c r="D8" s="12">
        <f>'TST1'!J84</f>
        <v>44.287483581015813</v>
      </c>
      <c r="E8" s="4">
        <f>(Tabella51[Boltzmann k]*Tabella48[[#This Row],[Temperature]]*Tabella48[[#This Row],[Q TST]])/(Tabella51[Planck h]*(Tabella48[[#This Row],[Q CH4]]*Tabella48[[#This Row],[Q H ]]))</f>
        <v>2903112204.0497065</v>
      </c>
      <c r="G8">
        <v>600</v>
      </c>
      <c r="H8" s="12">
        <f>'CH3'!J37</f>
        <v>2188.7107167919175</v>
      </c>
      <c r="I8" s="12">
        <f>'H2'!I41</f>
        <v>10533.874587121138</v>
      </c>
      <c r="J8" s="12">
        <f>'TST1'!J84</f>
        <v>44.287483581015813</v>
      </c>
      <c r="K8" s="4">
        <f>(Tabella51[Boltzmann k]*Tabella4852[[#This Row],[Temperature]]*Tabella4852[[#This Row],[Q TST]])/(Tabella51[Planck h]*(Tabella4852[[#This Row],[Q CH3]]*Tabella4852[[#This Row],[Q H2]]))</f>
        <v>24015022.622083344</v>
      </c>
    </row>
    <row r="9" spans="1:11" x14ac:dyDescent="0.3">
      <c r="A9">
        <v>700</v>
      </c>
      <c r="B9" s="12">
        <f>'CH4'!J38</f>
        <v>25.078536282639096</v>
      </c>
      <c r="C9" s="12">
        <f>H!J10</f>
        <v>671788.85226814402</v>
      </c>
      <c r="D9" s="12">
        <f>'TST1'!J85</f>
        <v>2814.1689680467853</v>
      </c>
      <c r="E9" s="4">
        <f>(Tabella51[Boltzmann k]*Tabella48[[#This Row],[Temperature]]*Tabella48[[#This Row],[Q TST]])/(Tabella51[Planck h]*(Tabella48[[#This Row],[Q CH4]]*Tabella48[[#This Row],[Q H ]]))</f>
        <v>2436354526.6592669</v>
      </c>
      <c r="G9">
        <v>700</v>
      </c>
      <c r="H9" s="12">
        <f>'CH3'!J38</f>
        <v>43366.492448379562</v>
      </c>
      <c r="I9" s="12">
        <f>'H2'!I42</f>
        <v>38814.261676013644</v>
      </c>
      <c r="J9" s="12">
        <f>'TST1'!J85</f>
        <v>2814.1689680467853</v>
      </c>
      <c r="K9" s="4">
        <f>(Tabella51[Boltzmann k]*Tabella4852[[#This Row],[Temperature]]*Tabella4852[[#This Row],[Q TST]])/(Tabella51[Planck h]*(Tabella4852[[#This Row],[Q CH3]]*Tabella4852[[#This Row],[Q H2]]))</f>
        <v>24385397.33876624</v>
      </c>
    </row>
    <row r="10" spans="1:11" x14ac:dyDescent="0.3">
      <c r="A10">
        <v>800</v>
      </c>
      <c r="B10" s="12">
        <f>'CH4'!J39</f>
        <v>611.30551192169526</v>
      </c>
      <c r="C10" s="12">
        <f>H!J11</f>
        <v>938021.21383237431</v>
      </c>
      <c r="D10" s="12">
        <f>'TST1'!J86</f>
        <v>74744.819386596238</v>
      </c>
      <c r="E10" s="4">
        <f>(Tabella51[Boltzmann k]*Tabella48[[#This Row],[Temperature]]*Tabella48[[#This Row],[Q TST]])/(Tabella51[Planck h]*(Tabella48[[#This Row],[Q CH4]]*Tabella48[[#This Row],[Q H ]]))</f>
        <v>2172838085.9453835</v>
      </c>
      <c r="G10">
        <v>800</v>
      </c>
      <c r="H10" s="12">
        <f>'CH3'!J39</f>
        <v>454344.58943257574</v>
      </c>
      <c r="I10" s="12">
        <f>'H2'!I43</f>
        <v>109926.00790846521</v>
      </c>
      <c r="J10" s="12">
        <f>'TST1'!J86</f>
        <v>74744.819386596238</v>
      </c>
      <c r="K10" s="4">
        <f>(Tabella51[Boltzmann k]*Tabella4852[[#This Row],[Temperature]]*Tabella4852[[#This Row],[Q TST]])/(Tabella51[Planck h]*(Tabella4852[[#This Row],[Q CH3]]*Tabella4852[[#This Row],[Q H2]]))</f>
        <v>24946666.434908126</v>
      </c>
    </row>
    <row r="11" spans="1:11" x14ac:dyDescent="0.3">
      <c r="A11">
        <v>900</v>
      </c>
      <c r="B11" s="12">
        <f>'CH4'!J40</f>
        <v>8123.9728011126053</v>
      </c>
      <c r="C11" s="12">
        <f>H!J12</f>
        <v>1259197.8294612907</v>
      </c>
      <c r="D11" s="12">
        <f>'TST1'!J87</f>
        <v>1099311.6195494668</v>
      </c>
      <c r="E11" s="4">
        <f>(Tabella51[Boltzmann k]*Tabella48[[#This Row],[Temperature]]*Tabella48[[#This Row],[Q TST]])/(Tabella51[Planck h]*(Tabella48[[#This Row],[Q CH4]]*Tabella48[[#This Row],[Q H ]]))</f>
        <v>2015246399.8355436</v>
      </c>
      <c r="G11">
        <v>900</v>
      </c>
      <c r="H11" s="12">
        <f>'CH3'!J40</f>
        <v>3088391.023315032</v>
      </c>
      <c r="I11" s="12">
        <f>'H2'!I44</f>
        <v>259439.82999403655</v>
      </c>
      <c r="J11" s="12">
        <f>'TST1'!J87</f>
        <v>1099311.6195494668</v>
      </c>
      <c r="K11" s="4">
        <f>(Tabella51[Boltzmann k]*Tabella4852[[#This Row],[Temperature]]*Tabella4852[[#This Row],[Q TST]])/(Tabella51[Planck h]*(Tabella4852[[#This Row],[Q CH3]]*Tabella4852[[#This Row],[Q H2]]))</f>
        <v>25728925.447655443</v>
      </c>
    </row>
    <row r="12" spans="1:11" x14ac:dyDescent="0.3">
      <c r="A12">
        <v>1000</v>
      </c>
      <c r="B12" s="12">
        <f>'CH4'!J41</f>
        <v>70316.169109168419</v>
      </c>
      <c r="C12" s="12">
        <f>H!J13</f>
        <v>1638655.6238016149</v>
      </c>
      <c r="D12" s="12">
        <f>'TST1'!J88</f>
        <v>10609235.835449873</v>
      </c>
      <c r="E12" s="4">
        <f>(Tabella51[Boltzmann k]*Tabella48[[#This Row],[Temperature]]*Tabella48[[#This Row],[Q TST]])/(Tabella51[Planck h]*(Tabella48[[#This Row],[Q CH4]]*Tabella48[[#This Row],[Q H ]]))</f>
        <v>1918529414.3469939</v>
      </c>
      <c r="G12">
        <v>1000</v>
      </c>
      <c r="H12" s="12">
        <f>'CH3'!J41</f>
        <v>15421191.168434512</v>
      </c>
      <c r="I12" s="12">
        <f>'H2'!I45</f>
        <v>536422.32322412205</v>
      </c>
      <c r="J12" s="12">
        <f>'TST1'!J88</f>
        <v>10609235.835449873</v>
      </c>
      <c r="K12" s="4">
        <f>(Tabella51[Boltzmann k]*Tabella4852[[#This Row],[Temperature]]*Tabella4852[[#This Row],[Q TST]])/(Tabella51[Planck h]*(Tabella4852[[#This Row],[Q CH3]]*Tabella4852[[#This Row],[Q H2]]))</f>
        <v>26723085.00569116</v>
      </c>
    </row>
    <row r="13" spans="1:11" x14ac:dyDescent="0.3">
      <c r="A13">
        <v>1100</v>
      </c>
      <c r="B13" s="12">
        <f>'CH4'!J42</f>
        <v>444000.25392840698</v>
      </c>
      <c r="C13" s="12">
        <f>H!J14</f>
        <v>2079550.185989778</v>
      </c>
      <c r="D13" s="12">
        <f>'TST1'!J89</f>
        <v>74903123.728011265</v>
      </c>
      <c r="E13" s="4">
        <f>(Tabella51[Boltzmann k]*Tabella48[[#This Row],[Temperature]]*Tabella48[[#This Row],[Q TST]])/(Tabella51[Planck h]*(Tabella48[[#This Row],[Q CH4]]*Tabella48[[#This Row],[Q H ]]))</f>
        <v>1859376098.2292645</v>
      </c>
      <c r="G13">
        <v>1100</v>
      </c>
      <c r="H13" s="12">
        <f>'CH3'!J42</f>
        <v>61268133.656050071</v>
      </c>
      <c r="I13" s="12">
        <f>'H2'!I46</f>
        <v>1003982.874385364</v>
      </c>
      <c r="J13" s="12">
        <f>'TST1'!J89</f>
        <v>74903123.728011265</v>
      </c>
      <c r="K13" s="4">
        <f>(Tabella51[Boltzmann k]*Tabella4852[[#This Row],[Temperature]]*Tabella4852[[#This Row],[Q TST]])/(Tabella51[Planck h]*(Tabella4852[[#This Row],[Q CH3]]*Tabella4852[[#This Row],[Q H2]]))</f>
        <v>27909940.600436654</v>
      </c>
    </row>
    <row r="14" spans="1:11" x14ac:dyDescent="0.3">
      <c r="A14">
        <v>1200</v>
      </c>
      <c r="B14" s="12">
        <f>'CH4'!J43</f>
        <v>2206383.0760412058</v>
      </c>
      <c r="C14" s="12">
        <f>H!J15</f>
        <v>2584882.5095198755</v>
      </c>
      <c r="D14" s="12">
        <f>'TST1'!J90</f>
        <v>416196518.3449201</v>
      </c>
      <c r="E14" s="4">
        <f>(Tabella51[Boltzmann k]*Tabella48[[#This Row],[Temperature]]*Tabella48[[#This Row],[Q TST]])/(Tabella51[Planck h]*(Tabella48[[#This Row],[Q CH4]]*Tabella48[[#This Row],[Q H ]]))</f>
        <v>1824673717.7485361</v>
      </c>
      <c r="G14">
        <v>1200</v>
      </c>
      <c r="H14" s="12">
        <f>'CH3'!J43</f>
        <v>204387073.23705378</v>
      </c>
      <c r="I14" s="12">
        <f>'H2'!I47</f>
        <v>1739545.138814359</v>
      </c>
      <c r="J14" s="12">
        <f>'TST1'!J90</f>
        <v>416196518.3449201</v>
      </c>
      <c r="K14" s="4">
        <f>(Tabella51[Boltzmann k]*Tabella4852[[#This Row],[Temperature]]*Tabella4852[[#This Row],[Q TST]])/(Tabella51[Planck h]*(Tabella4852[[#This Row],[Q CH3]]*Tabella4852[[#This Row],[Q H2]]))</f>
        <v>29269669.245144553</v>
      </c>
    </row>
    <row r="15" spans="1:11" x14ac:dyDescent="0.3">
      <c r="A15">
        <v>1300</v>
      </c>
      <c r="B15" s="12">
        <f>'CH4'!J44</f>
        <v>9095176.3433102686</v>
      </c>
      <c r="C15" s="12">
        <f>H!J16</f>
        <v>3157519.7344558868</v>
      </c>
      <c r="D15" s="12">
        <f>'TST1'!J91</f>
        <v>1915303261.7544732</v>
      </c>
      <c r="E15" s="4">
        <f>(Tabella51[Boltzmann k]*Tabella48[[#This Row],[Temperature]]*Tabella48[[#This Row],[Q TST]])/(Tabella51[Planck h]*(Tabella48[[#This Row],[Q CH4]]*Tabella48[[#This Row],[Q H ]]))</f>
        <v>1806554036.2476768</v>
      </c>
      <c r="G15">
        <v>1300</v>
      </c>
      <c r="H15" s="12">
        <f>'CH3'!J44</f>
        <v>594453003.06927264</v>
      </c>
      <c r="I15" s="12">
        <f>'H2'!I48</f>
        <v>2835024.0750003085</v>
      </c>
      <c r="J15" s="12">
        <f>'TST1'!J91</f>
        <v>1915303261.7544732</v>
      </c>
      <c r="K15" s="4">
        <f>(Tabella51[Boltzmann k]*Tabella4852[[#This Row],[Temperature]]*Tabella4852[[#This Row],[Q TST]])/(Tabella51[Planck h]*(Tabella4852[[#This Row],[Q CH3]]*Tabella4852[[#This Row],[Q H2]]))</f>
        <v>30784625.67590012</v>
      </c>
    </row>
    <row r="16" spans="1:11" x14ac:dyDescent="0.3">
      <c r="A16">
        <v>1400</v>
      </c>
      <c r="B16" s="12">
        <f>'CH4'!J45</f>
        <v>32296872.050216895</v>
      </c>
      <c r="C16" s="12">
        <f>H!J17</f>
        <v>3800211.6237146161</v>
      </c>
      <c r="D16" s="12">
        <f>'TST1'!J92</f>
        <v>7573506108.2630777</v>
      </c>
      <c r="E16" s="4">
        <f>(Tabella51[Boltzmann k]*Tabella48[[#This Row],[Temperature]]*Tabella48[[#This Row],[Q TST]])/(Tabella51[Planck h]*(Tabella48[[#This Row],[Q CH4]]*Tabella48[[#This Row],[Q H ]]))</f>
        <v>1800047742.3409178</v>
      </c>
      <c r="G16">
        <v>1400</v>
      </c>
      <c r="H16" s="12">
        <f>'CH3'!J45</f>
        <v>1548875139.6816299</v>
      </c>
      <c r="I16" s="12">
        <f>'H2'!I49</f>
        <v>4397004.2151052142</v>
      </c>
      <c r="J16" s="12">
        <f>'TST1'!J92</f>
        <v>7573506108.2630777</v>
      </c>
      <c r="K16" s="4">
        <f>(Tabella51[Boltzmann k]*Tabella4852[[#This Row],[Temperature]]*Tabella4852[[#This Row],[Q TST]])/(Tabella51[Planck h]*(Tabella4852[[#This Row],[Q CH3]]*Tabella4852[[#This Row],[Q H2]]))</f>
        <v>32439860.491433177</v>
      </c>
    </row>
    <row r="17" spans="1:11" x14ac:dyDescent="0.3">
      <c r="A17">
        <v>1500</v>
      </c>
      <c r="B17" s="12">
        <f>'CH4'!J46</f>
        <v>101577052.59341329</v>
      </c>
      <c r="C17" s="12">
        <f>H!J18</f>
        <v>4515603.9102630643</v>
      </c>
      <c r="D17" s="12">
        <f>'TST1'!J93</f>
        <v>26443546796.515827</v>
      </c>
      <c r="E17" s="4">
        <f>(Tabella51[Boltzmann k]*Tabella48[[#This Row],[Temperature]]*Tabella48[[#This Row],[Q TST]])/(Tabella51[Planck h]*(Tabella48[[#This Row],[Q CH4]]*Tabella48[[#This Row],[Q H ]]))</f>
        <v>1801883756.5241265</v>
      </c>
      <c r="G17">
        <v>1500</v>
      </c>
      <c r="H17" s="12">
        <f>'CH3'!J46</f>
        <v>3688770588.0458708</v>
      </c>
      <c r="I17" s="12">
        <f>'H2'!I50</f>
        <v>6546959.0186127387</v>
      </c>
      <c r="J17" s="12">
        <f>'TST1'!J93</f>
        <v>26443546796.515827</v>
      </c>
      <c r="K17" s="4">
        <f>(Tabella51[Boltzmann k]*Tabella4852[[#This Row],[Temperature]]*Tabella4852[[#This Row],[Q TST]])/(Tabella51[Planck h]*(Tabella4852[[#This Row],[Q CH3]]*Tabella4852[[#This Row],[Q H2]]))</f>
        <v>34222911.077307515</v>
      </c>
    </row>
    <row r="18" spans="1:11" x14ac:dyDescent="0.3">
      <c r="A18">
        <v>1600</v>
      </c>
      <c r="B18" s="12">
        <f>'CH4'!J47</f>
        <v>288942758.70585489</v>
      </c>
      <c r="C18" s="12">
        <f>H!J19</f>
        <v>5306249.2895816825</v>
      </c>
      <c r="D18" s="12">
        <f>'TST1'!J94</f>
        <v>83232139540.371567</v>
      </c>
      <c r="E18" s="4">
        <f>(Tabella51[Boltzmann k]*Tabella48[[#This Row],[Temperature]]*Tabella48[[#This Row],[Q TST]])/(Tabella51[Planck h]*(Tabella48[[#This Row],[Q CH4]]*Tabella48[[#This Row],[Q H ]]))</f>
        <v>1809834364.3191326</v>
      </c>
      <c r="G18">
        <v>1600</v>
      </c>
      <c r="H18" s="12">
        <f>'CH3'!J47</f>
        <v>8153208602.5461178</v>
      </c>
      <c r="I18" s="12">
        <f>'H2'!I51</f>
        <v>9421520.457635235</v>
      </c>
      <c r="J18" s="12">
        <f>'TST1'!J94</f>
        <v>83232139540.371567</v>
      </c>
      <c r="K18" s="4">
        <f>(Tabella51[Boltzmann k]*Tabella4852[[#This Row],[Temperature]]*Tabella4852[[#This Row],[Q TST]])/(Tabella51[Planck h]*(Tabella4852[[#This Row],[Q CH3]]*Tabella4852[[#This Row],[Q H2]]))</f>
        <v>36123410.385539711</v>
      </c>
    </row>
    <row r="19" spans="1:11" x14ac:dyDescent="0.3">
      <c r="A19">
        <v>1700</v>
      </c>
      <c r="B19" s="12">
        <f>'CH4'!J48</f>
        <v>755449858.10741639</v>
      </c>
      <c r="C19" s="12">
        <f>H!J20</f>
        <v>6174616.6013440387</v>
      </c>
      <c r="D19" s="12">
        <f>'TST1'!J95</f>
        <v>239976430007.05975</v>
      </c>
      <c r="E19" s="4">
        <f>(Tabella51[Boltzmann k]*Tabella48[[#This Row],[Temperature]]*Tabella48[[#This Row],[Q TST]])/(Tabella51[Planck h]*(Tabella48[[#This Row],[Q CH4]]*Tabella48[[#This Row],[Q H ]]))</f>
        <v>1822338803.0653501</v>
      </c>
      <c r="G19">
        <v>1700</v>
      </c>
      <c r="H19" s="12">
        <f>'CH3'!J48</f>
        <v>16922687682.232845</v>
      </c>
      <c r="I19" s="12">
        <f>'H2'!I52</f>
        <v>13172793.777218616</v>
      </c>
      <c r="J19" s="12">
        <f>'TST1'!J95</f>
        <v>239976430007.05975</v>
      </c>
      <c r="K19" s="4">
        <f>(Tabella51[Boltzmann k]*Tabella4852[[#This Row],[Temperature]]*Tabella4852[[#This Row],[Q TST]])/(Tabella51[Planck h]*(Tabella4852[[#This Row],[Q CH3]]*Tabella4852[[#This Row],[Q H2]]))</f>
        <v>38132697.707866624</v>
      </c>
    </row>
    <row r="20" spans="1:11" x14ac:dyDescent="0.3">
      <c r="A20">
        <v>1800</v>
      </c>
      <c r="B20" s="12">
        <f>'CH4'!J49</f>
        <v>1838470254.9635537</v>
      </c>
      <c r="C20" s="12">
        <f>H!J21</f>
        <v>7123098.5925396029</v>
      </c>
      <c r="D20" s="12">
        <f>'TST1'!J96</f>
        <v>641854801116.88672</v>
      </c>
      <c r="E20" s="4">
        <f>(Tabella51[Boltzmann k]*Tabella48[[#This Row],[Temperature]]*Tabella48[[#This Row],[Q TST]])/(Tabella51[Planck h]*(Tabella48[[#This Row],[Q CH4]]*Tabella48[[#This Row],[Q H ]]))</f>
        <v>1838277151.1825092</v>
      </c>
      <c r="G20">
        <v>1800</v>
      </c>
      <c r="H20" s="12">
        <f>'CH3'!J49</f>
        <v>33290792287.466663</v>
      </c>
      <c r="I20" s="12">
        <f>'H2'!I53</f>
        <v>17968707.433068018</v>
      </c>
      <c r="J20" s="12">
        <f>'TST1'!J96</f>
        <v>641854801116.88672</v>
      </c>
      <c r="K20" s="4">
        <f>(Tabella51[Boltzmann k]*Tabella4852[[#This Row],[Temperature]]*Tabella4852[[#This Row],[Q TST]])/(Tabella51[Planck h]*(Tabella4852[[#This Row],[Q CH3]]*Tabella4852[[#This Row],[Q H2]]))</f>
        <v>40243485.110945813</v>
      </c>
    </row>
    <row r="21" spans="1:11" x14ac:dyDescent="0.3">
      <c r="A21">
        <v>1900</v>
      </c>
      <c r="B21" s="12">
        <f>'CH4'!J50</f>
        <v>4206539306.7097144</v>
      </c>
      <c r="C21" s="12">
        <f>H!J22</f>
        <v>8154018.5512990523</v>
      </c>
      <c r="D21" s="12">
        <f>'TST1'!J97</f>
        <v>1608747096753.6084</v>
      </c>
      <c r="E21" s="4">
        <f>(Tabella51[Boltzmann k]*Tabella48[[#This Row],[Temperature]]*Tabella48[[#This Row],[Q TST]])/(Tabella51[Planck h]*(Tabella48[[#This Row],[Q CH4]]*Tabella48[[#This Row],[Q H ]]))</f>
        <v>1856829314.0231102</v>
      </c>
      <c r="G21">
        <v>1900</v>
      </c>
      <c r="H21" s="12">
        <f>'CH3'!J50</f>
        <v>62532182317.976181</v>
      </c>
      <c r="I21" s="12">
        <f>'H2'!I54</f>
        <v>23993387.803974528</v>
      </c>
      <c r="J21" s="12">
        <f>'TST1'!J97</f>
        <v>1608747096753.6084</v>
      </c>
      <c r="K21" s="4">
        <f>(Tabella51[Boltzmann k]*Tabella4852[[#This Row],[Temperature]]*Tabella4852[[#This Row],[Q TST]])/(Tabella51[Planck h]*(Tabella4852[[#This Row],[Q CH3]]*Tabella4852[[#This Row],[Q H2]]))</f>
        <v>42449587.205270819</v>
      </c>
    </row>
    <row r="22" spans="1:11" x14ac:dyDescent="0.3">
      <c r="A22">
        <v>2000</v>
      </c>
      <c r="B22" s="12">
        <f>'CH4'!J51</f>
        <v>9122837256.7881489</v>
      </c>
      <c r="C22" s="12">
        <f>H!J23</f>
        <v>9269636.0289567783</v>
      </c>
      <c r="D22" s="12">
        <f>'TST1'!J98</f>
        <v>3809680181877.207</v>
      </c>
      <c r="E22" s="4">
        <f>(Tabella51[Boltzmann k]*Tabella48[[#This Row],[Temperature]]*Tabella48[[#This Row],[Q TST]])/(Tabella51[Planck h]*(Tabella48[[#This Row],[Q CH4]]*Tabella48[[#This Row],[Q H ]]))</f>
        <v>1877384198.2652397</v>
      </c>
      <c r="G22">
        <v>2000</v>
      </c>
      <c r="H22" s="12">
        <f>'CH3'!J51</f>
        <v>112825581017.0067</v>
      </c>
      <c r="I22" s="12">
        <f>'H2'!I55</f>
        <v>31447549.722803179</v>
      </c>
      <c r="J22" s="12">
        <f>'TST1'!J98</f>
        <v>3809680181877.207</v>
      </c>
      <c r="K22" s="4">
        <f>(Tabella51[Boltzmann k]*Tabella4852[[#This Row],[Temperature]]*Tabella4852[[#This Row],[Q TST]])/(Tabella51[Planck h]*(Tabella4852[[#This Row],[Q CH3]]*Tabella4852[[#This Row],[Q H2]]))</f>
        <v>44745707.201693811</v>
      </c>
    </row>
    <row r="23" spans="1:11" x14ac:dyDescent="0.3">
      <c r="H23" s="12"/>
      <c r="I23" s="12"/>
      <c r="J23" s="12"/>
      <c r="K23" s="4"/>
    </row>
    <row r="25" spans="1:11" x14ac:dyDescent="0.3">
      <c r="A25" t="s">
        <v>57</v>
      </c>
      <c r="B25" t="s">
        <v>67</v>
      </c>
      <c r="C25" t="s">
        <v>69</v>
      </c>
      <c r="D25" t="s">
        <v>68</v>
      </c>
      <c r="E25" t="s">
        <v>62</v>
      </c>
    </row>
    <row r="26" spans="1:11" x14ac:dyDescent="0.3">
      <c r="A26">
        <v>298.14999999999998</v>
      </c>
      <c r="B26">
        <f>11.5965852*1.00594088*6.29E+31*1</f>
        <v>7.3375863671611918E+32</v>
      </c>
      <c r="C26">
        <f>1*1*9.91E+29*2</f>
        <v>1.982E+30</v>
      </c>
      <c r="D26">
        <f>130.079708*1.18917491*6.89E+31*1</f>
        <v>1.0657970476201742E+34</v>
      </c>
      <c r="E26" s="4">
        <f>(Tabella51[Boltzmann k]*Tabella52[[#This Row],[Temperature]]*Tabella52[[#This Row],[QTST]])/(Tabella51[Planck h]*(Tabella52[[#This Row],[QCH4]]*Tabella52[[#This Row],[QH]]))</f>
        <v>4.5528118553105597E-17</v>
      </c>
    </row>
  </sheetData>
  <phoneticPr fontId="2" type="noConversion"/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77409-28F9-4BB7-AB99-BCB4C6EB952F}">
  <dimension ref="K5:M10"/>
  <sheetViews>
    <sheetView topLeftCell="A22" workbookViewId="0">
      <selection activeCell="M32" sqref="M32"/>
    </sheetView>
  </sheetViews>
  <sheetFormatPr defaultRowHeight="14.4" x14ac:dyDescent="0.3"/>
  <cols>
    <col min="12" max="12" width="13" customWidth="1"/>
  </cols>
  <sheetData>
    <row r="5" spans="11:13" x14ac:dyDescent="0.3">
      <c r="K5" t="s">
        <v>61</v>
      </c>
      <c r="L5" t="s">
        <v>7</v>
      </c>
    </row>
    <row r="6" spans="11:13" x14ac:dyDescent="0.3">
      <c r="K6" s="3">
        <f>1.0164</f>
        <v>1.0164</v>
      </c>
      <c r="L6" s="2">
        <f>-57.0678062803</f>
        <v>-57.067806280299997</v>
      </c>
      <c r="M6" s="2"/>
    </row>
    <row r="7" spans="11:13" x14ac:dyDescent="0.3">
      <c r="K7" s="3">
        <v>1.2</v>
      </c>
      <c r="L7" s="2">
        <f>-57.054915917</f>
        <v>-57.054915917000002</v>
      </c>
      <c r="M7" s="2"/>
    </row>
    <row r="8" spans="11:13" x14ac:dyDescent="0.3">
      <c r="K8" s="3">
        <v>1.3</v>
      </c>
      <c r="L8" s="2">
        <f>-57.0531607376</f>
        <v>-57.053160737600003</v>
      </c>
      <c r="M8" s="2" t="s">
        <v>66</v>
      </c>
    </row>
    <row r="9" spans="11:13" x14ac:dyDescent="0.3">
      <c r="K9" s="3">
        <v>1.4</v>
      </c>
      <c r="L9" s="2">
        <f>-57.0537658291</f>
        <v>-57.053765829100001</v>
      </c>
      <c r="M9" s="2"/>
    </row>
    <row r="10" spans="11:13" x14ac:dyDescent="0.3">
      <c r="K10" s="3"/>
      <c r="L10" s="2"/>
      <c r="M10" s="2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CH4</vt:lpstr>
      <vt:lpstr>CH3</vt:lpstr>
      <vt:lpstr>H</vt:lpstr>
      <vt:lpstr>H2</vt:lpstr>
      <vt:lpstr>TST1</vt:lpstr>
      <vt:lpstr>Rate constant 1</vt:lpstr>
      <vt:lpstr>TST2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Buda</dc:creator>
  <cp:lastModifiedBy>Filippo Buda</cp:lastModifiedBy>
  <dcterms:created xsi:type="dcterms:W3CDTF">2015-06-05T18:19:34Z</dcterms:created>
  <dcterms:modified xsi:type="dcterms:W3CDTF">2024-06-30T13:10:16Z</dcterms:modified>
</cp:coreProperties>
</file>