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iuseppe\Documents\.magistrale\secondo anno\Process\Final\project 6\"/>
    </mc:Choice>
  </mc:AlternateContent>
  <xr:revisionPtr revIDLastSave="0" documentId="13_ncr:1_{68192239-5F1B-40D1-9765-350C3C86C6E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2=2H" sheetId="1" r:id="rId1"/>
    <sheet name="Calculation basis" sheetId="2" r:id="rId2"/>
    <sheet name="CH4=CH3+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QaGbuzWtgZog6ToXzOy/IS7KLPoE92Zg+qP+ujzsSh4="/>
    </ext>
  </extLst>
</workbook>
</file>

<file path=xl/calcChain.xml><?xml version="1.0" encoding="utf-8"?>
<calcChain xmlns="http://schemas.openxmlformats.org/spreadsheetml/2006/main">
  <c r="H7" i="1" l="1"/>
  <c r="H6" i="1"/>
  <c r="D16" i="1"/>
  <c r="D17" i="1"/>
  <c r="B20" i="3"/>
  <c r="D20" i="3" s="1"/>
  <c r="F20" i="3" s="1"/>
  <c r="E20" i="3"/>
  <c r="C20" i="3"/>
  <c r="E19" i="3"/>
  <c r="C19" i="3"/>
  <c r="B19" i="3"/>
  <c r="D19" i="3" s="1"/>
  <c r="F19" i="3" s="1"/>
  <c r="E61" i="3"/>
  <c r="F61" i="3" s="1"/>
  <c r="G61" i="3" s="1"/>
  <c r="H61" i="3" s="1"/>
  <c r="E60" i="3"/>
  <c r="F60" i="3" s="1"/>
  <c r="G60" i="3" s="1"/>
  <c r="H60" i="3" s="1"/>
  <c r="E59" i="3"/>
  <c r="F59" i="3" s="1"/>
  <c r="G59" i="3" s="1"/>
  <c r="H59" i="3" s="1"/>
  <c r="E58" i="3"/>
  <c r="F58" i="3" s="1"/>
  <c r="G58" i="3" s="1"/>
  <c r="H58" i="3" s="1"/>
  <c r="E57" i="3"/>
  <c r="F57" i="3" s="1"/>
  <c r="G57" i="3" s="1"/>
  <c r="H57" i="3" s="1"/>
  <c r="E56" i="3"/>
  <c r="F56" i="3" s="1"/>
  <c r="G56" i="3" s="1"/>
  <c r="H56" i="3" s="1"/>
  <c r="E53" i="3"/>
  <c r="F53" i="3" s="1"/>
  <c r="G53" i="3" s="1"/>
  <c r="H53" i="3" s="1"/>
  <c r="E52" i="3"/>
  <c r="F52" i="3" s="1"/>
  <c r="G52" i="3" s="1"/>
  <c r="H52" i="3" s="1"/>
  <c r="E51" i="3"/>
  <c r="F51" i="3" s="1"/>
  <c r="G51" i="3" s="1"/>
  <c r="H51" i="3" s="1"/>
  <c r="E50" i="3"/>
  <c r="F50" i="3" s="1"/>
  <c r="G50" i="3" s="1"/>
  <c r="H50" i="3" s="1"/>
  <c r="E49" i="3"/>
  <c r="F49" i="3" s="1"/>
  <c r="G49" i="3" s="1"/>
  <c r="H49" i="3" s="1"/>
  <c r="F47" i="3"/>
  <c r="G47" i="3" s="1"/>
  <c r="H47" i="3" s="1"/>
  <c r="G41" i="3"/>
  <c r="H41" i="3" s="1"/>
  <c r="E40" i="3"/>
  <c r="F40" i="3" s="1"/>
  <c r="G40" i="3" s="1"/>
  <c r="H40" i="3" s="1"/>
  <c r="F39" i="3"/>
  <c r="G39" i="3" s="1"/>
  <c r="H39" i="3" s="1"/>
  <c r="E39" i="3"/>
  <c r="E38" i="3"/>
  <c r="F38" i="3" s="1"/>
  <c r="G38" i="3" s="1"/>
  <c r="H38" i="3" s="1"/>
  <c r="E37" i="3"/>
  <c r="F37" i="3" s="1"/>
  <c r="G37" i="3" s="1"/>
  <c r="H37" i="3" s="1"/>
  <c r="G36" i="3"/>
  <c r="H36" i="3" s="1"/>
  <c r="E36" i="3"/>
  <c r="E35" i="3"/>
  <c r="F35" i="3" s="1"/>
  <c r="G35" i="3" s="1"/>
  <c r="H35" i="3" s="1"/>
  <c r="E34" i="3"/>
  <c r="F34" i="3" s="1"/>
  <c r="G34" i="3" s="1"/>
  <c r="H34" i="3" s="1"/>
  <c r="E33" i="3"/>
  <c r="F33" i="3" s="1"/>
  <c r="G33" i="3" s="1"/>
  <c r="H33" i="3" s="1"/>
  <c r="E32" i="3"/>
  <c r="F32" i="3" s="1"/>
  <c r="G32" i="3" s="1"/>
  <c r="H32" i="3" s="1"/>
  <c r="G31" i="3"/>
  <c r="H31" i="3" s="1"/>
  <c r="E31" i="3"/>
  <c r="E30" i="3"/>
  <c r="F30" i="3" s="1"/>
  <c r="G30" i="3" s="1"/>
  <c r="H30" i="3" s="1"/>
  <c r="E29" i="3"/>
  <c r="F29" i="3" s="1"/>
  <c r="G29" i="3" s="1"/>
  <c r="H29" i="3" s="1"/>
  <c r="E28" i="3"/>
  <c r="F28" i="3" s="1"/>
  <c r="G28" i="3" s="1"/>
  <c r="H28" i="3" s="1"/>
  <c r="E27" i="3"/>
  <c r="F27" i="3" s="1"/>
  <c r="G27" i="3" s="1"/>
  <c r="H27" i="3" s="1"/>
  <c r="D27" i="3"/>
  <c r="H10" i="3"/>
  <c r="G10" i="3"/>
  <c r="H9" i="3"/>
  <c r="G9" i="3"/>
  <c r="F6" i="3"/>
  <c r="E6" i="3"/>
  <c r="D6" i="3"/>
  <c r="F5" i="3"/>
  <c r="E5" i="3"/>
  <c r="D5" i="3"/>
  <c r="K3" i="3"/>
  <c r="J9" i="3" s="1"/>
  <c r="P9" i="3" s="1"/>
  <c r="A2" i="3"/>
  <c r="H7" i="2"/>
  <c r="G7" i="2"/>
  <c r="H6" i="2"/>
  <c r="G6" i="2"/>
  <c r="D66" i="1"/>
  <c r="E66" i="1" s="1"/>
  <c r="F66" i="1" s="1"/>
  <c r="G66" i="1" s="1"/>
  <c r="D65" i="1"/>
  <c r="E65" i="1" s="1"/>
  <c r="F65" i="1" s="1"/>
  <c r="G65" i="1" s="1"/>
  <c r="D64" i="1"/>
  <c r="E64" i="1" s="1"/>
  <c r="F64" i="1" s="1"/>
  <c r="G64" i="1" s="1"/>
  <c r="D63" i="1"/>
  <c r="E63" i="1" s="1"/>
  <c r="F63" i="1" s="1"/>
  <c r="G63" i="1" s="1"/>
  <c r="D62" i="1"/>
  <c r="E62" i="1" s="1"/>
  <c r="F62" i="1" s="1"/>
  <c r="G62" i="1" s="1"/>
  <c r="D61" i="1"/>
  <c r="E61" i="1" s="1"/>
  <c r="F61" i="1" s="1"/>
  <c r="G61" i="1" s="1"/>
  <c r="D60" i="1"/>
  <c r="E60" i="1" s="1"/>
  <c r="F60" i="1" s="1"/>
  <c r="G60" i="1" s="1"/>
  <c r="D59" i="1"/>
  <c r="E59" i="1" s="1"/>
  <c r="F59" i="1" s="1"/>
  <c r="G59" i="1" s="1"/>
  <c r="D58" i="1"/>
  <c r="E58" i="1" s="1"/>
  <c r="F58" i="1" s="1"/>
  <c r="G58" i="1" s="1"/>
  <c r="D57" i="1"/>
  <c r="E57" i="1" s="1"/>
  <c r="F57" i="1" s="1"/>
  <c r="G57" i="1" s="1"/>
  <c r="D56" i="1"/>
  <c r="E56" i="1" s="1"/>
  <c r="F56" i="1" s="1"/>
  <c r="G56" i="1" s="1"/>
  <c r="D55" i="1"/>
  <c r="E55" i="1" s="1"/>
  <c r="F55" i="1" s="1"/>
  <c r="G55" i="1" s="1"/>
  <c r="D54" i="1"/>
  <c r="E54" i="1" s="1"/>
  <c r="F54" i="1" s="1"/>
  <c r="G54" i="1" s="1"/>
  <c r="D53" i="1"/>
  <c r="E48" i="3" s="1"/>
  <c r="F48" i="3" s="1"/>
  <c r="G48" i="3" s="1"/>
  <c r="H48" i="3" s="1"/>
  <c r="D52" i="1"/>
  <c r="E52" i="1" s="1"/>
  <c r="F52" i="1" s="1"/>
  <c r="G52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D33" i="1"/>
  <c r="E33" i="1" s="1"/>
  <c r="F33" i="1" s="1"/>
  <c r="G33" i="1" s="1"/>
  <c r="D32" i="1"/>
  <c r="C32" i="1"/>
  <c r="E32" i="1" s="1"/>
  <c r="F32" i="1" s="1"/>
  <c r="G32" i="1" s="1"/>
  <c r="D31" i="1"/>
  <c r="E31" i="1" s="1"/>
  <c r="F31" i="1" s="1"/>
  <c r="G31" i="1" s="1"/>
  <c r="E30" i="1"/>
  <c r="F30" i="1" s="1"/>
  <c r="G30" i="1" s="1"/>
  <c r="D30" i="1"/>
  <c r="D29" i="1"/>
  <c r="E29" i="1" s="1"/>
  <c r="F29" i="1" s="1"/>
  <c r="G29" i="1" s="1"/>
  <c r="D28" i="1"/>
  <c r="E28" i="1" s="1"/>
  <c r="F28" i="1" s="1"/>
  <c r="G28" i="1" s="1"/>
  <c r="D27" i="1"/>
  <c r="E27" i="1" s="1"/>
  <c r="F27" i="1" s="1"/>
  <c r="G27" i="1" s="1"/>
  <c r="E26" i="1"/>
  <c r="F26" i="1" s="1"/>
  <c r="G26" i="1" s="1"/>
  <c r="D26" i="1"/>
  <c r="D25" i="1"/>
  <c r="E25" i="1" s="1"/>
  <c r="F25" i="1" s="1"/>
  <c r="G25" i="1" s="1"/>
  <c r="D24" i="1"/>
  <c r="E24" i="1" s="1"/>
  <c r="F24" i="1" s="1"/>
  <c r="G24" i="1" s="1"/>
  <c r="B17" i="1"/>
  <c r="G7" i="1"/>
  <c r="C14" i="1"/>
  <c r="B14" i="1"/>
  <c r="B16" i="1" s="1"/>
  <c r="A2" i="1"/>
  <c r="N9" i="3" l="1"/>
  <c r="E54" i="3"/>
  <c r="F54" i="3" s="1"/>
  <c r="G54" i="3" s="1"/>
  <c r="H54" i="3" s="1"/>
  <c r="L9" i="3"/>
  <c r="E53" i="1"/>
  <c r="F53" i="1" s="1"/>
  <c r="G53" i="1" s="1"/>
  <c r="E55" i="3"/>
  <c r="F55" i="3" s="1"/>
  <c r="G55" i="3" s="1"/>
  <c r="H55" i="3" s="1"/>
  <c r="I10" i="3"/>
  <c r="O10" i="3" s="1"/>
  <c r="J10" i="3"/>
  <c r="P10" i="3" s="1"/>
  <c r="K10" i="3"/>
  <c r="G6" i="1"/>
  <c r="L10" i="3"/>
  <c r="I9" i="3"/>
  <c r="O9" i="3" s="1"/>
  <c r="K9" i="3" l="1"/>
  <c r="N10" i="3"/>
  <c r="M10" i="3"/>
  <c r="M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9" authorId="0" shapeId="0" xr:uid="{00000000-0006-0000-0000-000002000000}">
      <text>
        <r>
          <rPr>
            <sz val="11"/>
            <color theme="1"/>
            <rFont val="aptos narrow"/>
            <scheme val="minor"/>
          </rPr>
          <t>======
ID#AAABM3YRhOg
Filippo Buda    (2024-05-08 12:14:32)
Cosa ho notato:
-più veloce di gaussian
-la differenza sull'energia si vede più su H2 che su H
-su H da semplicemente più cifre significative</t>
        </r>
      </text>
    </comment>
    <comment ref="D62" authorId="0" shapeId="0" xr:uid="{00000000-0006-0000-0000-000001000000}">
      <text>
        <r>
          <rPr>
            <sz val="11"/>
            <color theme="1"/>
            <rFont val="aptos narrow"/>
            <scheme val="minor"/>
          </rPr>
          <t>======
ID#AAABM3YRhQY
Filippo Buda    (2024-05-08 12:35:10)
su molpro mi da un errore ogni volta che provo a fare MP2 su H:
NUMBER OF OCCUPIED ORBITALS NOT CONSISTENT WITH NUMBER OF ELECTRONS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G7dGZAmNMxwhicS8fVhM3g3ttj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200-000002000000}">
      <text>
        <r>
          <rPr>
            <sz val="11"/>
            <color theme="1"/>
            <rFont val="aptos narrow"/>
            <scheme val="minor"/>
          </rPr>
          <t>======
ID#AAABM8_IJP4
Filippo Buda    (2024-05-07 08:00:55)
"+" aggiunge 1 set di funzioni di tipo s (+1 f. base,+1 primitiva) e 1 set di funzioni di tipo p (+3 f.base,+3 primitive) per ogni atomo pesante.
"d" aggiunge un set di 6 orbitali di tipo d per ogni atomo pesante (+6 f.base,+6 primitive).
"p" aggiunge un set di 3 orbitali di tipo p per ogni atomo leggero (+3 f.base, +3 primitive).</t>
        </r>
      </text>
    </comment>
    <comment ref="D57" authorId="0" shapeId="0" xr:uid="{00000000-0006-0000-0200-000001000000}">
      <text>
        <r>
          <rPr>
            <sz val="11"/>
            <color theme="1"/>
            <rFont val="aptos narrow"/>
            <scheme val="minor"/>
          </rPr>
          <t>======
ID#AAABM3YRhWg
Filippo Buda    (2024-05-08 13:41:19)
Stesso errore dell'idrogeno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dxAd0rFc0//bvj7WrnUrKsA1NYg=="/>
    </ext>
  </extLst>
</comments>
</file>

<file path=xl/sharedStrings.xml><?xml version="1.0" encoding="utf-8"?>
<sst xmlns="http://schemas.openxmlformats.org/spreadsheetml/2006/main" count="308" uniqueCount="105">
  <si>
    <t>Pi Greco</t>
  </si>
  <si>
    <t>Boltzmann k</t>
  </si>
  <si>
    <t>Planck h</t>
  </si>
  <si>
    <t>Rydberg R</t>
  </si>
  <si>
    <t>Avogadro N</t>
  </si>
  <si>
    <t>Experimental Energy H bond</t>
  </si>
  <si>
    <t>H</t>
  </si>
  <si>
    <t>H2 = 1s + 1s</t>
  </si>
  <si>
    <t>H2</t>
  </si>
  <si>
    <t xml:space="preserve"> = </t>
  </si>
  <si>
    <t>2H</t>
  </si>
  <si>
    <t>Core Orbital</t>
  </si>
  <si>
    <t>Valence Orbital</t>
  </si>
  <si>
    <t>Core Orbitals</t>
  </si>
  <si>
    <t>Basis set</t>
  </si>
  <si>
    <t>Core</t>
  </si>
  <si>
    <t>Valence 1</t>
  </si>
  <si>
    <t>Valence 2</t>
  </si>
  <si>
    <t>Plus</t>
  </si>
  <si>
    <t>(d,p)</t>
  </si>
  <si>
    <t>H Basis Function</t>
  </si>
  <si>
    <t>H Primitive Gaussians</t>
  </si>
  <si>
    <t>H Total Basis Function</t>
  </si>
  <si>
    <t>H Total Primitive Gaussians</t>
  </si>
  <si>
    <t>H2 Total Basis Function</t>
  </si>
  <si>
    <t>H2 Total Primitive Gaussians</t>
  </si>
  <si>
    <t>3-21G</t>
  </si>
  <si>
    <t>3</t>
  </si>
  <si>
    <t>2</t>
  </si>
  <si>
    <t>1</t>
  </si>
  <si>
    <t>0</t>
  </si>
  <si>
    <t>6-31+G(d,p)</t>
  </si>
  <si>
    <t>cc-pVDZ</t>
  </si>
  <si>
    <t>aug-cc-pVDZ</t>
  </si>
  <si>
    <t>aug-cc-pVTZ</t>
  </si>
  <si>
    <t>Theory level</t>
  </si>
  <si>
    <t>Energy product (H2)</t>
  </si>
  <si>
    <t>Energy reactant (2H)</t>
  </si>
  <si>
    <t>deltaE (hartree/mol)</t>
  </si>
  <si>
    <t>deltaE (kcal/mol)</t>
  </si>
  <si>
    <t>Difference from experimental value</t>
  </si>
  <si>
    <t>HF</t>
  </si>
  <si>
    <t>6-31+g(d,p)</t>
  </si>
  <si>
    <t>B3LYP</t>
  </si>
  <si>
    <t>3-21</t>
  </si>
  <si>
    <t>Mp2</t>
  </si>
  <si>
    <t>Most accurate Basis set</t>
  </si>
  <si>
    <t>MOLPRO CALCULATIONS</t>
  </si>
  <si>
    <t>Generic Atom's core orbital</t>
  </si>
  <si>
    <t>Generic Atom's valence orbital</t>
  </si>
  <si>
    <t>C</t>
  </si>
  <si>
    <t>k</t>
  </si>
  <si>
    <t>LightAtom_k Basis Function</t>
  </si>
  <si>
    <t>LightAtom_k Primitives</t>
  </si>
  <si>
    <t>HeavyAtoms_k Basis Function</t>
  </si>
  <si>
    <t>HeavyAtoms_k Gaussians</t>
  </si>
  <si>
    <t>X-YZG</t>
  </si>
  <si>
    <t>X</t>
  </si>
  <si>
    <t>Y</t>
  </si>
  <si>
    <t>Z</t>
  </si>
  <si>
    <t>ZC + length(YZ...)k</t>
  </si>
  <si>
    <t>CX+k(Y+Z)</t>
  </si>
  <si>
    <t>X-YZ+G(d,p)</t>
  </si>
  <si>
    <t>ZC + length(YZ...)k + p</t>
  </si>
  <si>
    <t>CX+k(Y+Z)+Y</t>
  </si>
  <si>
    <t>For cc basis sets</t>
  </si>
  <si>
    <t>Orbital type</t>
  </si>
  <si>
    <t>Basis Functions/Contracted functions</t>
  </si>
  <si>
    <t>s</t>
  </si>
  <si>
    <t>p</t>
  </si>
  <si>
    <t>d</t>
  </si>
  <si>
    <t>Valence  Orbitals</t>
  </si>
  <si>
    <t>Orbitals H-He</t>
  </si>
  <si>
    <t>Orbitals Li-Ne</t>
  </si>
  <si>
    <t>Basis functions for CH4 (product)</t>
  </si>
  <si>
    <t>Basis functions for CH3 (reactant1)</t>
  </si>
  <si>
    <t>Basis functions for H (reactant2)</t>
  </si>
  <si>
    <t>Gaussian Primitives for CH4(product)</t>
  </si>
  <si>
    <t>Gaussian Primitives for CH3 (reactant1)</t>
  </si>
  <si>
    <t>Gaussian Primitives for H (reactant2)</t>
  </si>
  <si>
    <t>2s1p</t>
  </si>
  <si>
    <t>3s2p1d</t>
  </si>
  <si>
    <r>
      <rPr>
        <sz val="11"/>
        <color theme="1"/>
        <rFont val="Aptos narrow"/>
      </rPr>
      <t>3s2</t>
    </r>
    <r>
      <rPr>
        <i/>
        <sz val="11"/>
        <color theme="1"/>
        <rFont val="Aptos Narrow"/>
      </rPr>
      <t>p</t>
    </r>
  </si>
  <si>
    <t>4s3p2d</t>
  </si>
  <si>
    <t>C Basis Function</t>
  </si>
  <si>
    <t>CPrimitive Gaussians</t>
  </si>
  <si>
    <t>H Primitive Gaussian</t>
  </si>
  <si>
    <t>CH4 Total basis functions</t>
  </si>
  <si>
    <t>CH4 Total Primitive Gaussians</t>
  </si>
  <si>
    <t>CH3 Total Basis Functions</t>
  </si>
  <si>
    <t>CH3 Total Primitive Gaussians</t>
  </si>
  <si>
    <t>H Total Basis Functions</t>
  </si>
  <si>
    <t>Energy product (CH4)</t>
  </si>
  <si>
    <t>Energy reactant 1 (CH3)</t>
  </si>
  <si>
    <t>Energy reactant 2 (H)</t>
  </si>
  <si>
    <t>Computationally intensive</t>
  </si>
  <si>
    <t>H = 1s</t>
  </si>
  <si>
    <t>C = 1s 2s 2p</t>
  </si>
  <si>
    <t>(Li-Ne)</t>
  </si>
  <si>
    <t>Somma</t>
  </si>
  <si>
    <t>Media</t>
  </si>
  <si>
    <t>Totale parziale</t>
  </si>
  <si>
    <t>Conteggio</t>
  </si>
  <si>
    <t>H2 Primitive Gaussians</t>
  </si>
  <si>
    <t>H2 Basis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</si>
</sst>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000000"/>
    <numFmt numFmtId="165" formatCode="#,##0.000000000"/>
  </numFmts>
  <fonts count="15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  <font>
      <b/>
      <sz val="11"/>
      <color rgb="FFFFFFFF"/>
      <name val="Arial"/>
    </font>
    <font>
      <b/>
      <sz val="11"/>
      <color theme="0"/>
      <name val="Aptos narrow"/>
    </font>
    <font>
      <sz val="11"/>
      <color theme="1"/>
      <name val="Arial"/>
    </font>
    <font>
      <b/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0"/>
      <name val="Aptos narrow"/>
    </font>
    <font>
      <i/>
      <sz val="11"/>
      <color theme="1"/>
      <name val="Aptos Narrow"/>
    </font>
    <font>
      <sz val="11"/>
      <color rgb="FF006100"/>
      <name val="aptos narrow"/>
      <family val="2"/>
      <scheme val="minor"/>
    </font>
    <font>
      <b/>
      <sz val="11"/>
      <color theme="1"/>
      <name val="Arial"/>
      <family val="2"/>
    </font>
    <font>
      <b/>
      <sz val="11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8ED873"/>
        <bgColor rgb="FF8ED87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2" fillId="6" borderId="0" applyNumberFormat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quotePrefix="1" applyNumberFormat="1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0" xfId="0" applyFont="1"/>
    <xf numFmtId="0" fontId="6" fillId="2" borderId="5" xfId="0" applyFont="1" applyFill="1" applyBorder="1"/>
    <xf numFmtId="0" fontId="6" fillId="2" borderId="1" xfId="0" applyFont="1" applyFill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49" fontId="4" fillId="0" borderId="2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4" fillId="0" borderId="0" xfId="0" applyFont="1"/>
    <xf numFmtId="0" fontId="7" fillId="0" borderId="6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9" fillId="0" borderId="18" xfId="0" applyFont="1" applyBorder="1" applyAlignment="1">
      <alignment horizontal="center"/>
    </xf>
    <xf numFmtId="165" fontId="7" fillId="0" borderId="14" xfId="0" applyNumberFormat="1" applyFont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0" fontId="5" fillId="2" borderId="1" xfId="0" applyFont="1" applyFill="1" applyBorder="1"/>
    <xf numFmtId="0" fontId="7" fillId="0" borderId="2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3" xfId="0" applyFont="1" applyBorder="1" applyAlignment="1">
      <alignment horizontal="center"/>
    </xf>
    <xf numFmtId="0" fontId="4" fillId="0" borderId="18" xfId="0" applyFont="1" applyBorder="1"/>
    <xf numFmtId="0" fontId="4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4" fillId="0" borderId="2" xfId="0" applyFont="1" applyBorder="1"/>
    <xf numFmtId="0" fontId="5" fillId="2" borderId="24" xfId="0" applyFont="1" applyFill="1" applyBorder="1"/>
    <xf numFmtId="49" fontId="4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5" borderId="22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3" fillId="0" borderId="0" xfId="0" applyFont="1"/>
    <xf numFmtId="0" fontId="5" fillId="2" borderId="24" xfId="0" applyFont="1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49" fontId="7" fillId="0" borderId="36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49" fontId="9" fillId="0" borderId="44" xfId="0" applyNumberFormat="1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0" fontId="9" fillId="0" borderId="52" xfId="0" applyFont="1" applyBorder="1" applyAlignment="1">
      <alignment horizontal="center"/>
    </xf>
    <xf numFmtId="0" fontId="12" fillId="8" borderId="46" xfId="1" applyFill="1" applyBorder="1" applyAlignment="1">
      <alignment horizontal="center"/>
    </xf>
    <xf numFmtId="0" fontId="12" fillId="8" borderId="47" xfId="1" applyFill="1" applyBorder="1" applyAlignment="1">
      <alignment horizontal="center"/>
    </xf>
    <xf numFmtId="0" fontId="12" fillId="8" borderId="42" xfId="1" applyFill="1" applyBorder="1" applyAlignment="1">
      <alignment horizontal="center"/>
    </xf>
    <xf numFmtId="0" fontId="12" fillId="8" borderId="43" xfId="1" applyFill="1" applyBorder="1" applyAlignment="1">
      <alignment horizontal="center"/>
    </xf>
    <xf numFmtId="0" fontId="12" fillId="8" borderId="48" xfId="1" applyFill="1" applyBorder="1" applyAlignment="1">
      <alignment horizontal="center"/>
    </xf>
    <xf numFmtId="0" fontId="12" fillId="8" borderId="53" xfId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49" fontId="7" fillId="0" borderId="54" xfId="0" applyNumberFormat="1" applyFont="1" applyBorder="1" applyAlignment="1">
      <alignment horizontal="center"/>
    </xf>
    <xf numFmtId="49" fontId="7" fillId="0" borderId="19" xfId="0" applyNumberFormat="1" applyFont="1" applyBorder="1" applyAlignment="1">
      <alignment horizontal="center"/>
    </xf>
    <xf numFmtId="49" fontId="7" fillId="0" borderId="55" xfId="0" applyNumberFormat="1" applyFont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49" fontId="0" fillId="0" borderId="36" xfId="0" applyNumberFormat="1" applyBorder="1" applyAlignment="1">
      <alignment horizontal="center"/>
    </xf>
    <xf numFmtId="49" fontId="0" fillId="0" borderId="49" xfId="0" applyNumberFormat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49" fontId="1" fillId="0" borderId="0" xfId="0" applyNumberFormat="1" applyFont="1"/>
    <xf numFmtId="0" fontId="0" fillId="0" borderId="36" xfId="0" applyBorder="1" applyAlignment="1">
      <alignment horizontal="center"/>
    </xf>
  </cellXfs>
  <cellStyles count="2">
    <cellStyle name="Normale" xfId="0" builtinId="0"/>
    <cellStyle name="Valore valido" xfId="1" builtinId="26"/>
  </cellStyles>
  <dxfs count="6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H2=2H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CH4=CH3+H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3">
  <tableColumns count="6">
    <tableColumn id="1" xr3:uid="{00000000-0010-0000-0000-000001000000}" name="Pi Greco"/>
    <tableColumn id="2" xr3:uid="{00000000-0010-0000-0000-000002000000}" name="Boltzmann k"/>
    <tableColumn id="3" xr3:uid="{00000000-0010-0000-0000-000003000000}" name="Planck h"/>
    <tableColumn id="4" xr3:uid="{00000000-0010-0000-0000-000004000000}" name="Rydberg R"/>
    <tableColumn id="5" xr3:uid="{00000000-0010-0000-0000-000005000000}" name="Avogadro N"/>
    <tableColumn id="6" xr3:uid="{00000000-0010-0000-0000-000006000000}" name="Experimental Energy H bond"/>
  </tableColumns>
  <tableStyleInfo name="H2=2H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F3" headerRowCount="0">
  <tableColumns count="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</tableColumns>
  <tableStyleInfo name="CH4=CH3+H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3"/>
  <sheetViews>
    <sheetView tabSelected="1" zoomScale="115" zoomScaleNormal="115" workbookViewId="0">
      <selection activeCell="H12" sqref="H12"/>
    </sheetView>
  </sheetViews>
  <sheetFormatPr defaultColWidth="12.6328125" defaultRowHeight="15" customHeight="1" x14ac:dyDescent="0.35"/>
  <cols>
    <col min="1" max="1" width="26.1796875" customWidth="1"/>
    <col min="2" max="2" width="22.36328125" bestFit="1" customWidth="1"/>
    <col min="3" max="4" width="27.08984375" bestFit="1" customWidth="1"/>
    <col min="5" max="5" width="18.36328125" bestFit="1" customWidth="1"/>
    <col min="6" max="6" width="26.7265625" bestFit="1" customWidth="1"/>
    <col min="7" max="7" width="31.453125" customWidth="1"/>
    <col min="8" max="8" width="18.08984375" bestFit="1" customWidth="1"/>
    <col min="9" max="9" width="23.1796875" bestFit="1" customWidth="1"/>
    <col min="10" max="10" width="28.36328125" bestFit="1" customWidth="1"/>
    <col min="11" max="11" width="24.36328125" bestFit="1" customWidth="1"/>
    <col min="12" max="12" width="26.36328125" customWidth="1"/>
    <col min="13" max="23" width="7.6328125" customWidth="1"/>
  </cols>
  <sheetData>
    <row r="1" spans="1:11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11" ht="14.5" x14ac:dyDescent="0.35">
      <c r="A2" s="3">
        <f>PI()</f>
        <v>3.1415926535897931</v>
      </c>
      <c r="B2" s="4">
        <v>1.3806490000000001E-23</v>
      </c>
      <c r="C2" s="4">
        <v>6.6260687599999996E-34</v>
      </c>
      <c r="D2" s="3">
        <v>8.3144626180000003</v>
      </c>
      <c r="E2" s="4">
        <v>6.0221410000000001E+23</v>
      </c>
      <c r="F2" s="3">
        <v>103.2</v>
      </c>
      <c r="G2" s="3"/>
    </row>
    <row r="3" spans="1:11" ht="14.5" x14ac:dyDescent="0.35">
      <c r="A3" s="5" t="s">
        <v>8</v>
      </c>
      <c r="B3" s="6" t="s">
        <v>9</v>
      </c>
      <c r="C3" s="4" t="s">
        <v>10</v>
      </c>
      <c r="D3" s="3"/>
      <c r="E3" s="4"/>
      <c r="F3" s="3"/>
      <c r="G3" s="3"/>
    </row>
    <row r="4" spans="1:11" ht="14.5" x14ac:dyDescent="0.35">
      <c r="A4" s="3"/>
      <c r="B4" s="3"/>
      <c r="C4" s="3"/>
      <c r="D4" s="3"/>
      <c r="E4" s="3"/>
      <c r="F4" s="3"/>
      <c r="G4" s="3"/>
    </row>
    <row r="5" spans="1:11" ht="14.5" x14ac:dyDescent="0.35">
      <c r="A5" s="8" t="s">
        <v>14</v>
      </c>
      <c r="B5" s="7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81" t="s">
        <v>20</v>
      </c>
      <c r="H5" s="138" t="s">
        <v>104</v>
      </c>
    </row>
    <row r="6" spans="1:11" ht="14.5" x14ac:dyDescent="0.35">
      <c r="A6" s="9" t="s">
        <v>26</v>
      </c>
      <c r="B6" s="10" t="s">
        <v>27</v>
      </c>
      <c r="C6" s="10" t="s">
        <v>28</v>
      </c>
      <c r="D6" s="10" t="s">
        <v>29</v>
      </c>
      <c r="E6" s="10" t="s">
        <v>30</v>
      </c>
      <c r="F6" s="3">
        <v>0</v>
      </c>
      <c r="G6" s="94">
        <f>1*B14+2*C14</f>
        <v>2</v>
      </c>
      <c r="H6" s="130">
        <f>E14*G6</f>
        <v>4</v>
      </c>
      <c r="I6" s="139"/>
    </row>
    <row r="7" spans="1:11" ht="14.5" x14ac:dyDescent="0.35">
      <c r="A7" s="9" t="s">
        <v>31</v>
      </c>
      <c r="B7" s="9">
        <v>6</v>
      </c>
      <c r="C7" s="9">
        <v>3</v>
      </c>
      <c r="D7" s="9">
        <v>1</v>
      </c>
      <c r="E7" s="9">
        <v>1</v>
      </c>
      <c r="F7" s="95">
        <v>1</v>
      </c>
      <c r="G7" s="96">
        <f>1*B14+2*C14+3</f>
        <v>5</v>
      </c>
      <c r="H7" s="140">
        <f>E14*G7</f>
        <v>10</v>
      </c>
    </row>
    <row r="8" spans="1:11" ht="14.5" x14ac:dyDescent="0.35">
      <c r="A8" s="12" t="s">
        <v>32</v>
      </c>
    </row>
    <row r="9" spans="1:11" ht="14.5" x14ac:dyDescent="0.35">
      <c r="A9" s="13" t="s">
        <v>33</v>
      </c>
      <c r="K9" s="14"/>
    </row>
    <row r="10" spans="1:11" ht="14.5" x14ac:dyDescent="0.35">
      <c r="A10" s="13" t="s">
        <v>34</v>
      </c>
    </row>
    <row r="11" spans="1:11" ht="15" customHeight="1" thickBot="1" x14ac:dyDescent="0.4"/>
    <row r="12" spans="1:11" ht="15" customHeight="1" thickBot="1" x14ac:dyDescent="0.4">
      <c r="B12" s="128" t="s">
        <v>96</v>
      </c>
      <c r="C12" s="82"/>
      <c r="D12" s="124" t="s">
        <v>7</v>
      </c>
      <c r="E12" s="91"/>
    </row>
    <row r="13" spans="1:11" thickBot="1" x14ac:dyDescent="0.4">
      <c r="B13" s="123" t="s">
        <v>11</v>
      </c>
      <c r="C13" s="123" t="s">
        <v>12</v>
      </c>
      <c r="D13" s="123" t="s">
        <v>13</v>
      </c>
      <c r="E13" s="123" t="s">
        <v>12</v>
      </c>
    </row>
    <row r="14" spans="1:11" ht="15.75" customHeight="1" thickBot="1" x14ac:dyDescent="0.4">
      <c r="B14" s="135">
        <f>0</f>
        <v>0</v>
      </c>
      <c r="C14" s="137">
        <f>1</f>
        <v>1</v>
      </c>
      <c r="D14" s="136">
        <v>0</v>
      </c>
      <c r="E14" s="137">
        <v>2</v>
      </c>
    </row>
    <row r="15" spans="1:11" ht="15.75" customHeight="1" thickBot="1" x14ac:dyDescent="0.4">
      <c r="B15" s="133" t="s">
        <v>21</v>
      </c>
      <c r="D15" s="134" t="s">
        <v>103</v>
      </c>
    </row>
    <row r="16" spans="1:11" ht="15.75" customHeight="1" x14ac:dyDescent="0.35">
      <c r="A16" s="9" t="s">
        <v>26</v>
      </c>
      <c r="B16" s="125">
        <f>B14*B6+C14*(D6+C6)</f>
        <v>3</v>
      </c>
      <c r="D16" s="131">
        <f>2*B16</f>
        <v>6</v>
      </c>
    </row>
    <row r="17" spans="1:7" ht="15.75" customHeight="1" thickBot="1" x14ac:dyDescent="0.4">
      <c r="A17" s="9" t="s">
        <v>31</v>
      </c>
      <c r="B17" s="88">
        <f>B14*B7+C14*(C7+D7)+3*F7</f>
        <v>7</v>
      </c>
      <c r="D17" s="132">
        <f>2*B17</f>
        <v>14</v>
      </c>
    </row>
    <row r="18" spans="1:7" ht="15.75" customHeight="1" x14ac:dyDescent="0.35">
      <c r="A18" s="12" t="s">
        <v>32</v>
      </c>
    </row>
    <row r="19" spans="1:7" ht="15.75" customHeight="1" x14ac:dyDescent="0.35">
      <c r="A19" s="13" t="s">
        <v>33</v>
      </c>
    </row>
    <row r="20" spans="1:7" ht="15.75" customHeight="1" x14ac:dyDescent="0.35">
      <c r="A20" s="13" t="s">
        <v>34</v>
      </c>
    </row>
    <row r="21" spans="1:7" ht="15.75" customHeight="1" x14ac:dyDescent="0.35"/>
    <row r="22" spans="1:7" ht="15.75" customHeight="1" x14ac:dyDescent="0.35"/>
    <row r="23" spans="1:7" ht="15.75" customHeight="1" thickBot="1" x14ac:dyDescent="0.4">
      <c r="A23" s="15" t="s">
        <v>35</v>
      </c>
      <c r="B23" s="16" t="s">
        <v>14</v>
      </c>
      <c r="C23" s="16" t="s">
        <v>36</v>
      </c>
      <c r="D23" s="16" t="s">
        <v>37</v>
      </c>
      <c r="E23" s="16" t="s">
        <v>38</v>
      </c>
      <c r="F23" s="16" t="s">
        <v>39</v>
      </c>
      <c r="G23" s="16" t="s">
        <v>40</v>
      </c>
    </row>
    <row r="24" spans="1:7" ht="15.75" customHeight="1" x14ac:dyDescent="0.35">
      <c r="A24" s="97" t="s">
        <v>41</v>
      </c>
      <c r="B24" s="98" t="s">
        <v>26</v>
      </c>
      <c r="C24" s="99">
        <v>-1.1123499999999999</v>
      </c>
      <c r="D24" s="100">
        <f>2*-0.496199</f>
        <v>-0.992398</v>
      </c>
      <c r="E24" s="100">
        <f t="shared" ref="E24:E27" si="0">D24-C24</f>
        <v>0.11995199999999995</v>
      </c>
      <c r="F24" s="100">
        <f t="shared" ref="F24:F28" si="1">E24*627.503</f>
        <v>75.270239855999975</v>
      </c>
      <c r="G24" s="111">
        <f t="shared" ref="G24:G38" si="2">ABS(F24-$F$2)</f>
        <v>27.929760144000028</v>
      </c>
    </row>
    <row r="25" spans="1:7" ht="15.75" customHeight="1" x14ac:dyDescent="0.35">
      <c r="A25" s="101" t="s">
        <v>41</v>
      </c>
      <c r="B25" s="12" t="s">
        <v>42</v>
      </c>
      <c r="C25" s="19">
        <v>-1.1207739999999999</v>
      </c>
      <c r="D25" s="102">
        <f>2*-0.498233</f>
        <v>-0.99646599999999996</v>
      </c>
      <c r="E25" s="102">
        <f t="shared" si="0"/>
        <v>0.12430799999999997</v>
      </c>
      <c r="F25" s="102">
        <f t="shared" si="1"/>
        <v>78.00364292399999</v>
      </c>
      <c r="G25" s="112">
        <f t="shared" si="2"/>
        <v>25.196357076000012</v>
      </c>
    </row>
    <row r="26" spans="1:7" ht="15.75" customHeight="1" x14ac:dyDescent="0.35">
      <c r="A26" s="101" t="s">
        <v>41</v>
      </c>
      <c r="B26" s="12" t="s">
        <v>32</v>
      </c>
      <c r="C26" s="19">
        <v>-1.1183000000000001</v>
      </c>
      <c r="D26" s="102">
        <f>2*-0.499278</f>
        <v>-0.998556</v>
      </c>
      <c r="E26" s="102">
        <f t="shared" si="0"/>
        <v>0.11974400000000007</v>
      </c>
      <c r="F26" s="102">
        <f t="shared" si="1"/>
        <v>75.139719232000047</v>
      </c>
      <c r="G26" s="112">
        <f t="shared" si="2"/>
        <v>28.060280767999956</v>
      </c>
    </row>
    <row r="27" spans="1:7" ht="15.75" customHeight="1" x14ac:dyDescent="0.35">
      <c r="A27" s="103" t="s">
        <v>41</v>
      </c>
      <c r="B27" s="13" t="s">
        <v>33</v>
      </c>
      <c r="C27" s="19">
        <v>-1.118438</v>
      </c>
      <c r="D27" s="102">
        <f>2*-0.499334</f>
        <v>-0.998668</v>
      </c>
      <c r="E27" s="102">
        <f t="shared" si="0"/>
        <v>0.11977000000000004</v>
      </c>
      <c r="F27" s="102">
        <f t="shared" si="1"/>
        <v>75.156034310000038</v>
      </c>
      <c r="G27" s="112">
        <f t="shared" si="2"/>
        <v>28.043965689999965</v>
      </c>
    </row>
    <row r="28" spans="1:7" ht="15.75" customHeight="1" thickBot="1" x14ac:dyDescent="0.4">
      <c r="A28" s="88" t="s">
        <v>41</v>
      </c>
      <c r="B28" s="104" t="s">
        <v>34</v>
      </c>
      <c r="C28" s="105">
        <v>-1.1226050000000001</v>
      </c>
      <c r="D28" s="106">
        <f>2*-0.499821</f>
        <v>-0.99964200000000003</v>
      </c>
      <c r="E28" s="106">
        <f t="shared" ref="E28:E38" si="3">-C28+D28</f>
        <v>0.12296300000000004</v>
      </c>
      <c r="F28" s="106">
        <f t="shared" si="1"/>
        <v>77.159651389000032</v>
      </c>
      <c r="G28" s="113">
        <f t="shared" si="2"/>
        <v>26.04034861099997</v>
      </c>
    </row>
    <row r="29" spans="1:7" ht="15.75" customHeight="1" x14ac:dyDescent="0.35">
      <c r="A29" s="107" t="s">
        <v>43</v>
      </c>
      <c r="B29" s="108" t="s">
        <v>44</v>
      </c>
      <c r="C29" s="100">
        <v>-1.160426</v>
      </c>
      <c r="D29" s="100">
        <f>2*-0.497311</f>
        <v>-0.99462200000000001</v>
      </c>
      <c r="E29" s="100">
        <f t="shared" si="3"/>
        <v>0.16580399999999995</v>
      </c>
      <c r="F29" s="100">
        <f t="shared" ref="F29:F31" si="4">E29*628.5095</f>
        <v>104.20938913799996</v>
      </c>
      <c r="G29" s="114">
        <f t="shared" si="2"/>
        <v>1.0093891379999604</v>
      </c>
    </row>
    <row r="30" spans="1:7" ht="15.75" customHeight="1" x14ac:dyDescent="0.35">
      <c r="A30" s="109" t="s">
        <v>43</v>
      </c>
      <c r="B30" s="26" t="s">
        <v>42</v>
      </c>
      <c r="C30" s="102">
        <v>-1.1683699999999999</v>
      </c>
      <c r="D30" s="102">
        <f>2*-0.500273</f>
        <v>-1.0005459999999999</v>
      </c>
      <c r="E30" s="102">
        <f t="shared" si="3"/>
        <v>0.16782399999999997</v>
      </c>
      <c r="F30" s="102">
        <f t="shared" si="4"/>
        <v>105.47897832799998</v>
      </c>
      <c r="G30" s="115">
        <f t="shared" si="2"/>
        <v>2.2789783279999796</v>
      </c>
    </row>
    <row r="31" spans="1:7" ht="15.75" customHeight="1" x14ac:dyDescent="0.35">
      <c r="A31" s="109" t="s">
        <v>43</v>
      </c>
      <c r="B31" s="26" t="s">
        <v>32</v>
      </c>
      <c r="C31" s="102">
        <v>-1.1636489999999999</v>
      </c>
      <c r="D31" s="102">
        <f>2*-0.501258</f>
        <v>-1.002516</v>
      </c>
      <c r="E31" s="102">
        <f t="shared" si="3"/>
        <v>0.16113299999999997</v>
      </c>
      <c r="F31" s="102">
        <f t="shared" si="4"/>
        <v>101.27362126349998</v>
      </c>
      <c r="G31" s="115">
        <f t="shared" si="2"/>
        <v>1.9263787365000269</v>
      </c>
    </row>
    <row r="32" spans="1:7" ht="15.75" customHeight="1" thickBot="1" x14ac:dyDescent="0.4">
      <c r="A32" s="110" t="s">
        <v>43</v>
      </c>
      <c r="B32" s="28" t="s">
        <v>33</v>
      </c>
      <c r="C32" s="102">
        <f>-1.164097</f>
        <v>-1.1640969999999999</v>
      </c>
      <c r="D32" s="102">
        <f>-0.501657*2</f>
        <v>-1.003314</v>
      </c>
      <c r="E32" s="102">
        <f t="shared" si="3"/>
        <v>0.1607829999999999</v>
      </c>
      <c r="F32" s="102">
        <f>E32*627.503</f>
        <v>100.89181484899994</v>
      </c>
      <c r="G32" s="116">
        <f t="shared" si="2"/>
        <v>2.3081851510000604</v>
      </c>
    </row>
    <row r="33" spans="1:7" ht="15.75" customHeight="1" thickBot="1" x14ac:dyDescent="0.4">
      <c r="A33" s="117" t="s">
        <v>43</v>
      </c>
      <c r="B33" s="118" t="s">
        <v>34</v>
      </c>
      <c r="C33" s="119">
        <v>-1.1699679999999999</v>
      </c>
      <c r="D33" s="120">
        <f>2*-0.50226</f>
        <v>-1.0045200000000001</v>
      </c>
      <c r="E33" s="120">
        <f t="shared" si="3"/>
        <v>0.16544799999999982</v>
      </c>
      <c r="F33" s="121">
        <f t="shared" ref="F33:F36" si="5">E33*628.5095</f>
        <v>103.98563975599988</v>
      </c>
      <c r="G33" s="122">
        <f t="shared" si="2"/>
        <v>0.78563975599988112</v>
      </c>
    </row>
    <row r="34" spans="1:7" ht="15.75" customHeight="1" x14ac:dyDescent="0.35">
      <c r="A34" s="29" t="s">
        <v>45</v>
      </c>
      <c r="B34" s="30" t="s">
        <v>44</v>
      </c>
      <c r="C34" s="19">
        <v>-1.1298790000000001</v>
      </c>
      <c r="D34" s="5">
        <f>2*-0.496198636018</f>
        <v>-0.99239727203600003</v>
      </c>
      <c r="E34" s="5">
        <f t="shared" si="3"/>
        <v>0.13748172796400004</v>
      </c>
      <c r="F34" s="5">
        <f t="shared" si="5"/>
        <v>86.408572101789687</v>
      </c>
      <c r="G34" s="112">
        <f t="shared" si="2"/>
        <v>16.791427898210316</v>
      </c>
    </row>
    <row r="35" spans="1:7" ht="15.75" customHeight="1" x14ac:dyDescent="0.35">
      <c r="A35" s="11" t="s">
        <v>45</v>
      </c>
      <c r="B35" s="12" t="s">
        <v>42</v>
      </c>
      <c r="C35" s="19">
        <v>-1.147151</v>
      </c>
      <c r="D35" s="5">
        <f>-0.498232909202*2</f>
        <v>-0.99646581840399995</v>
      </c>
      <c r="E35" s="5">
        <f t="shared" si="3"/>
        <v>0.15068518159600008</v>
      </c>
      <c r="F35" s="5">
        <f t="shared" si="5"/>
        <v>94.707068142311215</v>
      </c>
      <c r="G35" s="112">
        <f t="shared" si="2"/>
        <v>8.492931857688788</v>
      </c>
    </row>
    <row r="36" spans="1:7" ht="15.75" customHeight="1" x14ac:dyDescent="0.35">
      <c r="A36" s="11" t="s">
        <v>45</v>
      </c>
      <c r="B36" s="12" t="s">
        <v>32</v>
      </c>
      <c r="C36" s="19">
        <v>-1.1449689999999999</v>
      </c>
      <c r="D36" s="5">
        <f>2*-0.49927840342</f>
        <v>-0.99855680684000003</v>
      </c>
      <c r="E36" s="5">
        <f t="shared" si="3"/>
        <v>0.14641219315999987</v>
      </c>
      <c r="F36" s="5">
        <f t="shared" si="5"/>
        <v>92.021454316894932</v>
      </c>
      <c r="G36" s="112">
        <f t="shared" si="2"/>
        <v>11.178545683105071</v>
      </c>
    </row>
    <row r="37" spans="1:7" ht="15.75" customHeight="1" x14ac:dyDescent="0.35">
      <c r="A37" s="11" t="s">
        <v>45</v>
      </c>
      <c r="B37" s="12" t="s">
        <v>33</v>
      </c>
      <c r="C37" s="19">
        <v>-1.118438</v>
      </c>
      <c r="D37" s="5">
        <f>-0.49933431544*2</f>
        <v>-0.99866863088000002</v>
      </c>
      <c r="E37" s="5">
        <f t="shared" si="3"/>
        <v>0.11976936912000002</v>
      </c>
      <c r="F37" s="5">
        <f>E37*627.503</f>
        <v>75.155638430907374</v>
      </c>
      <c r="G37" s="112">
        <f t="shared" si="2"/>
        <v>28.044361569092629</v>
      </c>
    </row>
    <row r="38" spans="1:7" ht="15.75" customHeight="1" thickBot="1" x14ac:dyDescent="0.4">
      <c r="A38" s="29" t="s">
        <v>45</v>
      </c>
      <c r="B38" s="31" t="s">
        <v>34</v>
      </c>
      <c r="C38" s="32">
        <v>-1.154736</v>
      </c>
      <c r="D38" s="33">
        <f>2*-0.499821176024</f>
        <v>-0.999642352048</v>
      </c>
      <c r="E38" s="33">
        <f t="shared" si="3"/>
        <v>0.15509364795199998</v>
      </c>
      <c r="F38" s="33">
        <f>E38*628.5095</f>
        <v>97.477831127487534</v>
      </c>
      <c r="G38" s="113">
        <f t="shared" si="2"/>
        <v>5.7221688725124693</v>
      </c>
    </row>
    <row r="39" spans="1:7" ht="15.75" customHeight="1" x14ac:dyDescent="0.35"/>
    <row r="40" spans="1:7" ht="15.75" customHeight="1" x14ac:dyDescent="0.35"/>
    <row r="41" spans="1:7" ht="15.75" customHeight="1" x14ac:dyDescent="0.35"/>
    <row r="42" spans="1:7" ht="15.75" customHeight="1" x14ac:dyDescent="0.35"/>
    <row r="43" spans="1:7" ht="15.75" customHeight="1" x14ac:dyDescent="0.35">
      <c r="A43" s="35" t="s">
        <v>35</v>
      </c>
      <c r="B43" s="8" t="s">
        <v>46</v>
      </c>
      <c r="E43" s="36"/>
      <c r="F43" s="36"/>
      <c r="G43" s="36"/>
    </row>
    <row r="44" spans="1:7" ht="15.75" customHeight="1" x14ac:dyDescent="0.35">
      <c r="A44" s="11" t="s">
        <v>41</v>
      </c>
      <c r="B44" s="11" t="s">
        <v>42</v>
      </c>
      <c r="E44" s="36"/>
      <c r="F44" s="36"/>
      <c r="G44" s="36"/>
    </row>
    <row r="45" spans="1:7" ht="15.75" customHeight="1" x14ac:dyDescent="0.35">
      <c r="A45" s="11" t="s">
        <v>43</v>
      </c>
      <c r="B45" s="11" t="s">
        <v>34</v>
      </c>
      <c r="E45" s="36"/>
      <c r="F45" s="36"/>
      <c r="G45" s="36"/>
    </row>
    <row r="46" spans="1:7" ht="15.75" customHeight="1" x14ac:dyDescent="0.35">
      <c r="A46" s="11" t="s">
        <v>45</v>
      </c>
      <c r="B46" s="11" t="s">
        <v>34</v>
      </c>
      <c r="E46" s="36"/>
      <c r="F46" s="36"/>
      <c r="G46" s="36"/>
    </row>
    <row r="47" spans="1:7" ht="15.75" customHeight="1" x14ac:dyDescent="0.35">
      <c r="A47" s="36"/>
      <c r="B47" s="36"/>
      <c r="E47" s="36"/>
      <c r="F47" s="36"/>
      <c r="G47" s="36"/>
    </row>
    <row r="48" spans="1:7" ht="15.75" customHeight="1" x14ac:dyDescent="0.35">
      <c r="A48" s="36"/>
      <c r="B48" s="36"/>
    </row>
    <row r="49" spans="1:7" ht="15.75" customHeight="1" x14ac:dyDescent="0.35">
      <c r="A49" s="80" t="s">
        <v>47</v>
      </c>
      <c r="B49" s="36"/>
    </row>
    <row r="50" spans="1:7" ht="15.75" customHeight="1" x14ac:dyDescent="0.35"/>
    <row r="51" spans="1:7" ht="15.75" customHeight="1" thickBot="1" x14ac:dyDescent="0.4">
      <c r="A51" s="35" t="s">
        <v>35</v>
      </c>
      <c r="B51" s="8" t="s">
        <v>14</v>
      </c>
      <c r="C51" s="8" t="s">
        <v>36</v>
      </c>
      <c r="D51" s="8" t="s">
        <v>37</v>
      </c>
      <c r="E51" s="8" t="s">
        <v>38</v>
      </c>
      <c r="F51" s="8" t="s">
        <v>39</v>
      </c>
      <c r="G51" s="8" t="s">
        <v>40</v>
      </c>
    </row>
    <row r="52" spans="1:7" ht="15.75" customHeight="1" x14ac:dyDescent="0.35">
      <c r="A52" s="11" t="s">
        <v>41</v>
      </c>
      <c r="B52" s="12" t="s">
        <v>26</v>
      </c>
      <c r="C52" s="37">
        <v>-1.12279504</v>
      </c>
      <c r="D52" s="17">
        <f>2*-0.49619864</f>
        <v>-0.99239728000000005</v>
      </c>
      <c r="E52" s="17">
        <f t="shared" ref="E52:E55" si="6">D52-C52</f>
        <v>0.13039775999999992</v>
      </c>
      <c r="F52" s="17">
        <f t="shared" ref="F52:F56" si="7">E52*627.503</f>
        <v>81.824985593279948</v>
      </c>
      <c r="G52" s="18">
        <f t="shared" ref="G52:G66" si="8">ABS(F52-$F$2)</f>
        <v>21.375014406720055</v>
      </c>
    </row>
    <row r="53" spans="1:7" ht="15.75" customHeight="1" x14ac:dyDescent="0.35">
      <c r="A53" s="11" t="s">
        <v>41</v>
      </c>
      <c r="B53" s="12" t="s">
        <v>42</v>
      </c>
      <c r="C53" s="38">
        <v>-1.1311193500000001</v>
      </c>
      <c r="D53" s="5">
        <f>2*-0.49823291</f>
        <v>-0.99646581999999995</v>
      </c>
      <c r="E53" s="5">
        <f t="shared" si="6"/>
        <v>0.13465353000000013</v>
      </c>
      <c r="F53" s="5">
        <f t="shared" si="7"/>
        <v>84.495494035590085</v>
      </c>
      <c r="G53" s="20">
        <f t="shared" si="8"/>
        <v>18.704505964409918</v>
      </c>
    </row>
    <row r="54" spans="1:7" ht="15.75" customHeight="1" x14ac:dyDescent="0.35">
      <c r="A54" s="11" t="s">
        <v>41</v>
      </c>
      <c r="B54" s="12" t="s">
        <v>32</v>
      </c>
      <c r="C54" s="38">
        <v>-1.1287431299999999</v>
      </c>
      <c r="D54" s="5">
        <f>2*-0.4992784</f>
        <v>-0.99855680000000002</v>
      </c>
      <c r="E54" s="5">
        <f t="shared" si="6"/>
        <v>0.13018632999999991</v>
      </c>
      <c r="F54" s="5">
        <f t="shared" si="7"/>
        <v>81.692312633989943</v>
      </c>
      <c r="G54" s="20">
        <f t="shared" si="8"/>
        <v>21.50768736601006</v>
      </c>
    </row>
    <row r="55" spans="1:7" ht="15.75" customHeight="1" x14ac:dyDescent="0.35">
      <c r="A55" s="21" t="s">
        <v>41</v>
      </c>
      <c r="B55" s="13" t="s">
        <v>33</v>
      </c>
      <c r="C55" s="38">
        <v>-1.12882343</v>
      </c>
      <c r="D55" s="5">
        <f>2*-0.49933432</f>
        <v>-0.99866864</v>
      </c>
      <c r="E55" s="5">
        <f t="shared" si="6"/>
        <v>0.13015478999999996</v>
      </c>
      <c r="F55" s="5">
        <f t="shared" si="7"/>
        <v>81.672521189369988</v>
      </c>
      <c r="G55" s="20">
        <f t="shared" si="8"/>
        <v>21.527478810630015</v>
      </c>
    </row>
    <row r="56" spans="1:7" ht="15.75" customHeight="1" thickBot="1" x14ac:dyDescent="0.4">
      <c r="A56" s="21" t="s">
        <v>41</v>
      </c>
      <c r="B56" s="13" t="s">
        <v>34</v>
      </c>
      <c r="C56" s="38">
        <v>-1.1328880699999999</v>
      </c>
      <c r="D56" s="5">
        <f>2*-0.49982118</f>
        <v>-0.99964235999999995</v>
      </c>
      <c r="E56" s="5">
        <f t="shared" ref="E56:E66" si="9">-C56+D56</f>
        <v>0.13324570999999996</v>
      </c>
      <c r="F56" s="5">
        <f t="shared" si="7"/>
        <v>83.612082762129987</v>
      </c>
      <c r="G56" s="20">
        <f t="shared" si="8"/>
        <v>19.587917237870016</v>
      </c>
    </row>
    <row r="57" spans="1:7" ht="15.75" customHeight="1" x14ac:dyDescent="0.35">
      <c r="A57" s="22" t="s">
        <v>43</v>
      </c>
      <c r="B57" s="23" t="s">
        <v>44</v>
      </c>
      <c r="C57" s="39">
        <v>-1.1638312200000001</v>
      </c>
      <c r="D57" s="5">
        <f>2*-0.49388665</f>
        <v>-0.98777329999999997</v>
      </c>
      <c r="E57" s="5">
        <f t="shared" si="9"/>
        <v>0.17605792000000009</v>
      </c>
      <c r="F57" s="5">
        <f t="shared" ref="F57:F59" si="10">E57*628.5095</f>
        <v>110.65407527024006</v>
      </c>
      <c r="G57" s="24">
        <f t="shared" si="8"/>
        <v>7.4540752702400539</v>
      </c>
    </row>
    <row r="58" spans="1:7" ht="15.75" customHeight="1" x14ac:dyDescent="0.35">
      <c r="A58" s="25" t="s">
        <v>43</v>
      </c>
      <c r="B58" s="26" t="s">
        <v>42</v>
      </c>
      <c r="C58" s="39">
        <v>-1.1717415799999999</v>
      </c>
      <c r="D58" s="5">
        <f>2*-0.49686205</f>
        <v>-0.9937241</v>
      </c>
      <c r="E58" s="5">
        <f t="shared" si="9"/>
        <v>0.17801747999999995</v>
      </c>
      <c r="F58" s="5">
        <f t="shared" si="10"/>
        <v>111.88567734605996</v>
      </c>
      <c r="G58" s="26">
        <f t="shared" si="8"/>
        <v>8.6856773460599612</v>
      </c>
    </row>
    <row r="59" spans="1:7" ht="15.75" customHeight="1" x14ac:dyDescent="0.35">
      <c r="A59" s="25" t="s">
        <v>43</v>
      </c>
      <c r="B59" s="26" t="s">
        <v>32</v>
      </c>
      <c r="C59" s="39">
        <v>-1.16674218</v>
      </c>
      <c r="D59" s="5">
        <f>2*-0.49785866</f>
        <v>-0.99571732000000002</v>
      </c>
      <c r="E59" s="5">
        <f t="shared" si="9"/>
        <v>0.17102485999999995</v>
      </c>
      <c r="F59" s="5">
        <f t="shared" si="10"/>
        <v>107.49074924616997</v>
      </c>
      <c r="G59" s="26">
        <f t="shared" si="8"/>
        <v>4.2907492461699661</v>
      </c>
    </row>
    <row r="60" spans="1:7" ht="15.75" customHeight="1" thickBot="1" x14ac:dyDescent="0.4">
      <c r="A60" s="27" t="s">
        <v>43</v>
      </c>
      <c r="B60" s="28" t="s">
        <v>33</v>
      </c>
      <c r="C60" s="39">
        <v>-1.16718937</v>
      </c>
      <c r="D60" s="5">
        <f>2*-0.49826982</f>
        <v>-0.99653963999999995</v>
      </c>
      <c r="E60" s="5">
        <f t="shared" si="9"/>
        <v>0.17064973000000005</v>
      </c>
      <c r="F60" s="5">
        <f>E60*627.503</f>
        <v>107.08321752419005</v>
      </c>
      <c r="G60" s="28">
        <f t="shared" si="8"/>
        <v>3.8832175241900444</v>
      </c>
    </row>
    <row r="61" spans="1:7" ht="15.75" customHeight="1" thickBot="1" x14ac:dyDescent="0.4">
      <c r="A61" s="40" t="s">
        <v>43</v>
      </c>
      <c r="B61" s="41" t="s">
        <v>34</v>
      </c>
      <c r="C61" s="42">
        <v>-1.17323734</v>
      </c>
      <c r="D61" s="5">
        <f>2*-0.49887274</f>
        <v>-0.99774547999999996</v>
      </c>
      <c r="E61" s="43">
        <f t="shared" si="9"/>
        <v>0.17549186000000006</v>
      </c>
      <c r="F61" s="44">
        <f t="shared" ref="F61:F64" si="11">E61*628.5095</f>
        <v>110.29830118267003</v>
      </c>
      <c r="G61" s="44">
        <f t="shared" si="8"/>
        <v>7.0983011826700277</v>
      </c>
    </row>
    <row r="62" spans="1:7" ht="15.75" customHeight="1" x14ac:dyDescent="0.35">
      <c r="A62" s="29" t="s">
        <v>45</v>
      </c>
      <c r="B62" s="30" t="s">
        <v>44</v>
      </c>
      <c r="C62" s="38">
        <v>-1.1402022599999999</v>
      </c>
      <c r="D62" s="5">
        <f>2*-0.496198636018</f>
        <v>-0.99239727203600003</v>
      </c>
      <c r="E62" s="5">
        <f t="shared" si="9"/>
        <v>0.14780498796399988</v>
      </c>
      <c r="F62" s="5">
        <f t="shared" si="11"/>
        <v>92.896839082759584</v>
      </c>
      <c r="G62" s="20">
        <f t="shared" si="8"/>
        <v>10.303160917240419</v>
      </c>
    </row>
    <row r="63" spans="1:7" ht="15.75" customHeight="1" x14ac:dyDescent="0.35">
      <c r="A63" s="11" t="s">
        <v>45</v>
      </c>
      <c r="B63" s="12" t="s">
        <v>42</v>
      </c>
      <c r="C63" s="38">
        <v>-1.1574786100000001</v>
      </c>
      <c r="D63" s="5">
        <f>-0.498232909202*2</f>
        <v>-0.99646581840399995</v>
      </c>
      <c r="E63" s="5">
        <f t="shared" si="9"/>
        <v>0.16101279159600013</v>
      </c>
      <c r="F63" s="5">
        <f t="shared" si="11"/>
        <v>101.19806913960625</v>
      </c>
      <c r="G63" s="20">
        <f t="shared" si="8"/>
        <v>2.001930860393756</v>
      </c>
    </row>
    <row r="64" spans="1:7" ht="15.75" customHeight="1" x14ac:dyDescent="0.35">
      <c r="A64" s="11" t="s">
        <v>45</v>
      </c>
      <c r="B64" s="12" t="s">
        <v>32</v>
      </c>
      <c r="C64" s="38">
        <v>-1.15520504</v>
      </c>
      <c r="D64" s="5">
        <f>2*-0.49927840342</f>
        <v>-0.99855680684000003</v>
      </c>
      <c r="E64" s="5">
        <f t="shared" si="9"/>
        <v>0.15664823315999998</v>
      </c>
      <c r="F64" s="5">
        <f t="shared" si="11"/>
        <v>98.45490269927501</v>
      </c>
      <c r="G64" s="20">
        <f t="shared" si="8"/>
        <v>4.7450973007249928</v>
      </c>
    </row>
    <row r="65" spans="1:7" ht="15.75" customHeight="1" x14ac:dyDescent="0.35">
      <c r="A65" s="11" t="s">
        <v>45</v>
      </c>
      <c r="B65" s="12" t="s">
        <v>33</v>
      </c>
      <c r="C65" s="38">
        <v>-1.1561998099999999</v>
      </c>
      <c r="D65" s="5">
        <f>-0.49933431544*2</f>
        <v>-0.99866863088000002</v>
      </c>
      <c r="E65" s="5">
        <f t="shared" si="9"/>
        <v>0.15753117911999992</v>
      </c>
      <c r="F65" s="5">
        <f>E65*627.503</f>
        <v>98.851287491337317</v>
      </c>
      <c r="G65" s="20">
        <f t="shared" si="8"/>
        <v>4.3487125086626861</v>
      </c>
    </row>
    <row r="66" spans="1:7" ht="15.75" customHeight="1" thickBot="1" x14ac:dyDescent="0.4">
      <c r="A66" s="29" t="s">
        <v>45</v>
      </c>
      <c r="B66" s="31" t="s">
        <v>34</v>
      </c>
      <c r="C66" s="45">
        <v>-1.1649162992540001</v>
      </c>
      <c r="D66" s="33">
        <f>2*-0.49982118</f>
        <v>-0.99964235999999995</v>
      </c>
      <c r="E66" s="46">
        <f t="shared" si="9"/>
        <v>0.16527393925400014</v>
      </c>
      <c r="F66" s="33">
        <f>E66*628.5095</f>
        <v>103.87624092356199</v>
      </c>
      <c r="G66" s="34">
        <f t="shared" si="8"/>
        <v>0.67624092356199128</v>
      </c>
    </row>
    <row r="67" spans="1:7" ht="15.75" customHeight="1" x14ac:dyDescent="0.35"/>
    <row r="68" spans="1:7" ht="15.75" customHeight="1" x14ac:dyDescent="0.35"/>
    <row r="69" spans="1:7" ht="15.75" customHeight="1" x14ac:dyDescent="0.35"/>
    <row r="70" spans="1:7" ht="15.75" customHeight="1" x14ac:dyDescent="0.35"/>
    <row r="71" spans="1:7" ht="15.75" customHeight="1" x14ac:dyDescent="0.35"/>
    <row r="72" spans="1:7" ht="15.75" customHeight="1" x14ac:dyDescent="0.35"/>
    <row r="73" spans="1:7" ht="15.75" customHeight="1" x14ac:dyDescent="0.35"/>
    <row r="74" spans="1:7" ht="15.75" customHeight="1" x14ac:dyDescent="0.35"/>
    <row r="75" spans="1:7" ht="15.75" customHeight="1" x14ac:dyDescent="0.35"/>
    <row r="76" spans="1:7" ht="15.75" customHeight="1" x14ac:dyDescent="0.35"/>
    <row r="77" spans="1:7" ht="15.75" customHeight="1" x14ac:dyDescent="0.35"/>
    <row r="78" spans="1:7" ht="15.75" customHeight="1" x14ac:dyDescent="0.35"/>
    <row r="79" spans="1:7" ht="15.75" customHeight="1" x14ac:dyDescent="0.35"/>
    <row r="80" spans="1:7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</sheetData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7"/>
  <sheetViews>
    <sheetView workbookViewId="0"/>
  </sheetViews>
  <sheetFormatPr defaultColWidth="12.6328125" defaultRowHeight="15" customHeight="1" x14ac:dyDescent="0.35"/>
  <cols>
    <col min="1" max="1" width="25.08984375" customWidth="1"/>
    <col min="2" max="2" width="28.08984375" customWidth="1"/>
    <col min="3" max="3" width="31.6328125" customWidth="1"/>
    <col min="5" max="5" width="25.453125" customWidth="1"/>
    <col min="6" max="6" width="27.7265625" customWidth="1"/>
    <col min="7" max="7" width="25.453125" customWidth="1"/>
    <col min="8" max="8" width="22.90625" customWidth="1"/>
  </cols>
  <sheetData>
    <row r="1" spans="1:8" x14ac:dyDescent="0.35">
      <c r="A1" s="47" t="s">
        <v>48</v>
      </c>
      <c r="B1" s="47" t="s">
        <v>49</v>
      </c>
    </row>
    <row r="2" spans="1:8" x14ac:dyDescent="0.35">
      <c r="A2" s="3" t="s">
        <v>50</v>
      </c>
      <c r="B2" s="3" t="s">
        <v>51</v>
      </c>
    </row>
    <row r="5" spans="1:8" x14ac:dyDescent="0.35">
      <c r="A5" s="16" t="s">
        <v>14</v>
      </c>
      <c r="B5" s="47" t="s">
        <v>15</v>
      </c>
      <c r="C5" s="47" t="s">
        <v>16</v>
      </c>
      <c r="D5" s="47" t="s">
        <v>17</v>
      </c>
      <c r="E5" s="47" t="s">
        <v>52</v>
      </c>
      <c r="F5" s="47" t="s">
        <v>53</v>
      </c>
      <c r="G5" s="47" t="s">
        <v>54</v>
      </c>
      <c r="H5" s="47" t="s">
        <v>55</v>
      </c>
    </row>
    <row r="6" spans="1:8" x14ac:dyDescent="0.35">
      <c r="A6" s="48" t="s">
        <v>56</v>
      </c>
      <c r="B6" s="10" t="s">
        <v>57</v>
      </c>
      <c r="C6" s="10" t="s">
        <v>58</v>
      </c>
      <c r="D6" s="10" t="s">
        <v>59</v>
      </c>
      <c r="E6" s="2" t="s">
        <v>60</v>
      </c>
      <c r="F6" s="10" t="s">
        <v>61</v>
      </c>
      <c r="G6" s="10" t="e">
        <f t="shared" ref="G6:G7" si="0">1*#REF!+2*#REF!</f>
        <v>#REF!</v>
      </c>
      <c r="H6" s="10" t="e">
        <f>D6*#REF!+#REF!*(F6+#REF!)</f>
        <v>#VALUE!</v>
      </c>
    </row>
    <row r="7" spans="1:8" x14ac:dyDescent="0.35">
      <c r="A7" s="48" t="s">
        <v>62</v>
      </c>
      <c r="B7" s="10" t="s">
        <v>57</v>
      </c>
      <c r="C7" s="10" t="s">
        <v>58</v>
      </c>
      <c r="D7" s="10" t="s">
        <v>59</v>
      </c>
      <c r="E7" s="2" t="s">
        <v>63</v>
      </c>
      <c r="F7" s="10" t="s">
        <v>64</v>
      </c>
      <c r="G7" s="10" t="e">
        <f t="shared" si="0"/>
        <v>#REF!</v>
      </c>
      <c r="H7" s="10" t="e">
        <f>D7*#REF!+#REF!*(E7+F7)</f>
        <v>#VALUE!</v>
      </c>
    </row>
    <row r="12" spans="1:8" x14ac:dyDescent="0.35">
      <c r="A12" s="49" t="s">
        <v>65</v>
      </c>
      <c r="B12" s="49"/>
      <c r="C12" s="49"/>
      <c r="D12" s="18"/>
    </row>
    <row r="13" spans="1:8" x14ac:dyDescent="0.35">
      <c r="A13" s="50"/>
      <c r="B13" s="50" t="s">
        <v>66</v>
      </c>
      <c r="C13" s="50" t="s">
        <v>67</v>
      </c>
      <c r="D13" s="20"/>
    </row>
    <row r="14" spans="1:8" x14ac:dyDescent="0.35">
      <c r="A14" s="50"/>
      <c r="B14" s="50" t="s">
        <v>68</v>
      </c>
      <c r="C14" s="51">
        <v>1</v>
      </c>
      <c r="D14" s="20"/>
    </row>
    <row r="15" spans="1:8" x14ac:dyDescent="0.35">
      <c r="A15" s="50"/>
      <c r="B15" s="50" t="s">
        <v>69</v>
      </c>
      <c r="C15" s="51">
        <v>3</v>
      </c>
      <c r="D15" s="20"/>
    </row>
    <row r="16" spans="1:8" x14ac:dyDescent="0.35">
      <c r="A16" s="50"/>
      <c r="B16" s="50" t="s">
        <v>70</v>
      </c>
      <c r="C16" s="51">
        <v>5</v>
      </c>
      <c r="D16" s="20"/>
    </row>
    <row r="17" spans="1:4" x14ac:dyDescent="0.35">
      <c r="A17" s="52"/>
      <c r="B17" s="52"/>
      <c r="C17" s="52"/>
      <c r="D17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94"/>
  <sheetViews>
    <sheetView workbookViewId="0">
      <selection activeCell="E28" sqref="E28"/>
    </sheetView>
  </sheetViews>
  <sheetFormatPr defaultColWidth="12.6328125" defaultRowHeight="15" customHeight="1" x14ac:dyDescent="0.35"/>
  <cols>
    <col min="1" max="1" width="22" customWidth="1"/>
    <col min="2" max="2" width="23.1796875" bestFit="1" customWidth="1"/>
    <col min="3" max="3" width="22.453125" customWidth="1"/>
    <col min="4" max="4" width="27.6328125" customWidth="1"/>
    <col min="5" max="5" width="28.90625" customWidth="1"/>
    <col min="6" max="6" width="26.453125" customWidth="1"/>
    <col min="7" max="7" width="29.7265625" customWidth="1"/>
    <col min="8" max="8" width="35.90625" customWidth="1"/>
    <col min="9" max="9" width="31.36328125" customWidth="1"/>
    <col min="10" max="10" width="30.453125" customWidth="1"/>
    <col min="11" max="11" width="14.36328125" customWidth="1"/>
    <col min="12" max="12" width="13.26953125" customWidth="1"/>
    <col min="13" max="13" width="12.08984375" customWidth="1"/>
    <col min="14" max="14" width="12.6328125" customWidth="1"/>
    <col min="15" max="15" width="12.08984375" customWidth="1"/>
    <col min="16" max="16" width="15.453125" customWidth="1"/>
    <col min="17" max="17" width="14.36328125" customWidth="1"/>
    <col min="18" max="18" width="16.26953125" customWidth="1"/>
    <col min="19" max="19" width="13.7265625" customWidth="1"/>
    <col min="20" max="26" width="7.6328125" customWidth="1"/>
  </cols>
  <sheetData>
    <row r="1" spans="1:16" ht="14.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/>
      <c r="H1" s="3" t="s">
        <v>50</v>
      </c>
      <c r="K1" s="1" t="s">
        <v>6</v>
      </c>
    </row>
    <row r="2" spans="1:16" ht="14.5" x14ac:dyDescent="0.35">
      <c r="A2" s="3">
        <f>PI()</f>
        <v>3.1415926535897931</v>
      </c>
      <c r="B2" s="4">
        <v>1.3806490000000001E-23</v>
      </c>
      <c r="C2" s="4">
        <v>6.6260687599999996E-34</v>
      </c>
      <c r="D2" s="3">
        <v>8.3144626180000003</v>
      </c>
      <c r="E2" s="4">
        <v>6.0221410000000001E+23</v>
      </c>
      <c r="F2" s="5">
        <v>103.2</v>
      </c>
      <c r="G2" s="3"/>
      <c r="H2" s="7" t="s">
        <v>13</v>
      </c>
      <c r="I2" s="47" t="s">
        <v>71</v>
      </c>
      <c r="K2" s="47" t="s">
        <v>13</v>
      </c>
      <c r="L2" s="47" t="s">
        <v>71</v>
      </c>
    </row>
    <row r="3" spans="1:16" ht="14.5" x14ac:dyDescent="0.35">
      <c r="A3" s="5"/>
      <c r="B3" s="4"/>
      <c r="C3" s="4"/>
      <c r="D3" s="3"/>
      <c r="E3" s="4"/>
      <c r="F3" s="5"/>
      <c r="G3" s="3"/>
      <c r="H3" s="10" t="s">
        <v>29</v>
      </c>
      <c r="I3" s="9">
        <v>4</v>
      </c>
      <c r="K3" s="10">
        <f>0</f>
        <v>0</v>
      </c>
      <c r="L3" s="9">
        <v>1</v>
      </c>
    </row>
    <row r="4" spans="1:16" ht="14.5" x14ac:dyDescent="0.35">
      <c r="A4" s="8" t="s">
        <v>14</v>
      </c>
      <c r="B4" s="8" t="s">
        <v>72</v>
      </c>
      <c r="C4" s="8" t="s">
        <v>73</v>
      </c>
      <c r="D4" s="8" t="s">
        <v>74</v>
      </c>
      <c r="E4" s="8" t="s">
        <v>75</v>
      </c>
      <c r="F4" s="8" t="s">
        <v>76</v>
      </c>
      <c r="G4" s="8" t="s">
        <v>77</v>
      </c>
      <c r="H4" s="8" t="s">
        <v>78</v>
      </c>
      <c r="I4" s="16" t="s">
        <v>79</v>
      </c>
    </row>
    <row r="5" spans="1:16" ht="14.5" x14ac:dyDescent="0.35">
      <c r="A5" s="11" t="s">
        <v>32</v>
      </c>
      <c r="B5" s="11" t="s">
        <v>80</v>
      </c>
      <c r="C5" s="5" t="s">
        <v>81</v>
      </c>
      <c r="D5" s="54" t="e">
        <f t="shared" ref="D5:F5" si="0">#REF!*(2*1+1*3)+#REF!*(3*1+2*3+1*5)</f>
        <v>#REF!</v>
      </c>
      <c r="E5" s="11" t="e">
        <f t="shared" si="0"/>
        <v>#REF!</v>
      </c>
      <c r="F5" s="11" t="e">
        <f t="shared" si="0"/>
        <v>#REF!</v>
      </c>
      <c r="G5" s="11"/>
      <c r="H5" s="11"/>
      <c r="I5" s="55"/>
    </row>
    <row r="6" spans="1:16" ht="14.5" x14ac:dyDescent="0.35">
      <c r="A6" s="11" t="s">
        <v>33</v>
      </c>
      <c r="B6" s="11" t="s">
        <v>82</v>
      </c>
      <c r="C6" s="11" t="s">
        <v>83</v>
      </c>
      <c r="D6" s="11" t="e">
        <f t="shared" ref="D6:F6" si="1">#REF!*(3*1+2*3)+#REF!*((4*1+3*3+2*5))</f>
        <v>#REF!</v>
      </c>
      <c r="E6" s="11" t="e">
        <f t="shared" si="1"/>
        <v>#REF!</v>
      </c>
      <c r="F6" s="11" t="e">
        <f t="shared" si="1"/>
        <v>#REF!</v>
      </c>
      <c r="G6" s="11"/>
      <c r="H6" s="11"/>
      <c r="I6" s="55"/>
    </row>
    <row r="7" spans="1:16" ht="14.5" x14ac:dyDescent="0.35">
      <c r="A7" s="3"/>
      <c r="B7" s="3"/>
      <c r="C7" s="3"/>
      <c r="D7" s="3"/>
      <c r="E7" s="3"/>
      <c r="F7" s="3"/>
      <c r="G7" s="3"/>
      <c r="H7" s="3"/>
    </row>
    <row r="8" spans="1:16" ht="14.5" x14ac:dyDescent="0.35">
      <c r="A8" s="8" t="s">
        <v>14</v>
      </c>
      <c r="B8" s="7" t="s">
        <v>15</v>
      </c>
      <c r="C8" s="7" t="s">
        <v>16</v>
      </c>
      <c r="D8" s="7" t="s">
        <v>17</v>
      </c>
      <c r="E8" s="7" t="s">
        <v>18</v>
      </c>
      <c r="F8" s="7" t="s">
        <v>19</v>
      </c>
      <c r="G8" s="7" t="s">
        <v>84</v>
      </c>
      <c r="H8" s="7" t="s">
        <v>85</v>
      </c>
      <c r="I8" s="47" t="s">
        <v>20</v>
      </c>
      <c r="J8" s="47" t="s">
        <v>86</v>
      </c>
      <c r="K8" s="56" t="s">
        <v>87</v>
      </c>
      <c r="L8" s="56" t="s">
        <v>88</v>
      </c>
      <c r="M8" s="56" t="s">
        <v>89</v>
      </c>
      <c r="N8" s="56" t="s">
        <v>90</v>
      </c>
      <c r="O8" s="56" t="s">
        <v>91</v>
      </c>
      <c r="P8" s="56" t="s">
        <v>86</v>
      </c>
    </row>
    <row r="9" spans="1:16" ht="14.5" x14ac:dyDescent="0.35">
      <c r="A9" s="9" t="s">
        <v>26</v>
      </c>
      <c r="B9" s="10" t="s">
        <v>27</v>
      </c>
      <c r="C9" s="10" t="s">
        <v>28</v>
      </c>
      <c r="D9" s="10" t="s">
        <v>29</v>
      </c>
      <c r="E9" s="10" t="s">
        <v>30</v>
      </c>
      <c r="F9" s="3">
        <v>0</v>
      </c>
      <c r="G9" s="10">
        <f>1*H3+2*I3</f>
        <v>9</v>
      </c>
      <c r="H9" s="10">
        <f>B9*H3 + I3*(C9+D9)</f>
        <v>15</v>
      </c>
      <c r="I9" s="57">
        <f>K3*1+2*L3</f>
        <v>2</v>
      </c>
      <c r="J9" s="12">
        <f>K3*B9+L3*(C9+D9)</f>
        <v>3</v>
      </c>
      <c r="K9" s="58">
        <f t="shared" ref="K9:K10" si="2">1*G9 + 4*I9</f>
        <v>17</v>
      </c>
      <c r="L9" s="58">
        <f t="shared" ref="L9:L10" si="3">1*H9+4*J9</f>
        <v>27</v>
      </c>
      <c r="M9" s="11">
        <f t="shared" ref="M9:N9" si="4">1*G9+3*I9</f>
        <v>15</v>
      </c>
      <c r="N9" s="58">
        <f t="shared" si="4"/>
        <v>24</v>
      </c>
      <c r="O9" s="59">
        <f t="shared" ref="O9:P9" si="5">I9</f>
        <v>2</v>
      </c>
      <c r="P9" s="11">
        <f t="shared" si="5"/>
        <v>3</v>
      </c>
    </row>
    <row r="10" spans="1:16" ht="14.5" x14ac:dyDescent="0.35">
      <c r="A10" s="9" t="s">
        <v>31</v>
      </c>
      <c r="B10" s="9">
        <v>6</v>
      </c>
      <c r="C10" s="9">
        <v>3</v>
      </c>
      <c r="D10" s="9">
        <v>1</v>
      </c>
      <c r="E10" s="9">
        <v>1</v>
      </c>
      <c r="F10" s="9">
        <v>1</v>
      </c>
      <c r="G10" s="11">
        <f>1*H3+2*I3+E10*4+F10*6</f>
        <v>19</v>
      </c>
      <c r="H10" s="11">
        <f>B10*H3+I3*(C10+D10)+6*F10+4*E10</f>
        <v>32</v>
      </c>
      <c r="I10" s="9">
        <f>K3*1+L3*2+F10*3</f>
        <v>5</v>
      </c>
      <c r="J10" s="12">
        <f>B10*K3+L3*(C10+D10)+F10*3</f>
        <v>7</v>
      </c>
      <c r="K10" s="58">
        <f t="shared" si="2"/>
        <v>39</v>
      </c>
      <c r="L10" s="58">
        <f t="shared" si="3"/>
        <v>60</v>
      </c>
      <c r="M10" s="11">
        <f t="shared" ref="M10:N10" si="6">1*G10+3*I10</f>
        <v>34</v>
      </c>
      <c r="N10" s="58">
        <f t="shared" si="6"/>
        <v>53</v>
      </c>
      <c r="O10" s="58">
        <f t="shared" ref="O10:P10" si="7">I10</f>
        <v>5</v>
      </c>
      <c r="P10" s="11">
        <f t="shared" si="7"/>
        <v>7</v>
      </c>
    </row>
    <row r="11" spans="1:16" ht="14.5" x14ac:dyDescent="0.35">
      <c r="A11" s="3"/>
      <c r="B11" s="3"/>
      <c r="C11" s="3"/>
      <c r="D11" s="3"/>
      <c r="E11" s="3"/>
      <c r="F11" s="3"/>
      <c r="G11" s="3"/>
      <c r="H11" s="3"/>
    </row>
    <row r="12" spans="1:16" ht="14.5" x14ac:dyDescent="0.35">
      <c r="A12" s="3"/>
      <c r="B12" s="3"/>
      <c r="C12" s="3"/>
      <c r="D12" s="5"/>
      <c r="E12" s="3"/>
      <c r="F12" s="3"/>
      <c r="G12" s="3"/>
      <c r="H12" s="3"/>
    </row>
    <row r="13" spans="1:16" ht="14.5" x14ac:dyDescent="0.35">
      <c r="A13" s="3"/>
      <c r="B13" s="3"/>
      <c r="C13" s="3"/>
      <c r="D13" s="3"/>
      <c r="E13" s="3"/>
      <c r="F13" s="3"/>
      <c r="G13" s="3"/>
      <c r="H13" s="3"/>
    </row>
    <row r="14" spans="1:16" thickBot="1" x14ac:dyDescent="0.4">
      <c r="A14" s="3"/>
      <c r="B14" s="3"/>
      <c r="C14" s="3"/>
      <c r="D14" s="3"/>
      <c r="E14" s="3"/>
      <c r="F14" s="3"/>
      <c r="G14" s="3"/>
      <c r="H14" s="3"/>
    </row>
    <row r="15" spans="1:16" ht="15.75" customHeight="1" thickBot="1" x14ac:dyDescent="0.4">
      <c r="B15" s="128" t="s">
        <v>97</v>
      </c>
      <c r="C15" s="129" t="s">
        <v>98</v>
      </c>
      <c r="D15" s="83"/>
      <c r="E15" s="124" t="s">
        <v>7</v>
      </c>
      <c r="F15" s="91"/>
      <c r="G15" s="3"/>
      <c r="H15" s="3"/>
    </row>
    <row r="16" spans="1:16" ht="15.75" customHeight="1" thickBot="1" x14ac:dyDescent="0.4">
      <c r="B16" s="123" t="s">
        <v>11</v>
      </c>
      <c r="C16" s="123" t="s">
        <v>12</v>
      </c>
      <c r="D16" s="84"/>
      <c r="E16" s="123" t="s">
        <v>13</v>
      </c>
      <c r="F16" s="123" t="s">
        <v>12</v>
      </c>
      <c r="G16" s="3"/>
      <c r="H16" s="3"/>
    </row>
    <row r="17" spans="1:8" ht="15.75" customHeight="1" thickBot="1" x14ac:dyDescent="0.4">
      <c r="B17" s="85">
        <v>0</v>
      </c>
      <c r="C17" s="86">
        <v>5</v>
      </c>
      <c r="D17" s="87"/>
      <c r="E17" s="92">
        <v>0</v>
      </c>
      <c r="F17" s="93">
        <v>2</v>
      </c>
      <c r="G17" s="3"/>
      <c r="H17" s="3"/>
    </row>
    <row r="18" spans="1:8" ht="15.75" customHeight="1" thickBot="1" x14ac:dyDescent="0.4">
      <c r="B18" s="123" t="s">
        <v>21</v>
      </c>
      <c r="C18" s="123" t="s">
        <v>22</v>
      </c>
      <c r="D18" s="123" t="s">
        <v>23</v>
      </c>
      <c r="E18" s="123" t="s">
        <v>24</v>
      </c>
      <c r="F18" s="123" t="s">
        <v>25</v>
      </c>
      <c r="G18" s="3"/>
      <c r="H18" s="3"/>
    </row>
    <row r="19" spans="1:8" ht="15.75" customHeight="1" x14ac:dyDescent="0.35">
      <c r="A19" s="9" t="s">
        <v>26</v>
      </c>
      <c r="B19" s="125">
        <f>B17*B9+C17*(D9+C9)</f>
        <v>15</v>
      </c>
      <c r="C19" s="126">
        <f>G9</f>
        <v>9</v>
      </c>
      <c r="D19" s="127">
        <f>B19</f>
        <v>15</v>
      </c>
      <c r="E19" s="125">
        <f t="shared" ref="E19:F20" si="8">2*C19</f>
        <v>18</v>
      </c>
      <c r="F19" s="127">
        <f t="shared" si="8"/>
        <v>30</v>
      </c>
      <c r="G19" s="3"/>
      <c r="H19" s="3"/>
    </row>
    <row r="20" spans="1:8" ht="15.75" customHeight="1" thickBot="1" x14ac:dyDescent="0.4">
      <c r="A20" s="9" t="s">
        <v>31</v>
      </c>
      <c r="B20" s="88">
        <f>B17*B10+C17*(C10+D10)+3*F10</f>
        <v>23</v>
      </c>
      <c r="C20" s="89">
        <f>G10</f>
        <v>19</v>
      </c>
      <c r="D20" s="90">
        <f>B20</f>
        <v>23</v>
      </c>
      <c r="E20" s="88">
        <f t="shared" si="8"/>
        <v>38</v>
      </c>
      <c r="F20" s="90">
        <f t="shared" si="8"/>
        <v>46</v>
      </c>
      <c r="G20" s="3"/>
      <c r="H20" s="3"/>
    </row>
    <row r="21" spans="1:8" ht="15.75" customHeight="1" x14ac:dyDescent="0.35">
      <c r="A21" s="3"/>
      <c r="B21" s="3"/>
      <c r="C21" s="3"/>
      <c r="E21" s="3"/>
      <c r="F21" s="3"/>
      <c r="G21" s="3"/>
      <c r="H21" s="3"/>
    </row>
    <row r="22" spans="1:8" ht="15.75" customHeight="1" x14ac:dyDescent="0.35">
      <c r="A22" s="3"/>
      <c r="B22" s="3"/>
      <c r="C22" s="3"/>
      <c r="D22" s="3"/>
      <c r="E22" s="3"/>
      <c r="F22" s="3"/>
      <c r="G22" s="3"/>
      <c r="H22" s="3"/>
    </row>
    <row r="23" spans="1:8" ht="15.75" customHeight="1" x14ac:dyDescent="0.35">
      <c r="A23" s="3"/>
      <c r="B23" s="3"/>
      <c r="C23" s="3"/>
      <c r="D23" s="3"/>
      <c r="E23" s="3"/>
      <c r="F23" s="3"/>
      <c r="G23" s="3"/>
      <c r="H23" s="3"/>
    </row>
    <row r="24" spans="1:8" ht="15.75" customHeight="1" x14ac:dyDescent="0.35">
      <c r="A24" s="3"/>
      <c r="B24" s="3"/>
      <c r="C24" s="3"/>
      <c r="D24" s="3"/>
      <c r="E24" s="3"/>
      <c r="F24" s="3"/>
      <c r="G24" s="3"/>
      <c r="H24" s="3"/>
    </row>
    <row r="25" spans="1:8" ht="15.75" customHeight="1" x14ac:dyDescent="0.35">
      <c r="A25" s="3"/>
      <c r="B25" s="3"/>
      <c r="C25" s="3"/>
      <c r="D25" s="3"/>
      <c r="E25" s="3"/>
      <c r="F25" s="3"/>
      <c r="G25" s="3"/>
      <c r="H25" s="3"/>
    </row>
    <row r="26" spans="1:8" ht="15.75" customHeight="1" x14ac:dyDescent="0.35">
      <c r="A26" s="60" t="s">
        <v>35</v>
      </c>
      <c r="B26" s="8" t="s">
        <v>14</v>
      </c>
      <c r="C26" s="7" t="s">
        <v>92</v>
      </c>
      <c r="D26" s="7" t="s">
        <v>93</v>
      </c>
      <c r="E26" s="7" t="s">
        <v>94</v>
      </c>
      <c r="F26" s="8" t="s">
        <v>38</v>
      </c>
      <c r="G26" s="8" t="s">
        <v>39</v>
      </c>
      <c r="H26" s="8" t="s">
        <v>40</v>
      </c>
    </row>
    <row r="27" spans="1:8" ht="15.75" customHeight="1" x14ac:dyDescent="0.35">
      <c r="A27" s="11" t="s">
        <v>41</v>
      </c>
      <c r="B27" s="12" t="s">
        <v>26</v>
      </c>
      <c r="C27" s="37">
        <v>-39.928885000000001</v>
      </c>
      <c r="D27" s="17">
        <f>-39.311584</f>
        <v>-39.311584000000003</v>
      </c>
      <c r="E27" s="17">
        <f>2*-0.496199/2</f>
        <v>-0.496199</v>
      </c>
      <c r="F27" s="17">
        <f t="shared" ref="F27:F30" si="9">ABS(C27-(E27+D27))</f>
        <v>0.12110200000000049</v>
      </c>
      <c r="G27" s="17">
        <f t="shared" ref="G27:G31" si="10">F27*627.503</f>
        <v>75.991868306000313</v>
      </c>
      <c r="H27" s="18">
        <f t="shared" ref="H27:H41" si="11">ABS(G27-$F$2)</f>
        <v>27.20813169399969</v>
      </c>
    </row>
    <row r="28" spans="1:8" ht="15.75" customHeight="1" x14ac:dyDescent="0.35">
      <c r="A28" s="11" t="s">
        <v>41</v>
      </c>
      <c r="B28" s="12" t="s">
        <v>42</v>
      </c>
      <c r="C28" s="38">
        <v>-40.154898000000003</v>
      </c>
      <c r="D28" s="39">
        <v>-39.535707000000002</v>
      </c>
      <c r="E28" s="5">
        <f>-0.498233</f>
        <v>-0.49823299999999998</v>
      </c>
      <c r="F28" s="17">
        <f t="shared" si="9"/>
        <v>0.12095800000000168</v>
      </c>
      <c r="G28" s="5">
        <f t="shared" si="10"/>
        <v>75.901507874001055</v>
      </c>
      <c r="H28" s="20">
        <f t="shared" si="11"/>
        <v>27.298492125998948</v>
      </c>
    </row>
    <row r="29" spans="1:8" ht="15.75" customHeight="1" x14ac:dyDescent="0.35">
      <c r="A29" s="11" t="s">
        <v>41</v>
      </c>
      <c r="B29" s="12" t="s">
        <v>32</v>
      </c>
      <c r="C29" s="38">
        <v>-40.151750999999997</v>
      </c>
      <c r="D29" s="39">
        <v>-39.533226999999997</v>
      </c>
      <c r="E29" s="5">
        <f>-0.499278</f>
        <v>-0.499278</v>
      </c>
      <c r="F29" s="17">
        <f t="shared" si="9"/>
        <v>0.11924600000000396</v>
      </c>
      <c r="G29" s="5">
        <f t="shared" si="10"/>
        <v>74.82722273800249</v>
      </c>
      <c r="H29" s="20">
        <f t="shared" si="11"/>
        <v>28.372777261997513</v>
      </c>
    </row>
    <row r="30" spans="1:8" ht="15.75" customHeight="1" x14ac:dyDescent="0.35">
      <c r="A30" s="21" t="s">
        <v>41</v>
      </c>
      <c r="B30" s="13" t="s">
        <v>33</v>
      </c>
      <c r="C30" s="38">
        <v>-40.152945000000003</v>
      </c>
      <c r="D30" s="39">
        <v>-39.535082000000003</v>
      </c>
      <c r="E30" s="5">
        <f>-0.499334</f>
        <v>-0.499334</v>
      </c>
      <c r="F30" s="17">
        <f t="shared" si="9"/>
        <v>0.11852900000000233</v>
      </c>
      <c r="G30" s="5">
        <f t="shared" si="10"/>
        <v>74.377303087001465</v>
      </c>
      <c r="H30" s="20">
        <f t="shared" si="11"/>
        <v>28.822696912998538</v>
      </c>
    </row>
    <row r="31" spans="1:8" ht="15.75" customHeight="1" x14ac:dyDescent="0.35">
      <c r="A31" s="61" t="s">
        <v>41</v>
      </c>
      <c r="B31" s="62" t="s">
        <v>34</v>
      </c>
      <c r="C31" s="63" t="s">
        <v>95</v>
      </c>
      <c r="D31" s="63" t="s">
        <v>95</v>
      </c>
      <c r="E31" s="64">
        <f>-0.499821</f>
        <v>-0.49982100000000002</v>
      </c>
      <c r="F31" s="65">
        <v>0</v>
      </c>
      <c r="G31" s="64">
        <f t="shared" si="10"/>
        <v>0</v>
      </c>
      <c r="H31" s="66">
        <f t="shared" si="11"/>
        <v>103.2</v>
      </c>
    </row>
    <row r="32" spans="1:8" ht="15.75" customHeight="1" x14ac:dyDescent="0.35">
      <c r="A32" s="22" t="s">
        <v>43</v>
      </c>
      <c r="B32" s="23" t="s">
        <v>44</v>
      </c>
      <c r="C32" s="39">
        <v>-40.255999000000003</v>
      </c>
      <c r="D32" s="39">
        <v>-39.592337999999998</v>
      </c>
      <c r="E32" s="5">
        <f>-0.497311</f>
        <v>-0.497311</v>
      </c>
      <c r="F32" s="17">
        <f t="shared" ref="F32:F35" si="12">ABS(C32-(E32+D32))</f>
        <v>0.16635000000000133</v>
      </c>
      <c r="G32" s="5">
        <f t="shared" ref="G32:G34" si="13">F32*628.5095</f>
        <v>104.55255532500084</v>
      </c>
      <c r="H32" s="24">
        <f t="shared" si="11"/>
        <v>1.3525553250008358</v>
      </c>
    </row>
    <row r="33" spans="1:8" ht="15.75" customHeight="1" x14ac:dyDescent="0.35">
      <c r="A33" s="25" t="s">
        <v>43</v>
      </c>
      <c r="B33" s="26" t="s">
        <v>42</v>
      </c>
      <c r="C33" s="39">
        <v>-40.481363999999999</v>
      </c>
      <c r="D33" s="39">
        <v>-39.817515</v>
      </c>
      <c r="E33" s="5">
        <f>-0.500273</f>
        <v>-0.50027299999999997</v>
      </c>
      <c r="F33" s="17">
        <f t="shared" si="12"/>
        <v>0.16357599999999906</v>
      </c>
      <c r="G33" s="67">
        <f t="shared" si="13"/>
        <v>102.80906997199941</v>
      </c>
      <c r="H33" s="68">
        <f t="shared" si="11"/>
        <v>0.39093002800059651</v>
      </c>
    </row>
    <row r="34" spans="1:8" ht="15.75" customHeight="1" x14ac:dyDescent="0.35">
      <c r="A34" s="25" t="s">
        <v>43</v>
      </c>
      <c r="B34" s="26" t="s">
        <v>32</v>
      </c>
      <c r="C34" s="39">
        <v>-40.472019000000003</v>
      </c>
      <c r="D34" s="39">
        <v>-39.809696000000002</v>
      </c>
      <c r="E34" s="5">
        <f>-0.501258</f>
        <v>-0.50125799999999998</v>
      </c>
      <c r="F34" s="17">
        <f t="shared" si="12"/>
        <v>0.16106500000000068</v>
      </c>
      <c r="G34" s="5">
        <f t="shared" si="13"/>
        <v>101.23088261750043</v>
      </c>
      <c r="H34" s="26">
        <f t="shared" si="11"/>
        <v>1.9691173824995758</v>
      </c>
    </row>
    <row r="35" spans="1:8" ht="15.75" customHeight="1" x14ac:dyDescent="0.35">
      <c r="A35" s="27" t="s">
        <v>43</v>
      </c>
      <c r="B35" s="28" t="s">
        <v>33</v>
      </c>
      <c r="C35" s="39">
        <v>-40.476407000000002</v>
      </c>
      <c r="D35" s="39">
        <v>-39.814703999999999</v>
      </c>
      <c r="E35" s="5">
        <f>-0.501657</f>
        <v>-0.50165700000000002</v>
      </c>
      <c r="F35" s="17">
        <f t="shared" si="12"/>
        <v>0.16004600000000124</v>
      </c>
      <c r="G35" s="5">
        <f>F35*627.503</f>
        <v>100.42934513800078</v>
      </c>
      <c r="H35" s="28">
        <f t="shared" si="11"/>
        <v>2.7706548619992191</v>
      </c>
    </row>
    <row r="36" spans="1:8" ht="15.75" customHeight="1" x14ac:dyDescent="0.35">
      <c r="A36" s="69" t="s">
        <v>43</v>
      </c>
      <c r="B36" s="70" t="s">
        <v>34</v>
      </c>
      <c r="C36" s="63" t="s">
        <v>95</v>
      </c>
      <c r="D36" s="63" t="s">
        <v>95</v>
      </c>
      <c r="E36" s="64">
        <f>-0.50226</f>
        <v>-0.50226000000000004</v>
      </c>
      <c r="F36" s="65">
        <v>0</v>
      </c>
      <c r="G36" s="71">
        <f t="shared" ref="G36:G39" si="14">F36*628.5095</f>
        <v>0</v>
      </c>
      <c r="H36" s="71">
        <f t="shared" si="11"/>
        <v>103.2</v>
      </c>
    </row>
    <row r="37" spans="1:8" ht="15.75" customHeight="1" x14ac:dyDescent="0.35">
      <c r="A37" s="29" t="s">
        <v>45</v>
      </c>
      <c r="B37" s="30" t="s">
        <v>44</v>
      </c>
      <c r="C37" s="38">
        <v>-40.029102999999999</v>
      </c>
      <c r="D37" s="39">
        <v>-39.387850999999998</v>
      </c>
      <c r="E37" s="5">
        <f>-0.496198636018</f>
        <v>-0.49619863601800002</v>
      </c>
      <c r="F37" s="17">
        <f t="shared" ref="F37:F40" si="15">ABS(C37-(E37+D37))</f>
        <v>0.14505336398200086</v>
      </c>
      <c r="G37" s="5">
        <f t="shared" si="14"/>
        <v>91.16741726964537</v>
      </c>
      <c r="H37" s="20">
        <f t="shared" si="11"/>
        <v>12.032582730354633</v>
      </c>
    </row>
    <row r="38" spans="1:8" ht="15.75" customHeight="1" x14ac:dyDescent="0.35">
      <c r="A38" s="11" t="s">
        <v>45</v>
      </c>
      <c r="B38" s="12" t="s">
        <v>42</v>
      </c>
      <c r="C38" s="38">
        <v>-40.319713999999998</v>
      </c>
      <c r="D38" s="39">
        <v>-39.665550000000003</v>
      </c>
      <c r="E38" s="5">
        <f>-0.498232909202</f>
        <v>-0.49823290920199997</v>
      </c>
      <c r="F38" s="17">
        <f t="shared" si="15"/>
        <v>0.15593109079799206</v>
      </c>
      <c r="G38" s="5">
        <f t="shared" si="14"/>
        <v>98.004171911900585</v>
      </c>
      <c r="H38" s="20">
        <f t="shared" si="11"/>
        <v>5.1958280880994181</v>
      </c>
    </row>
    <row r="39" spans="1:8" ht="15.75" customHeight="1" x14ac:dyDescent="0.35">
      <c r="A39" s="11" t="s">
        <v>45</v>
      </c>
      <c r="B39" s="12" t="s">
        <v>32</v>
      </c>
      <c r="C39" s="38">
        <v>-40.314791</v>
      </c>
      <c r="D39" s="39">
        <v>-39.660608000000003</v>
      </c>
      <c r="E39" s="5">
        <f>-0.49927840342</f>
        <v>-0.49927840342000002</v>
      </c>
      <c r="F39" s="17">
        <f t="shared" si="15"/>
        <v>0.15490459657999622</v>
      </c>
      <c r="G39" s="5">
        <f t="shared" si="14"/>
        <v>97.359010544195144</v>
      </c>
      <c r="H39" s="20">
        <f t="shared" si="11"/>
        <v>5.8409894558048592</v>
      </c>
    </row>
    <row r="40" spans="1:8" ht="15.75" customHeight="1" x14ac:dyDescent="0.35">
      <c r="A40" s="11" t="s">
        <v>45</v>
      </c>
      <c r="B40" s="12" t="s">
        <v>33</v>
      </c>
      <c r="C40" s="38">
        <v>-40.152945000000003</v>
      </c>
      <c r="D40" s="39">
        <v>-39.535082000000003</v>
      </c>
      <c r="E40" s="5">
        <f>-0.49933431544</f>
        <v>-0.49933431544000001</v>
      </c>
      <c r="F40" s="17">
        <f t="shared" si="15"/>
        <v>0.11852868455999754</v>
      </c>
      <c r="G40" s="5">
        <f>F40*627.503</f>
        <v>74.377105147452141</v>
      </c>
      <c r="H40" s="20">
        <f t="shared" si="11"/>
        <v>28.822894852547861</v>
      </c>
    </row>
    <row r="41" spans="1:8" ht="15.75" customHeight="1" x14ac:dyDescent="0.35">
      <c r="A41" s="72" t="s">
        <v>45</v>
      </c>
      <c r="B41" s="73" t="s">
        <v>34</v>
      </c>
      <c r="C41" s="63" t="s">
        <v>95</v>
      </c>
      <c r="D41" s="63" t="s">
        <v>95</v>
      </c>
      <c r="E41" s="74">
        <v>-0.499821176024</v>
      </c>
      <c r="F41" s="65">
        <v>0</v>
      </c>
      <c r="G41" s="75">
        <f>F41*628.5095</f>
        <v>0</v>
      </c>
      <c r="H41" s="76">
        <f t="shared" si="11"/>
        <v>103.2</v>
      </c>
    </row>
    <row r="42" spans="1:8" ht="15.75" customHeight="1" x14ac:dyDescent="0.35"/>
    <row r="43" spans="1:8" ht="15.75" customHeight="1" x14ac:dyDescent="0.35"/>
    <row r="44" spans="1:8" ht="15.75" customHeight="1" x14ac:dyDescent="0.35">
      <c r="A44" s="1" t="s">
        <v>47</v>
      </c>
    </row>
    <row r="45" spans="1:8" ht="15.75" customHeight="1" x14ac:dyDescent="0.35"/>
    <row r="46" spans="1:8" ht="15.75" customHeight="1" x14ac:dyDescent="0.35">
      <c r="A46" s="60" t="s">
        <v>35</v>
      </c>
      <c r="B46" s="8" t="s">
        <v>14</v>
      </c>
      <c r="C46" s="7" t="s">
        <v>92</v>
      </c>
      <c r="D46" s="7" t="s">
        <v>93</v>
      </c>
      <c r="E46" s="7" t="s">
        <v>94</v>
      </c>
      <c r="F46" s="8" t="s">
        <v>38</v>
      </c>
      <c r="G46" s="8" t="s">
        <v>39</v>
      </c>
      <c r="H46" s="8" t="s">
        <v>40</v>
      </c>
    </row>
    <row r="47" spans="1:8" ht="15.75" customHeight="1" x14ac:dyDescent="0.35">
      <c r="A47" s="11" t="s">
        <v>41</v>
      </c>
      <c r="B47" s="12" t="s">
        <v>26</v>
      </c>
      <c r="C47" s="37">
        <v>-39.954618379999999</v>
      </c>
      <c r="D47" s="77">
        <v>-39.19159294</v>
      </c>
      <c r="E47" s="77">
        <v>-0.49619864000000002</v>
      </c>
      <c r="F47" s="17">
        <f t="shared" ref="F47:F61" si="16">ABS(C47-(E47+D47))</f>
        <v>0.26682679999999692</v>
      </c>
      <c r="G47" s="17">
        <f t="shared" ref="G47:G51" si="17">F47*627.503</f>
        <v>167.43461748039809</v>
      </c>
      <c r="H47" s="18">
        <f t="shared" ref="H47:H61" si="18">ABS(G47-$F$2)</f>
        <v>64.234617480398086</v>
      </c>
    </row>
    <row r="48" spans="1:8" ht="15.75" customHeight="1" x14ac:dyDescent="0.35">
      <c r="A48" s="11" t="s">
        <v>41</v>
      </c>
      <c r="B48" s="12" t="s">
        <v>42</v>
      </c>
      <c r="C48" s="38">
        <v>-40.179612759999998</v>
      </c>
      <c r="D48" s="39">
        <v>-39.42469457</v>
      </c>
      <c r="E48" s="39">
        <f>'H2=2H'!D53/2</f>
        <v>-0.49823290999999997</v>
      </c>
      <c r="F48" s="17">
        <f t="shared" si="16"/>
        <v>0.25668527999999924</v>
      </c>
      <c r="G48" s="5">
        <f t="shared" si="17"/>
        <v>161.07078325583953</v>
      </c>
      <c r="H48" s="20">
        <f t="shared" si="18"/>
        <v>57.870783255839527</v>
      </c>
    </row>
    <row r="49" spans="1:8" ht="15.75" customHeight="1" x14ac:dyDescent="0.35">
      <c r="A49" s="11" t="s">
        <v>41</v>
      </c>
      <c r="B49" s="12" t="s">
        <v>32</v>
      </c>
      <c r="C49" s="38">
        <v>-40.172083190000002</v>
      </c>
      <c r="D49" s="39">
        <v>-39.418559469999998</v>
      </c>
      <c r="E49" s="39">
        <f>'H2=2H'!D54/2</f>
        <v>-0.49927840000000001</v>
      </c>
      <c r="F49" s="17">
        <f t="shared" si="16"/>
        <v>0.25424532000000255</v>
      </c>
      <c r="G49" s="5">
        <f t="shared" si="17"/>
        <v>159.5397010359616</v>
      </c>
      <c r="H49" s="20">
        <f t="shared" si="18"/>
        <v>56.339701035961596</v>
      </c>
    </row>
    <row r="50" spans="1:8" ht="15.75" customHeight="1" x14ac:dyDescent="0.35">
      <c r="A50" s="21" t="s">
        <v>41</v>
      </c>
      <c r="B50" s="13" t="s">
        <v>33</v>
      </c>
      <c r="C50" s="38">
        <v>-40.174060220000001</v>
      </c>
      <c r="D50" s="39">
        <v>-39.421457770000004</v>
      </c>
      <c r="E50" s="39">
        <f>'H2=2H'!D55/2</f>
        <v>-0.49933432</v>
      </c>
      <c r="F50" s="17">
        <f t="shared" si="16"/>
        <v>0.25326812999999504</v>
      </c>
      <c r="G50" s="5">
        <f t="shared" si="17"/>
        <v>158.92651137938691</v>
      </c>
      <c r="H50" s="20">
        <f t="shared" si="18"/>
        <v>55.726511379386906</v>
      </c>
    </row>
    <row r="51" spans="1:8" ht="15.75" customHeight="1" x14ac:dyDescent="0.35">
      <c r="A51" s="61" t="s">
        <v>41</v>
      </c>
      <c r="B51" s="62" t="s">
        <v>34</v>
      </c>
      <c r="C51" s="63" t="s">
        <v>95</v>
      </c>
      <c r="D51" s="63" t="s">
        <v>95</v>
      </c>
      <c r="E51" s="64" t="e">
        <f>D51*627.503</f>
        <v>#VALUE!</v>
      </c>
      <c r="F51" s="78" t="e">
        <f t="shared" si="16"/>
        <v>#VALUE!</v>
      </c>
      <c r="G51" s="64" t="e">
        <f t="shared" si="17"/>
        <v>#VALUE!</v>
      </c>
      <c r="H51" s="66" t="e">
        <f t="shared" si="18"/>
        <v>#VALUE!</v>
      </c>
    </row>
    <row r="52" spans="1:8" ht="15.75" customHeight="1" x14ac:dyDescent="0.35">
      <c r="A52" s="22" t="s">
        <v>43</v>
      </c>
      <c r="B52" s="23" t="s">
        <v>44</v>
      </c>
      <c r="C52" s="39">
        <v>-40.239042269999999</v>
      </c>
      <c r="D52" s="39">
        <v>-39.444713839999999</v>
      </c>
      <c r="E52" s="39">
        <f>'H2=2H'!D57/2</f>
        <v>-0.49388664999999998</v>
      </c>
      <c r="F52" s="17">
        <f t="shared" si="16"/>
        <v>0.30044177999999988</v>
      </c>
      <c r="G52" s="5">
        <f t="shared" ref="G52:G54" si="19">F52*628.5095</f>
        <v>188.83051292690993</v>
      </c>
      <c r="H52" s="24">
        <f t="shared" si="18"/>
        <v>85.63051292690993</v>
      </c>
    </row>
    <row r="53" spans="1:8" ht="15.75" customHeight="1" x14ac:dyDescent="0.35">
      <c r="A53" s="25" t="s">
        <v>43</v>
      </c>
      <c r="B53" s="26" t="s">
        <v>42</v>
      </c>
      <c r="C53" s="39">
        <v>-40.463311750000003</v>
      </c>
      <c r="D53" s="39">
        <v>-39.678503679999999</v>
      </c>
      <c r="E53" s="39">
        <f>'H2=2H'!D58/2</f>
        <v>-0.49686205</v>
      </c>
      <c r="F53" s="17">
        <f t="shared" si="16"/>
        <v>0.2879460200000068</v>
      </c>
      <c r="G53" s="5">
        <f t="shared" si="19"/>
        <v>180.97680905719426</v>
      </c>
      <c r="H53" s="26">
        <f t="shared" si="18"/>
        <v>77.776809057194257</v>
      </c>
    </row>
    <row r="54" spans="1:8" ht="15.75" customHeight="1" x14ac:dyDescent="0.35">
      <c r="A54" s="25" t="s">
        <v>43</v>
      </c>
      <c r="B54" s="26" t="s">
        <v>32</v>
      </c>
      <c r="C54" s="39">
        <v>-40.449990890000002</v>
      </c>
      <c r="D54" s="39">
        <v>-39.668401629999998</v>
      </c>
      <c r="E54" s="39">
        <f>'H2=2H'!D59/2</f>
        <v>-0.49785866000000001</v>
      </c>
      <c r="F54" s="17">
        <f t="shared" si="16"/>
        <v>0.2837306000000055</v>
      </c>
      <c r="G54" s="5">
        <f t="shared" si="19"/>
        <v>178.32737754070345</v>
      </c>
      <c r="H54" s="26">
        <f t="shared" si="18"/>
        <v>75.127377540703449</v>
      </c>
    </row>
    <row r="55" spans="1:8" ht="15.75" customHeight="1" x14ac:dyDescent="0.35">
      <c r="A55" s="27" t="s">
        <v>43</v>
      </c>
      <c r="B55" s="28" t="s">
        <v>33</v>
      </c>
      <c r="C55" s="39">
        <v>-40.456237350000002</v>
      </c>
      <c r="D55" s="39">
        <v>-39.674310370000001</v>
      </c>
      <c r="E55" s="39">
        <f>'H2=2H'!D60/2</f>
        <v>-0.49826981999999997</v>
      </c>
      <c r="F55" s="17">
        <f t="shared" si="16"/>
        <v>0.28365716000000418</v>
      </c>
      <c r="G55" s="5">
        <f>F55*627.503</f>
        <v>177.99571887148264</v>
      </c>
      <c r="H55" s="28">
        <f t="shared" si="18"/>
        <v>74.795718871482634</v>
      </c>
    </row>
    <row r="56" spans="1:8" ht="15.75" customHeight="1" x14ac:dyDescent="0.35">
      <c r="A56" s="69" t="s">
        <v>43</v>
      </c>
      <c r="B56" s="70" t="s">
        <v>34</v>
      </c>
      <c r="C56" s="63" t="s">
        <v>95</v>
      </c>
      <c r="D56" s="63" t="s">
        <v>95</v>
      </c>
      <c r="E56" s="64" t="e">
        <f>D56*627.503</f>
        <v>#VALUE!</v>
      </c>
      <c r="F56" s="78" t="e">
        <f t="shared" si="16"/>
        <v>#VALUE!</v>
      </c>
      <c r="G56" s="71" t="e">
        <f t="shared" ref="G56:G59" si="20">F56*628.5095</f>
        <v>#VALUE!</v>
      </c>
      <c r="H56" s="71" t="e">
        <f t="shared" si="18"/>
        <v>#VALUE!</v>
      </c>
    </row>
    <row r="57" spans="1:8" ht="15.75" customHeight="1" x14ac:dyDescent="0.35">
      <c r="A57" s="29" t="s">
        <v>45</v>
      </c>
      <c r="B57" s="30" t="s">
        <v>44</v>
      </c>
      <c r="C57" s="38">
        <v>-40.048908439999998</v>
      </c>
      <c r="D57" s="39">
        <v>-39.19159294</v>
      </c>
      <c r="E57" s="39">
        <f>'H2=2H'!D62/2</f>
        <v>-0.49619863601800002</v>
      </c>
      <c r="F57" s="17">
        <f t="shared" si="16"/>
        <v>0.36111686398199794</v>
      </c>
      <c r="G57" s="5">
        <f t="shared" si="20"/>
        <v>226.96537962289352</v>
      </c>
      <c r="H57" s="20">
        <f t="shared" si="18"/>
        <v>123.76537962289352</v>
      </c>
    </row>
    <row r="58" spans="1:8" ht="15.75" customHeight="1" x14ac:dyDescent="0.35">
      <c r="A58" s="11" t="s">
        <v>45</v>
      </c>
      <c r="B58" s="12" t="s">
        <v>42</v>
      </c>
      <c r="C58" s="38">
        <v>-40.34110201</v>
      </c>
      <c r="D58" s="39">
        <v>-39.42469457</v>
      </c>
      <c r="E58" s="39">
        <f>'H2=2H'!D63/2</f>
        <v>-0.49823290920199997</v>
      </c>
      <c r="F58" s="17">
        <f t="shared" si="16"/>
        <v>0.41817453079799805</v>
      </c>
      <c r="G58" s="5">
        <f t="shared" si="20"/>
        <v>262.82666526458434</v>
      </c>
      <c r="H58" s="20">
        <f t="shared" si="18"/>
        <v>159.62666526458435</v>
      </c>
    </row>
    <row r="59" spans="1:8" ht="15.75" customHeight="1" x14ac:dyDescent="0.35">
      <c r="A59" s="11" t="s">
        <v>45</v>
      </c>
      <c r="B59" s="12" t="s">
        <v>32</v>
      </c>
      <c r="C59" s="38">
        <v>-40.329210019999998</v>
      </c>
      <c r="D59" s="79">
        <v>-39.418559469999998</v>
      </c>
      <c r="E59" s="39">
        <f>'H2=2H'!D64/2</f>
        <v>-0.49927840342000002</v>
      </c>
      <c r="F59" s="17">
        <f t="shared" si="16"/>
        <v>0.41137214657999976</v>
      </c>
      <c r="G59" s="5">
        <f t="shared" si="20"/>
        <v>258.55130216092238</v>
      </c>
      <c r="H59" s="20">
        <f t="shared" si="18"/>
        <v>155.35130216092239</v>
      </c>
    </row>
    <row r="60" spans="1:8" ht="15.75" customHeight="1" x14ac:dyDescent="0.35">
      <c r="A60" s="11" t="s">
        <v>45</v>
      </c>
      <c r="B60" s="12" t="s">
        <v>33</v>
      </c>
      <c r="C60" s="38">
        <v>-40.337969270000002</v>
      </c>
      <c r="D60" s="39">
        <v>-39.421457770000004</v>
      </c>
      <c r="E60" s="39">
        <f>'H2=2H'!D65/2</f>
        <v>-0.49933431544000001</v>
      </c>
      <c r="F60" s="17">
        <f t="shared" si="16"/>
        <v>0.41717718455999631</v>
      </c>
      <c r="G60" s="5">
        <f>F60*627.503</f>
        <v>261.77993484295138</v>
      </c>
      <c r="H60" s="20">
        <f t="shared" si="18"/>
        <v>158.57993484295139</v>
      </c>
    </row>
    <row r="61" spans="1:8" ht="15.75" customHeight="1" x14ac:dyDescent="0.35">
      <c r="A61" s="72" t="s">
        <v>45</v>
      </c>
      <c r="B61" s="73" t="s">
        <v>34</v>
      </c>
      <c r="C61" s="63" t="s">
        <v>95</v>
      </c>
      <c r="D61" s="63" t="s">
        <v>95</v>
      </c>
      <c r="E61" s="64" t="e">
        <f>D61*627.503</f>
        <v>#VALUE!</v>
      </c>
      <c r="F61" s="78" t="e">
        <f t="shared" si="16"/>
        <v>#VALUE!</v>
      </c>
      <c r="G61" s="75" t="e">
        <f>F61*628.5095</f>
        <v>#VALUE!</v>
      </c>
      <c r="H61" s="76" t="e">
        <f t="shared" si="18"/>
        <v>#VALUE!</v>
      </c>
    </row>
    <row r="62" spans="1:8" ht="15.75" customHeight="1" x14ac:dyDescent="0.35">
      <c r="C62" s="14"/>
    </row>
    <row r="63" spans="1:8" ht="15.75" customHeight="1" x14ac:dyDescent="0.35"/>
    <row r="64" spans="1:8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</sheetData>
  <pageMargins left="0.7" right="0.7" top="0.75" bottom="0.75" header="0" footer="0"/>
  <pageSetup paperSize="9"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H2=2H</vt:lpstr>
      <vt:lpstr>Calculation basis</vt:lpstr>
      <vt:lpstr>CH4=CH3+H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Gentile</dc:creator>
  <cp:lastModifiedBy>Giuseppe Gentile</cp:lastModifiedBy>
  <dcterms:created xsi:type="dcterms:W3CDTF">2024-05-03T13:59:54Z</dcterms:created>
  <dcterms:modified xsi:type="dcterms:W3CDTF">2024-06-22T10:37:38Z</dcterms:modified>
</cp:coreProperties>
</file>