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useppe\Documents\.magistrale\secondo anno\Process\Final\project 10\"/>
    </mc:Choice>
  </mc:AlternateContent>
  <xr:revisionPtr revIDLastSave="0" documentId="13_ncr:1_{98D21BF7-7392-4439-83BF-7D7851D190B9}" xr6:coauthVersionLast="47" xr6:coauthVersionMax="47" xr10:uidLastSave="{00000000-0000-0000-0000-000000000000}"/>
  <bookViews>
    <workbookView xWindow="-120" yWindow="-120" windowWidth="29040" windowHeight="16440" activeTab="3" xr2:uid="{B2857D79-01BD-4509-B5E7-523680E9FE6A}"/>
  </bookViews>
  <sheets>
    <sheet name="Ions" sheetId="1" r:id="rId1"/>
    <sheet name="Acids" sheetId="2" r:id="rId2"/>
    <sheet name="Foglio3" sheetId="3" r:id="rId3"/>
    <sheet name="Foglio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4" l="1"/>
  <c r="B9" i="4"/>
  <c r="C9" i="4" s="1"/>
  <c r="B8" i="4"/>
  <c r="C8" i="4" s="1"/>
  <c r="B5" i="4"/>
  <c r="C5" i="4" s="1"/>
  <c r="C10" i="4" s="1"/>
  <c r="B27" i="3"/>
  <c r="C27" i="3"/>
  <c r="B32" i="3"/>
  <c r="C32" i="3"/>
  <c r="B33" i="3"/>
  <c r="C33" i="3"/>
  <c r="C35" i="3"/>
  <c r="C38" i="3" s="1"/>
  <c r="O27" i="3"/>
  <c r="P27" i="3"/>
  <c r="O32" i="3"/>
  <c r="P32" i="3"/>
  <c r="O33" i="3"/>
  <c r="P33" i="3"/>
  <c r="P35" i="3"/>
  <c r="P38" i="3"/>
  <c r="B11" i="3"/>
  <c r="C11" i="3" s="1"/>
  <c r="B10" i="3"/>
  <c r="C10" i="3" s="1"/>
  <c r="B5" i="3"/>
  <c r="C5" i="3" s="1"/>
  <c r="B17" i="2"/>
  <c r="M22" i="2"/>
  <c r="M25" i="2" s="1"/>
  <c r="M23" i="2"/>
  <c r="M20" i="2"/>
  <c r="M19" i="2"/>
  <c r="M18" i="2"/>
  <c r="M17" i="2"/>
  <c r="G25" i="2"/>
  <c r="S12" i="2"/>
  <c r="H13" i="2"/>
  <c r="S8" i="2"/>
  <c r="I25" i="2"/>
  <c r="I24" i="2"/>
  <c r="I22" i="2"/>
  <c r="B31" i="2"/>
  <c r="C17" i="2"/>
  <c r="C19" i="2"/>
  <c r="H25" i="2"/>
  <c r="H24" i="2"/>
  <c r="H22" i="2"/>
  <c r="H18" i="2"/>
  <c r="H19" i="2"/>
  <c r="H20" i="2"/>
  <c r="H17" i="2"/>
  <c r="H4" i="2"/>
  <c r="H5" i="2"/>
  <c r="H6" i="2"/>
  <c r="H10" i="2"/>
  <c r="H11" i="2"/>
  <c r="H12" i="2"/>
  <c r="H3" i="2"/>
  <c r="K20" i="2"/>
  <c r="K19" i="2"/>
  <c r="K18" i="2"/>
  <c r="K17" i="2"/>
  <c r="G23" i="2"/>
  <c r="D15" i="1"/>
  <c r="G19" i="2"/>
  <c r="G20" i="2"/>
  <c r="G18" i="2"/>
  <c r="G17" i="2"/>
  <c r="C13" i="3" l="1"/>
  <c r="C15" i="3" s="1"/>
  <c r="D16" i="3"/>
  <c r="K22" i="2"/>
  <c r="K25" i="2"/>
  <c r="K23" i="2"/>
  <c r="G22" i="2"/>
  <c r="B19" i="2"/>
  <c r="E20" i="1"/>
  <c r="D20" i="1"/>
  <c r="E16" i="1"/>
  <c r="E18" i="1"/>
  <c r="D18" i="1"/>
  <c r="D16" i="1"/>
  <c r="C15" i="1"/>
  <c r="E15" i="1"/>
  <c r="D19" i="1"/>
  <c r="E19" i="1" s="1"/>
  <c r="C19" i="1"/>
  <c r="D17" i="1"/>
  <c r="E17" i="1" s="1"/>
  <c r="C17" i="1"/>
</calcChain>
</file>

<file path=xl/sharedStrings.xml><?xml version="1.0" encoding="utf-8"?>
<sst xmlns="http://schemas.openxmlformats.org/spreadsheetml/2006/main" count="158" uniqueCount="60">
  <si>
    <t>NH2-</t>
  </si>
  <si>
    <t>water</t>
  </si>
  <si>
    <t>Solvent</t>
  </si>
  <si>
    <t>Electrostatic potential method</t>
  </si>
  <si>
    <t>PCM</t>
  </si>
  <si>
    <t>Energy gas phase [kJ]</t>
  </si>
  <si>
    <t>Energy solution [kJ]</t>
  </si>
  <si>
    <t>ΔG</t>
  </si>
  <si>
    <t>Ion</t>
  </si>
  <si>
    <t>self-consistent reaction field (SCRF) method such as the Polarizable Continuum Model (PCM) to model the solvent.</t>
  </si>
  <si>
    <t>HO2-</t>
  </si>
  <si>
    <t>CH3O-</t>
  </si>
  <si>
    <t>Literature values</t>
  </si>
  <si>
    <t>B3LYP/6-31+g(d,p)</t>
  </si>
  <si>
    <t>SCRF method</t>
  </si>
  <si>
    <t>CPCM</t>
  </si>
  <si>
    <t>HCOO-</t>
  </si>
  <si>
    <t>GAS PHASE</t>
  </si>
  <si>
    <t>SOLUTION PHASE</t>
  </si>
  <si>
    <t>H+</t>
  </si>
  <si>
    <t>SCF</t>
  </si>
  <si>
    <t xml:space="preserve">G diss </t>
  </si>
  <si>
    <t>HA</t>
  </si>
  <si>
    <t>H2O</t>
  </si>
  <si>
    <t>H3O</t>
  </si>
  <si>
    <t>deltaG</t>
  </si>
  <si>
    <t>A-</t>
  </si>
  <si>
    <t>final [A.U.]</t>
  </si>
  <si>
    <t>final [kJ]</t>
  </si>
  <si>
    <t xml:space="preserve">final </t>
  </si>
  <si>
    <t>pka</t>
  </si>
  <si>
    <t>final [kcal]</t>
  </si>
  <si>
    <t>R [J/molK]</t>
  </si>
  <si>
    <t>R [kcal/molK]</t>
  </si>
  <si>
    <t>Paper</t>
  </si>
  <si>
    <t>Acido</t>
  </si>
  <si>
    <t>Acido solv</t>
  </si>
  <si>
    <t>Anione</t>
  </si>
  <si>
    <t>Anione solv</t>
  </si>
  <si>
    <t>DeltaG acido</t>
  </si>
  <si>
    <t>DeltaG anione</t>
  </si>
  <si>
    <t>DeltaG h2o</t>
  </si>
  <si>
    <t>DeltaG h3o</t>
  </si>
  <si>
    <t>deltaGg</t>
  </si>
  <si>
    <t>deltaG soln</t>
  </si>
  <si>
    <t>Hartree</t>
  </si>
  <si>
    <t>kcal/mole</t>
  </si>
  <si>
    <t>HA solv</t>
  </si>
  <si>
    <t>A- solv</t>
  </si>
  <si>
    <t>log h2o</t>
  </si>
  <si>
    <t>R [kcal/mol]</t>
  </si>
  <si>
    <t>log H2O</t>
  </si>
  <si>
    <t>Correction</t>
  </si>
  <si>
    <t>http://pogorelov.scs.illinois.edu/wp-content/uploads/2019/09/pKa_Estimations_Tutorial_web.pdf</t>
  </si>
  <si>
    <t xml:space="preserve"> Sum of electronic and thermal Energies</t>
  </si>
  <si>
    <t>Correction factor</t>
  </si>
  <si>
    <t>DeltaG HA</t>
  </si>
  <si>
    <t>DeltaG A-</t>
  </si>
  <si>
    <t>DeltaG H2O</t>
  </si>
  <si>
    <t>DeltaG H3O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</si>
</sst>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569CD6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14" xfId="0" applyBorder="1" applyAlignment="1">
      <alignment horizontal="center"/>
    </xf>
    <xf numFmtId="11" fontId="2" fillId="2" borderId="3" xfId="1" applyNumberFormat="1" applyBorder="1" applyAlignment="1">
      <alignment horizontal="center"/>
    </xf>
  </cellXfs>
  <cellStyles count="2"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3C5F-08E8-4A6E-9E95-BC7D300801B4}">
  <dimension ref="A1:J20"/>
  <sheetViews>
    <sheetView topLeftCell="A3" workbookViewId="0">
      <selection activeCell="D15" sqref="D15"/>
    </sheetView>
  </sheetViews>
  <sheetFormatPr defaultRowHeight="15" x14ac:dyDescent="0.25"/>
  <cols>
    <col min="1" max="1" width="27.85546875" style="1" bestFit="1" customWidth="1"/>
    <col min="2" max="2" width="33.42578125" style="1" bestFit="1" customWidth="1"/>
    <col min="3" max="3" width="29" style="1" customWidth="1"/>
    <col min="4" max="4" width="36" style="1" customWidth="1"/>
    <col min="5" max="5" width="19.140625" style="1" customWidth="1"/>
    <col min="6" max="16384" width="9.140625" style="1"/>
  </cols>
  <sheetData>
    <row r="1" spans="1:10" x14ac:dyDescent="0.25">
      <c r="A1" s="1" t="s">
        <v>13</v>
      </c>
    </row>
    <row r="2" spans="1:10" ht="15.75" thickBot="1" x14ac:dyDescent="0.3"/>
    <row r="3" spans="1:10" ht="15.75" thickBot="1" x14ac:dyDescent="0.3">
      <c r="A3" s="2" t="s">
        <v>2</v>
      </c>
      <c r="B3" s="3" t="s">
        <v>1</v>
      </c>
    </row>
    <row r="4" spans="1:10" ht="15.75" thickBot="1" x14ac:dyDescent="0.3">
      <c r="A4" s="2" t="s">
        <v>3</v>
      </c>
      <c r="B4" s="3" t="s">
        <v>4</v>
      </c>
    </row>
    <row r="5" spans="1:10" ht="15.75" thickBot="1" x14ac:dyDescent="0.3">
      <c r="J5" t="s">
        <v>9</v>
      </c>
    </row>
    <row r="6" spans="1:10" ht="15.75" thickBot="1" x14ac:dyDescent="0.3">
      <c r="A6" s="7" t="s">
        <v>8</v>
      </c>
      <c r="B6" s="8" t="s">
        <v>12</v>
      </c>
    </row>
    <row r="7" spans="1:10" x14ac:dyDescent="0.25">
      <c r="A7" s="6" t="s">
        <v>0</v>
      </c>
      <c r="B7" s="6"/>
      <c r="C7"/>
    </row>
    <row r="8" spans="1:10" x14ac:dyDescent="0.25">
      <c r="A8" s="5" t="s">
        <v>10</v>
      </c>
      <c r="B8" s="5"/>
    </row>
    <row r="9" spans="1:10" x14ac:dyDescent="0.25">
      <c r="A9" s="5" t="s">
        <v>11</v>
      </c>
      <c r="B9" s="5"/>
    </row>
    <row r="13" spans="1:10" ht="15.75" thickBot="1" x14ac:dyDescent="0.3"/>
    <row r="14" spans="1:10" ht="15.75" thickBot="1" x14ac:dyDescent="0.3">
      <c r="A14" s="30" t="s">
        <v>8</v>
      </c>
      <c r="B14" s="30" t="s">
        <v>14</v>
      </c>
      <c r="C14" s="30" t="s">
        <v>5</v>
      </c>
      <c r="D14" s="30" t="s">
        <v>6</v>
      </c>
      <c r="E14" s="30" t="s">
        <v>7</v>
      </c>
    </row>
    <row r="15" spans="1:10" ht="15.75" thickBot="1" x14ac:dyDescent="0.3">
      <c r="A15" s="26" t="s">
        <v>0</v>
      </c>
      <c r="B15" s="27" t="s">
        <v>4</v>
      </c>
      <c r="C15" s="27">
        <f>-55.9339985319*2625.5</f>
        <v>-146854.71314550345</v>
      </c>
      <c r="D15" s="28">
        <f>-56.0530839446*2625.5</f>
        <v>-147167.37189654729</v>
      </c>
      <c r="E15" s="29">
        <f>D15-C15</f>
        <v>-312.65875104384031</v>
      </c>
    </row>
    <row r="16" spans="1:10" ht="15.75" thickBot="1" x14ac:dyDescent="0.3">
      <c r="A16" s="14" t="s">
        <v>0</v>
      </c>
      <c r="B16" s="15" t="s">
        <v>15</v>
      </c>
      <c r="C16" s="27"/>
      <c r="D16" s="16">
        <f>-56.0484608188*2625.5</f>
        <v>-147155.23387975941</v>
      </c>
      <c r="E16" s="17">
        <f>(D16-C15)</f>
        <v>-300.52073425595881</v>
      </c>
    </row>
    <row r="17" spans="1:5" ht="15.75" thickBot="1" x14ac:dyDescent="0.3">
      <c r="A17" s="18" t="s">
        <v>10</v>
      </c>
      <c r="B17" s="19" t="s">
        <v>4</v>
      </c>
      <c r="C17" s="19">
        <f>-150.995463364*2625.5</f>
        <v>-396438.58906218194</v>
      </c>
      <c r="D17" s="20">
        <f xml:space="preserve"> -151.118202186*2625.5</f>
        <v>-396760.83983934298</v>
      </c>
      <c r="E17" s="21">
        <f t="shared" ref="E17:E18" si="0">D17-C17</f>
        <v>-322.25077716103988</v>
      </c>
    </row>
    <row r="18" spans="1:5" ht="15.75" thickBot="1" x14ac:dyDescent="0.3">
      <c r="A18" s="18" t="s">
        <v>10</v>
      </c>
      <c r="B18" s="19" t="s">
        <v>15</v>
      </c>
      <c r="C18" s="19"/>
      <c r="D18" s="20">
        <f>-151.118283609*2625.5</f>
        <v>-396761.0536154295</v>
      </c>
      <c r="E18" s="21">
        <f>D18-C17</f>
        <v>-322.46455324755516</v>
      </c>
    </row>
    <row r="19" spans="1:5" ht="15.75" thickBot="1" x14ac:dyDescent="0.3">
      <c r="A19" s="22" t="s">
        <v>11</v>
      </c>
      <c r="B19" s="23" t="s">
        <v>4</v>
      </c>
      <c r="C19" s="23">
        <f>-115.146813781*2625.5</f>
        <v>-302317.95958201552</v>
      </c>
      <c r="D19" s="24">
        <f>-115.260659341*2625.5</f>
        <v>-302616.8610997955</v>
      </c>
      <c r="E19" s="25">
        <f>D19-C19</f>
        <v>-298.9015177799738</v>
      </c>
    </row>
    <row r="20" spans="1:5" ht="15.75" thickBot="1" x14ac:dyDescent="0.3">
      <c r="A20" s="22" t="s">
        <v>11</v>
      </c>
      <c r="B20" s="23" t="s">
        <v>15</v>
      </c>
      <c r="C20" s="23"/>
      <c r="D20" s="24">
        <f>-115.260736975*2625.5</f>
        <v>-302617.06492786249</v>
      </c>
      <c r="E20" s="25">
        <f>D20-C19</f>
        <v>-299.1053458469687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3FC7-5A80-4806-B6AB-01624B7F8568}">
  <dimension ref="A1:S36"/>
  <sheetViews>
    <sheetView workbookViewId="0">
      <selection activeCell="P1" sqref="P1:P4"/>
    </sheetView>
  </sheetViews>
  <sheetFormatPr defaultRowHeight="15" x14ac:dyDescent="0.25"/>
  <cols>
    <col min="1" max="1" width="16.140625" style="1" bestFit="1" customWidth="1"/>
    <col min="2" max="2" width="16.42578125" style="1" customWidth="1"/>
    <col min="3" max="3" width="10.7109375" style="1" bestFit="1" customWidth="1"/>
    <col min="4" max="5" width="9.140625" style="1"/>
    <col min="6" max="6" width="16.140625" style="1" bestFit="1" customWidth="1"/>
    <col min="7" max="7" width="12.7109375" style="1" bestFit="1" customWidth="1"/>
    <col min="8" max="8" width="14.28515625" style="1" customWidth="1"/>
    <col min="9" max="9" width="13.7109375" style="1" bestFit="1" customWidth="1"/>
    <col min="10" max="10" width="16.140625" style="1" bestFit="1" customWidth="1"/>
    <col min="11" max="11" width="21.7109375" style="1" customWidth="1"/>
    <col min="12" max="12" width="9.140625" style="1"/>
    <col min="13" max="13" width="15.5703125" style="1" customWidth="1"/>
    <col min="14" max="16384" width="9.140625" style="1"/>
  </cols>
  <sheetData>
    <row r="1" spans="1:19" x14ac:dyDescent="0.25">
      <c r="P1" s="1" t="s">
        <v>32</v>
      </c>
    </row>
    <row r="2" spans="1:19" x14ac:dyDescent="0.25">
      <c r="A2" s="1" t="s">
        <v>17</v>
      </c>
      <c r="B2" s="1" t="s">
        <v>20</v>
      </c>
      <c r="F2" s="1" t="s">
        <v>17</v>
      </c>
      <c r="G2" s="1" t="s">
        <v>20</v>
      </c>
      <c r="I2" s="1" t="s">
        <v>34</v>
      </c>
      <c r="J2" s="1" t="s">
        <v>17</v>
      </c>
      <c r="K2" s="1" t="s">
        <v>20</v>
      </c>
      <c r="P2">
        <v>8.3144626180000003</v>
      </c>
    </row>
    <row r="3" spans="1:19" x14ac:dyDescent="0.25">
      <c r="A3" s="1" t="s">
        <v>22</v>
      </c>
      <c r="B3" s="1">
        <v>-189.808536452</v>
      </c>
      <c r="C3" s="1">
        <v>-189.82776938800001</v>
      </c>
      <c r="F3" s="1" t="s">
        <v>22</v>
      </c>
      <c r="G3" s="1">
        <v>-189.82776938800001</v>
      </c>
      <c r="H3" s="1">
        <f>G3*2625.5</f>
        <v>-498392.80852819403</v>
      </c>
      <c r="J3" s="1" t="s">
        <v>22</v>
      </c>
      <c r="K3" s="1">
        <v>-189.82776938800001</v>
      </c>
      <c r="M3" s="1">
        <v>-189.775494729</v>
      </c>
      <c r="P3" s="1" t="s">
        <v>33</v>
      </c>
    </row>
    <row r="4" spans="1:19" x14ac:dyDescent="0.25">
      <c r="A4" s="1" t="s">
        <v>19</v>
      </c>
      <c r="B4" s="1">
        <v>-0.43364999999999998</v>
      </c>
      <c r="C4" s="1">
        <v>-76.458530768399996</v>
      </c>
      <c r="F4" s="1" t="s">
        <v>23</v>
      </c>
      <c r="G4" s="1">
        <v>-76.458530768399996</v>
      </c>
      <c r="H4" s="1">
        <f t="shared" ref="H4:H13" si="0">G4*2625.5</f>
        <v>-200741.87253243418</v>
      </c>
      <c r="J4" s="1" t="s">
        <v>23</v>
      </c>
      <c r="K4" s="1">
        <v>-76.431070000000005</v>
      </c>
      <c r="M4" s="1">
        <v>-76.434047610700006</v>
      </c>
      <c r="P4" s="32">
        <v>1.9870000000000001E-3</v>
      </c>
    </row>
    <row r="5" spans="1:19" x14ac:dyDescent="0.25">
      <c r="A5" s="1" t="s">
        <v>16</v>
      </c>
      <c r="B5" s="1">
        <v>-188.94821743</v>
      </c>
      <c r="C5" s="1">
        <v>-189.27280070500001</v>
      </c>
      <c r="F5" s="1" t="s">
        <v>26</v>
      </c>
      <c r="G5" s="1">
        <v>-189.27280070500001</v>
      </c>
      <c r="H5" s="1">
        <f t="shared" si="0"/>
        <v>-496935.73825097753</v>
      </c>
      <c r="J5" s="1" t="s">
        <v>26</v>
      </c>
      <c r="K5" s="1">
        <v>-189.27280070500001</v>
      </c>
      <c r="M5" s="1">
        <v>-189.220750681</v>
      </c>
    </row>
    <row r="6" spans="1:19" x14ac:dyDescent="0.25">
      <c r="C6" s="1">
        <v>-76.731235500699995</v>
      </c>
      <c r="F6" s="1" t="s">
        <v>24</v>
      </c>
      <c r="G6" s="1">
        <v>-76.731235500699995</v>
      </c>
      <c r="H6" s="1">
        <f t="shared" si="0"/>
        <v>-201457.85880708785</v>
      </c>
      <c r="J6" s="1" t="s">
        <v>24</v>
      </c>
      <c r="K6" s="1">
        <v>-76.691599999999994</v>
      </c>
      <c r="M6" s="1">
        <v>-76.707767660900004</v>
      </c>
    </row>
    <row r="7" spans="1:19" x14ac:dyDescent="0.25">
      <c r="S7" s="1">
        <v>-76.696950999999999</v>
      </c>
    </row>
    <row r="8" spans="1:19" x14ac:dyDescent="0.25">
      <c r="S8" s="1">
        <f>-76.820342</f>
        <v>-76.820341999999997</v>
      </c>
    </row>
    <row r="9" spans="1:19" x14ac:dyDescent="0.25">
      <c r="A9" s="1" t="s">
        <v>18</v>
      </c>
      <c r="B9" s="1" t="s">
        <v>20</v>
      </c>
      <c r="F9" s="1" t="s">
        <v>18</v>
      </c>
      <c r="G9" s="1" t="s">
        <v>20</v>
      </c>
      <c r="J9" s="1" t="s">
        <v>18</v>
      </c>
      <c r="K9" s="1" t="s">
        <v>20</v>
      </c>
    </row>
    <row r="10" spans="1:19" x14ac:dyDescent="0.25">
      <c r="A10" s="1" t="s">
        <v>22</v>
      </c>
      <c r="B10" s="1">
        <v>-189.51022677899999</v>
      </c>
      <c r="C10" s="1">
        <v>-189.42976636399999</v>
      </c>
      <c r="F10" s="1" t="s">
        <v>22</v>
      </c>
      <c r="G10" s="1">
        <v>-189.42976636399999</v>
      </c>
      <c r="H10" s="1">
        <f t="shared" si="0"/>
        <v>-497347.85158868198</v>
      </c>
      <c r="J10" s="1" t="s">
        <v>22</v>
      </c>
      <c r="K10" s="1">
        <v>-189.42976636399999</v>
      </c>
      <c r="M10" s="1">
        <v>-189.78336354000001</v>
      </c>
    </row>
    <row r="11" spans="1:19" x14ac:dyDescent="0.25">
      <c r="A11" s="1" t="s">
        <v>19</v>
      </c>
      <c r="B11" s="1">
        <v>-0.16456361391499999</v>
      </c>
      <c r="C11" s="1">
        <v>-76.466477600000005</v>
      </c>
      <c r="F11" s="1" t="s">
        <v>23</v>
      </c>
      <c r="G11" s="1">
        <v>-76.466477600000005</v>
      </c>
      <c r="H11" s="1">
        <f t="shared" si="0"/>
        <v>-200762.73693880002</v>
      </c>
      <c r="J11" s="1" t="s">
        <v>23</v>
      </c>
      <c r="K11" s="1">
        <v>-76.466477600000005</v>
      </c>
      <c r="M11" s="1">
        <v>-76.442299786199996</v>
      </c>
    </row>
    <row r="12" spans="1:19" x14ac:dyDescent="0.25">
      <c r="A12" s="1" t="s">
        <v>16</v>
      </c>
      <c r="B12" s="1">
        <v>-189.005198592</v>
      </c>
      <c r="C12" s="1">
        <v>-189.37731566900001</v>
      </c>
      <c r="F12" s="1" t="s">
        <v>26</v>
      </c>
      <c r="G12" s="1">
        <v>-189.37731566900001</v>
      </c>
      <c r="H12" s="1">
        <f t="shared" si="0"/>
        <v>-497210.14228895953</v>
      </c>
      <c r="J12" s="1" t="s">
        <v>26</v>
      </c>
      <c r="K12" s="1">
        <v>-189.37731566900001</v>
      </c>
      <c r="M12" s="1">
        <v>-189.32546392200001</v>
      </c>
      <c r="S12" s="1">
        <f>(S8-S7)*2625.5</f>
        <v>-323.96307049999484</v>
      </c>
    </row>
    <row r="13" spans="1:19" x14ac:dyDescent="0.25">
      <c r="C13" s="1">
        <v>-76.855215829000002</v>
      </c>
      <c r="F13" s="1" t="s">
        <v>24</v>
      </c>
      <c r="G13" s="1">
        <v>-76.855215829000002</v>
      </c>
      <c r="H13" s="1">
        <f>G13*2625.5</f>
        <v>-201783.36915903952</v>
      </c>
      <c r="J13" s="1" t="s">
        <v>24</v>
      </c>
      <c r="K13" s="1">
        <v>-76.855215829000002</v>
      </c>
      <c r="M13" s="1">
        <v>-76.831812147099996</v>
      </c>
    </row>
    <row r="16" spans="1:19" x14ac:dyDescent="0.25">
      <c r="G16" s="1" t="s">
        <v>25</v>
      </c>
      <c r="K16" s="1" t="s">
        <v>25</v>
      </c>
    </row>
    <row r="17" spans="1:13" x14ac:dyDescent="0.25">
      <c r="A17" s="1" t="s">
        <v>21</v>
      </c>
      <c r="B17" s="1">
        <f>B12+B5-(B10+B3)</f>
        <v>1.3653472089999923</v>
      </c>
      <c r="C17" s="1">
        <f>C12+C5+C13+C6-(C10+C3+C4+C11)</f>
        <v>-5.4023583300136124E-2</v>
      </c>
      <c r="F17" s="1" t="s">
        <v>22</v>
      </c>
      <c r="G17" s="1">
        <f>G10-G3</f>
        <v>0.39800302400001897</v>
      </c>
      <c r="H17" s="1">
        <f>H10-H3</f>
        <v>1044.9569395120488</v>
      </c>
      <c r="J17" s="1" t="s">
        <v>22</v>
      </c>
      <c r="K17" s="1">
        <f>K10-K3</f>
        <v>0.39800302400001897</v>
      </c>
      <c r="M17" s="1">
        <f>M10-M3</f>
        <v>-7.8688110000086908E-3</v>
      </c>
    </row>
    <row r="18" spans="1:13" x14ac:dyDescent="0.25">
      <c r="F18" s="1" t="s">
        <v>23</v>
      </c>
      <c r="G18" s="1">
        <f>G11-G4</f>
        <v>-7.9468316000088635E-3</v>
      </c>
      <c r="H18" s="1">
        <f t="shared" ref="H18:H20" si="1">H11-H4</f>
        <v>-20.864406365843024</v>
      </c>
      <c r="I18" s="1">
        <v>-28.6</v>
      </c>
      <c r="J18" s="1" t="s">
        <v>23</v>
      </c>
      <c r="K18" s="1">
        <f>K11-K4</f>
        <v>-3.5407599999999206E-2</v>
      </c>
      <c r="M18" s="1">
        <f>M11-M4</f>
        <v>-8.2521754999902441E-3</v>
      </c>
    </row>
    <row r="19" spans="1:13" x14ac:dyDescent="0.25">
      <c r="B19" s="1">
        <f>4.184*(B17-2.36)/1.36</f>
        <v>-3.0600200570176699</v>
      </c>
      <c r="C19" s="1">
        <f>4.184*(C17-2.36)/1.36</f>
        <v>-7.4266725533292419</v>
      </c>
      <c r="F19" s="1" t="s">
        <v>26</v>
      </c>
      <c r="G19" s="1">
        <f>G12-G5</f>
        <v>-0.10451496400000337</v>
      </c>
      <c r="H19" s="1">
        <f t="shared" si="1"/>
        <v>-274.40403798199259</v>
      </c>
      <c r="J19" s="1" t="s">
        <v>26</v>
      </c>
      <c r="K19" s="1">
        <f>K12-K5</f>
        <v>-0.10451496400000337</v>
      </c>
      <c r="M19" s="1">
        <f>M12-M5</f>
        <v>-0.10471324100001311</v>
      </c>
    </row>
    <row r="20" spans="1:13" x14ac:dyDescent="0.25">
      <c r="F20" s="1" t="s">
        <v>24</v>
      </c>
      <c r="G20" s="1">
        <f>G13-G6</f>
        <v>-0.12398032830000716</v>
      </c>
      <c r="H20" s="1">
        <f t="shared" si="1"/>
        <v>-325.5103519516706</v>
      </c>
      <c r="I20" s="1">
        <v>-461.9</v>
      </c>
      <c r="J20" s="1" t="s">
        <v>24</v>
      </c>
      <c r="K20" s="1">
        <f>K13-K6</f>
        <v>-0.16361582900000826</v>
      </c>
      <c r="M20" s="1">
        <f>M13-M6</f>
        <v>-0.12404448619999187</v>
      </c>
    </row>
    <row r="22" spans="1:13" x14ac:dyDescent="0.25">
      <c r="F22" s="1" t="s">
        <v>27</v>
      </c>
      <c r="G22" s="1">
        <f>G20+G19-(G18+G17)</f>
        <v>-0.61855148470002064</v>
      </c>
      <c r="H22" s="1">
        <f>(H20+H19)-(H17+H18)</f>
        <v>-1624.006923079869</v>
      </c>
      <c r="I22" s="1">
        <f>(I20+H19)-(H17+I18)</f>
        <v>-1752.6609774940414</v>
      </c>
      <c r="J22" s="1" t="s">
        <v>27</v>
      </c>
      <c r="K22" s="1">
        <f>K20+K19-(K18+K17)</f>
        <v>-0.6307262170000314</v>
      </c>
      <c r="M22" s="1">
        <f>M19+M20-M17-M18</f>
        <v>-0.21263674070000604</v>
      </c>
    </row>
    <row r="23" spans="1:13" x14ac:dyDescent="0.25">
      <c r="F23" s="1" t="s">
        <v>28</v>
      </c>
      <c r="G23" s="1">
        <f>G22*2625.5</f>
        <v>-1624.0069230799043</v>
      </c>
      <c r="J23" s="1" t="s">
        <v>29</v>
      </c>
      <c r="K23" s="1">
        <f>K22*2625.5</f>
        <v>-1655.9716827335824</v>
      </c>
      <c r="M23" s="1">
        <f>M22*2625.5</f>
        <v>-558.27776270786592</v>
      </c>
    </row>
    <row r="24" spans="1:13" x14ac:dyDescent="0.25">
      <c r="F24" s="1" t="s">
        <v>31</v>
      </c>
      <c r="H24" s="1">
        <f>H22*0.2390057361</f>
        <v>-388.1469700822002</v>
      </c>
      <c r="I24" s="1">
        <f>I22*0.2390057361</f>
        <v>-418.8960270597089</v>
      </c>
    </row>
    <row r="25" spans="1:13" x14ac:dyDescent="0.25">
      <c r="F25" s="1" t="s">
        <v>30</v>
      </c>
      <c r="G25" s="1">
        <f>(G22-2.36)/1.36</f>
        <v>-2.1901113858088386</v>
      </c>
      <c r="H25" s="32">
        <f>H24/(2.3*P4*298.15)</f>
        <v>-284.86276377478646</v>
      </c>
      <c r="I25" s="32">
        <f>I24/(2.3*P4*1000*298.15)</f>
        <v>-0.30742963155743719</v>
      </c>
      <c r="J25" s="1" t="s">
        <v>30</v>
      </c>
      <c r="K25" s="1">
        <f>(K22-2.36)/1.36</f>
        <v>-2.1990633948529639</v>
      </c>
      <c r="M25" s="1">
        <f>(M22-2.36)/1.36</f>
        <v>-1.8916446622794161</v>
      </c>
    </row>
    <row r="31" spans="1:13" x14ac:dyDescent="0.25">
      <c r="B31" s="1">
        <f>3.75*1.36/(4.184*(B17-2.36))</f>
        <v>-1.2254821635564024</v>
      </c>
    </row>
    <row r="34" spans="9:9" x14ac:dyDescent="0.25">
      <c r="I34" s="31"/>
    </row>
    <row r="35" spans="9:9" x14ac:dyDescent="0.25">
      <c r="I35" s="31"/>
    </row>
    <row r="36" spans="9:9" x14ac:dyDescent="0.25">
      <c r="I36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C022-FB34-44BA-AA7E-58EAAA651A41}">
  <dimension ref="A1:T38"/>
  <sheetViews>
    <sheetView topLeftCell="A7" workbookViewId="0">
      <selection activeCell="N23" sqref="N23:T38"/>
    </sheetView>
  </sheetViews>
  <sheetFormatPr defaultRowHeight="15" x14ac:dyDescent="0.25"/>
  <cols>
    <col min="1" max="1" width="13.5703125" bestFit="1" customWidth="1"/>
    <col min="2" max="2" width="11.7109375" bestFit="1" customWidth="1"/>
    <col min="3" max="3" width="12" bestFit="1" customWidth="1"/>
    <col min="4" max="5" width="11.7109375" bestFit="1" customWidth="1"/>
    <col min="6" max="6" width="9.7109375" bestFit="1" customWidth="1"/>
    <col min="14" max="14" width="13.5703125" bestFit="1" customWidth="1"/>
    <col min="15" max="16" width="12" bestFit="1" customWidth="1"/>
    <col min="17" max="18" width="11.7109375" bestFit="1" customWidth="1"/>
    <col min="19" max="19" width="12.7109375" bestFit="1" customWidth="1"/>
    <col min="20" max="20" width="11.7109375" bestFit="1" customWidth="1"/>
  </cols>
  <sheetData>
    <row r="1" spans="1:15" x14ac:dyDescent="0.25">
      <c r="B1" t="s">
        <v>35</v>
      </c>
      <c r="C1" t="s">
        <v>37</v>
      </c>
      <c r="D1" t="s">
        <v>36</v>
      </c>
      <c r="E1" t="s">
        <v>38</v>
      </c>
      <c r="F1" t="s">
        <v>23</v>
      </c>
      <c r="G1" t="s">
        <v>24</v>
      </c>
    </row>
    <row r="2" spans="1:15" x14ac:dyDescent="0.25">
      <c r="B2">
        <v>-307.384162</v>
      </c>
      <c r="C2">
        <v>-306.83376299999998</v>
      </c>
      <c r="D2">
        <v>-307.39125200000001</v>
      </c>
      <c r="E2">
        <v>-306.92991899999998</v>
      </c>
      <c r="F2">
        <v>-76.41001</v>
      </c>
      <c r="G2">
        <v>-76.670643999999996</v>
      </c>
    </row>
    <row r="4" spans="1:15" x14ac:dyDescent="0.25">
      <c r="B4" t="s">
        <v>45</v>
      </c>
      <c r="C4" t="s">
        <v>46</v>
      </c>
    </row>
    <row r="5" spans="1:15" x14ac:dyDescent="0.25">
      <c r="A5" t="s">
        <v>43</v>
      </c>
      <c r="B5">
        <f>G2+C2-B2-F2</f>
        <v>0.28976500000004535</v>
      </c>
      <c r="C5">
        <f>B5*627.509</f>
        <v>181.83014538502846</v>
      </c>
    </row>
    <row r="7" spans="1:15" x14ac:dyDescent="0.25">
      <c r="A7" t="s">
        <v>42</v>
      </c>
      <c r="C7">
        <v>-110.3</v>
      </c>
      <c r="F7" t="s">
        <v>50</v>
      </c>
      <c r="O7" s="1" t="s">
        <v>32</v>
      </c>
    </row>
    <row r="8" spans="1:15" x14ac:dyDescent="0.25">
      <c r="A8" t="s">
        <v>41</v>
      </c>
      <c r="C8">
        <v>-6.32</v>
      </c>
      <c r="F8" s="32">
        <v>1.9870000000000001E-3</v>
      </c>
      <c r="O8">
        <v>8.3144626180000003</v>
      </c>
    </row>
    <row r="9" spans="1:15" x14ac:dyDescent="0.25">
      <c r="O9" s="1" t="s">
        <v>33</v>
      </c>
    </row>
    <row r="10" spans="1:15" x14ac:dyDescent="0.25">
      <c r="A10" t="s">
        <v>39</v>
      </c>
      <c r="B10">
        <f>D2-B2</f>
        <v>-7.0900000000051477E-3</v>
      </c>
      <c r="C10">
        <f>B10*627.509</f>
        <v>-4.4490388100032305</v>
      </c>
      <c r="O10" s="32">
        <v>1.9870000000000001E-3</v>
      </c>
    </row>
    <row r="11" spans="1:15" x14ac:dyDescent="0.25">
      <c r="A11" t="s">
        <v>40</v>
      </c>
      <c r="B11">
        <f>E2-C2</f>
        <v>-9.615600000000768E-2</v>
      </c>
      <c r="C11">
        <f>B11*627.509</f>
        <v>-60.338755404004822</v>
      </c>
    </row>
    <row r="13" spans="1:15" x14ac:dyDescent="0.25">
      <c r="B13" t="s">
        <v>44</v>
      </c>
      <c r="C13">
        <f>C5+C11+C7-C10-C8</f>
        <v>21.960428791026878</v>
      </c>
    </row>
    <row r="14" spans="1:15" x14ac:dyDescent="0.25">
      <c r="B14" t="s">
        <v>49</v>
      </c>
      <c r="C14">
        <v>1.744214725</v>
      </c>
    </row>
    <row r="15" spans="1:15" x14ac:dyDescent="0.25">
      <c r="C15">
        <f>(C13/1.346)-C14 -4.54</f>
        <v>10.03111127130526</v>
      </c>
    </row>
    <row r="16" spans="1:15" x14ac:dyDescent="0.25">
      <c r="C16" t="s">
        <v>30</v>
      </c>
      <c r="D16">
        <f>(C13-2.36)/1.36</f>
        <v>14.412079993402116</v>
      </c>
    </row>
    <row r="18" spans="1:20" x14ac:dyDescent="0.25">
      <c r="C18" s="32"/>
    </row>
    <row r="23" spans="1:20" x14ac:dyDescent="0.25">
      <c r="A23" s="1" t="s">
        <v>17</v>
      </c>
      <c r="B23" s="1" t="s">
        <v>22</v>
      </c>
      <c r="C23" s="1" t="s">
        <v>26</v>
      </c>
      <c r="D23" s="1" t="s">
        <v>47</v>
      </c>
      <c r="E23" s="1" t="s">
        <v>48</v>
      </c>
      <c r="F23" s="1" t="s">
        <v>23</v>
      </c>
      <c r="G23" s="1" t="s">
        <v>24</v>
      </c>
      <c r="N23" s="1" t="s">
        <v>17</v>
      </c>
      <c r="O23" s="1" t="s">
        <v>22</v>
      </c>
      <c r="P23" s="1" t="s">
        <v>26</v>
      </c>
      <c r="Q23" s="1" t="s">
        <v>47</v>
      </c>
      <c r="R23" s="1" t="s">
        <v>48</v>
      </c>
      <c r="S23" s="1" t="s">
        <v>23</v>
      </c>
      <c r="T23" s="1" t="s">
        <v>24</v>
      </c>
    </row>
    <row r="24" spans="1:20" x14ac:dyDescent="0.25">
      <c r="A24" s="1" t="s">
        <v>22</v>
      </c>
      <c r="B24" s="1">
        <v>-189.73853500000001</v>
      </c>
      <c r="C24" s="1">
        <v>-189.19773900000001</v>
      </c>
      <c r="D24" s="1">
        <v>-189.74653699999999</v>
      </c>
      <c r="E24" s="1">
        <v>-189.30211800000001</v>
      </c>
      <c r="F24" s="1">
        <v>-76.458530768399996</v>
      </c>
      <c r="G24" s="1">
        <v>-76.731235500699995</v>
      </c>
      <c r="N24" s="1" t="s">
        <v>22</v>
      </c>
      <c r="O24" s="1">
        <v>-189.73853500000001</v>
      </c>
      <c r="P24" s="1">
        <v>-189.19773900000001</v>
      </c>
      <c r="Q24" s="1">
        <v>-189.74653699999999</v>
      </c>
      <c r="R24" s="1">
        <v>-189.30211800000001</v>
      </c>
      <c r="S24" s="1">
        <v>-76.409934000000007</v>
      </c>
      <c r="T24">
        <v>-76.670539000000005</v>
      </c>
    </row>
    <row r="25" spans="1:20" x14ac:dyDescent="0.25">
      <c r="F25">
        <v>-76.409934000000007</v>
      </c>
      <c r="G25">
        <v>-76.670539000000005</v>
      </c>
    </row>
    <row r="26" spans="1:20" x14ac:dyDescent="0.25">
      <c r="B26" t="s">
        <v>45</v>
      </c>
      <c r="C26" t="s">
        <v>46</v>
      </c>
      <c r="O26" t="s">
        <v>45</v>
      </c>
      <c r="P26" t="s">
        <v>46</v>
      </c>
    </row>
    <row r="27" spans="1:20" x14ac:dyDescent="0.25">
      <c r="A27" t="s">
        <v>43</v>
      </c>
      <c r="B27">
        <f>G24+C24-B24-F24</f>
        <v>0.26809126770000091</v>
      </c>
      <c r="C27">
        <f>B27*627.5</f>
        <v>168.22727048175057</v>
      </c>
      <c r="N27" t="s">
        <v>43</v>
      </c>
      <c r="O27">
        <f>T24+P24-O24-S24</f>
        <v>0.28019099999998787</v>
      </c>
      <c r="P27">
        <f>O27*627.5</f>
        <v>175.81985249999238</v>
      </c>
    </row>
    <row r="29" spans="1:20" x14ac:dyDescent="0.25">
      <c r="A29" t="s">
        <v>42</v>
      </c>
      <c r="C29">
        <v>-110.3</v>
      </c>
      <c r="N29" t="s">
        <v>42</v>
      </c>
      <c r="P29">
        <v>-110.3</v>
      </c>
    </row>
    <row r="30" spans="1:20" x14ac:dyDescent="0.25">
      <c r="A30" t="s">
        <v>41</v>
      </c>
      <c r="C30">
        <v>-6.32</v>
      </c>
      <c r="N30" t="s">
        <v>41</v>
      </c>
      <c r="P30">
        <v>-6.32</v>
      </c>
    </row>
    <row r="32" spans="1:20" x14ac:dyDescent="0.25">
      <c r="A32" t="s">
        <v>39</v>
      </c>
      <c r="B32">
        <f>D24-B24</f>
        <v>-8.0019999999763058E-3</v>
      </c>
      <c r="C32">
        <f>B32*627.5</f>
        <v>-5.0212549999851319</v>
      </c>
      <c r="N32" t="s">
        <v>39</v>
      </c>
      <c r="O32">
        <f>Q24-O24</f>
        <v>-8.0019999999763058E-3</v>
      </c>
      <c r="P32">
        <f>O32*627.5</f>
        <v>-5.0212549999851319</v>
      </c>
    </row>
    <row r="33" spans="1:16" x14ac:dyDescent="0.25">
      <c r="A33" t="s">
        <v>40</v>
      </c>
      <c r="B33">
        <f>E24-C24</f>
        <v>-0.10437899999999445</v>
      </c>
      <c r="C33">
        <f>B33*627.5</f>
        <v>-65.497822499996516</v>
      </c>
      <c r="N33" t="s">
        <v>40</v>
      </c>
      <c r="O33">
        <f>R24-P24</f>
        <v>-0.10437899999999445</v>
      </c>
      <c r="P33">
        <f>O33*627.5</f>
        <v>-65.497822499996516</v>
      </c>
    </row>
    <row r="35" spans="1:16" x14ac:dyDescent="0.25">
      <c r="B35" t="s">
        <v>44</v>
      </c>
      <c r="C35">
        <f>C27+C33+C29-C32-C30</f>
        <v>3.7707029817391842</v>
      </c>
      <c r="E35" s="33"/>
      <c r="O35" t="s">
        <v>44</v>
      </c>
      <c r="P35">
        <f>P27+P33+P29-P32-P30</f>
        <v>11.363284999980998</v>
      </c>
    </row>
    <row r="36" spans="1:16" x14ac:dyDescent="0.25">
      <c r="B36" t="s">
        <v>51</v>
      </c>
      <c r="C36">
        <v>1.744214725</v>
      </c>
      <c r="O36" t="s">
        <v>51</v>
      </c>
      <c r="P36">
        <v>1.744214725</v>
      </c>
    </row>
    <row r="37" spans="1:16" x14ac:dyDescent="0.25">
      <c r="B37" t="s">
        <v>52</v>
      </c>
      <c r="C37">
        <v>4.54</v>
      </c>
      <c r="O37" t="s">
        <v>52</v>
      </c>
      <c r="P37">
        <v>4.54</v>
      </c>
    </row>
    <row r="38" spans="1:16" x14ac:dyDescent="0.25">
      <c r="C38">
        <f>ABS((C35/1.346)-C36 -C37)</f>
        <v>3.4828009198445886</v>
      </c>
      <c r="P38" s="33">
        <f>P35/(2.3*O10*298)-P37</f>
        <v>3.8037624688730309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6EA1-F5EE-4E3E-95E6-ED534FF2BCE8}">
  <dimension ref="A1:O12"/>
  <sheetViews>
    <sheetView tabSelected="1" workbookViewId="0">
      <selection activeCell="H11" sqref="H11"/>
    </sheetView>
  </sheetViews>
  <sheetFormatPr defaultRowHeight="15" x14ac:dyDescent="0.25"/>
  <cols>
    <col min="1" max="1" width="36.42578125" style="1" bestFit="1" customWidth="1"/>
    <col min="2" max="2" width="11.7109375" style="1" bestFit="1" customWidth="1"/>
    <col min="3" max="3" width="12" style="1" bestFit="1" customWidth="1"/>
    <col min="4" max="5" width="11.7109375" style="1" bestFit="1" customWidth="1"/>
    <col min="6" max="7" width="10.7109375" style="1" bestFit="1" customWidth="1"/>
    <col min="8" max="9" width="9.140625" style="1"/>
    <col min="10" max="10" width="12.7109375" style="1" bestFit="1" customWidth="1"/>
    <col min="11" max="14" width="9.140625" style="1"/>
    <col min="15" max="15" width="89" style="1" bestFit="1" customWidth="1"/>
    <col min="16" max="16384" width="9.140625" style="1"/>
  </cols>
  <sheetData>
    <row r="1" spans="1:15" ht="15.75" thickBot="1" x14ac:dyDescent="0.3">
      <c r="A1" s="12" t="s">
        <v>17</v>
      </c>
      <c r="B1" s="10" t="s">
        <v>22</v>
      </c>
      <c r="C1" s="10" t="s">
        <v>26</v>
      </c>
      <c r="D1" s="10" t="s">
        <v>47</v>
      </c>
      <c r="E1" s="10" t="s">
        <v>48</v>
      </c>
      <c r="F1" s="10" t="s">
        <v>23</v>
      </c>
      <c r="G1" s="10" t="s">
        <v>24</v>
      </c>
      <c r="J1" s="1" t="s">
        <v>32</v>
      </c>
      <c r="O1" s="1" t="s">
        <v>53</v>
      </c>
    </row>
    <row r="2" spans="1:15" ht="15.75" thickBot="1" x14ac:dyDescent="0.3">
      <c r="A2" s="4" t="s">
        <v>54</v>
      </c>
      <c r="B2" s="11">
        <v>-189.73853500000001</v>
      </c>
      <c r="C2" s="11">
        <v>-189.19773900000001</v>
      </c>
      <c r="D2" s="11">
        <v>-189.74653699999999</v>
      </c>
      <c r="E2" s="11">
        <v>-189.30211800000001</v>
      </c>
      <c r="F2" s="11">
        <v>-76.409934000000007</v>
      </c>
      <c r="G2" s="34">
        <v>-76.670539000000005</v>
      </c>
      <c r="J2" s="1">
        <v>8.3144626180000003</v>
      </c>
    </row>
    <row r="3" spans="1:15" ht="15.75" thickBot="1" x14ac:dyDescent="0.3">
      <c r="J3" s="1" t="s">
        <v>33</v>
      </c>
    </row>
    <row r="4" spans="1:15" ht="15.75" thickBot="1" x14ac:dyDescent="0.3">
      <c r="A4" s="13"/>
      <c r="B4" s="2" t="s">
        <v>45</v>
      </c>
      <c r="C4" s="9" t="s">
        <v>46</v>
      </c>
      <c r="J4" s="32">
        <v>1.9870000000000001E-3</v>
      </c>
    </row>
    <row r="5" spans="1:15" x14ac:dyDescent="0.25">
      <c r="A5" s="5" t="s">
        <v>43</v>
      </c>
      <c r="B5" s="6">
        <f>G2+C2-B2-F2</f>
        <v>0.28019099999998787</v>
      </c>
      <c r="C5" s="6">
        <f>B5*627.5</f>
        <v>175.81985249999238</v>
      </c>
    </row>
    <row r="6" spans="1:15" x14ac:dyDescent="0.25">
      <c r="A6" s="5" t="s">
        <v>59</v>
      </c>
      <c r="B6" s="5"/>
      <c r="C6" s="5">
        <v>-110.3</v>
      </c>
    </row>
    <row r="7" spans="1:15" x14ac:dyDescent="0.25">
      <c r="A7" s="5" t="s">
        <v>58</v>
      </c>
      <c r="B7" s="5"/>
      <c r="C7" s="5">
        <v>-6.32</v>
      </c>
    </row>
    <row r="8" spans="1:15" x14ac:dyDescent="0.25">
      <c r="A8" s="5" t="s">
        <v>56</v>
      </c>
      <c r="B8" s="5">
        <f>D2-B2</f>
        <v>-8.0019999999763058E-3</v>
      </c>
      <c r="C8" s="5">
        <f>B8*627.5</f>
        <v>-5.0212549999851319</v>
      </c>
    </row>
    <row r="9" spans="1:15" x14ac:dyDescent="0.25">
      <c r="A9" s="5" t="s">
        <v>57</v>
      </c>
      <c r="B9" s="5">
        <f>E2-C2</f>
        <v>-0.10437899999999445</v>
      </c>
      <c r="C9" s="5">
        <f>B9*627.5</f>
        <v>-65.497822499996516</v>
      </c>
    </row>
    <row r="10" spans="1:15" x14ac:dyDescent="0.25">
      <c r="A10" s="5" t="s">
        <v>44</v>
      </c>
      <c r="B10" s="5"/>
      <c r="C10" s="5">
        <f>C5+C9+C6-C8-C7</f>
        <v>11.363284999980998</v>
      </c>
    </row>
    <row r="11" spans="1:15" x14ac:dyDescent="0.25">
      <c r="A11" s="5" t="s">
        <v>55</v>
      </c>
      <c r="B11" s="5"/>
      <c r="C11" s="5">
        <v>4.54</v>
      </c>
    </row>
    <row r="12" spans="1:15" x14ac:dyDescent="0.25">
      <c r="A12" s="5"/>
      <c r="B12" s="5"/>
      <c r="C12" s="35">
        <f>C10/(2.3*J4*298)-C11</f>
        <v>3.8037624688730309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Ions</vt:lpstr>
      <vt:lpstr>Acids</vt:lpstr>
      <vt:lpstr>Foglio3</vt:lpstr>
      <vt:lpstr>Foglio4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Gentile</dc:creator>
  <cp:lastModifiedBy>Giuseppe Gentile</cp:lastModifiedBy>
  <dcterms:created xsi:type="dcterms:W3CDTF">2024-06-23T17:12:42Z</dcterms:created>
  <dcterms:modified xsi:type="dcterms:W3CDTF">2024-06-24T17:37:20Z</dcterms:modified>
</cp:coreProperties>
</file>