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ppe\Downloads\"/>
    </mc:Choice>
  </mc:AlternateContent>
  <xr:revisionPtr revIDLastSave="0" documentId="13_ncr:1_{F487156E-F814-473B-9E53-57239C3488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2=2H" sheetId="1" r:id="rId1"/>
    <sheet name="CH4=CH3+H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GbuzWtgZog6ToXzOy/IS7KLPoE92Zg+qP+ujzsSh4="/>
    </ext>
  </extLst>
</workbook>
</file>

<file path=xl/calcChain.xml><?xml version="1.0" encoding="utf-8"?>
<calcChain xmlns="http://schemas.openxmlformats.org/spreadsheetml/2006/main">
  <c r="C21" i="4" l="1"/>
  <c r="B20" i="4"/>
  <c r="B19" i="4"/>
  <c r="B18" i="4"/>
  <c r="G8" i="1"/>
  <c r="G9" i="1"/>
  <c r="H10" i="1"/>
  <c r="G10" i="1"/>
  <c r="B18" i="1"/>
  <c r="D18" i="1" s="1"/>
  <c r="H10" i="4"/>
  <c r="H9" i="4"/>
  <c r="H8" i="4"/>
  <c r="B19" i="1"/>
  <c r="D63" i="4"/>
  <c r="D62" i="4"/>
  <c r="D61" i="4"/>
  <c r="E63" i="4"/>
  <c r="E62" i="4"/>
  <c r="E61" i="4"/>
  <c r="D63" i="1"/>
  <c r="D62" i="1"/>
  <c r="D61" i="1"/>
  <c r="D60" i="1"/>
  <c r="E60" i="1" s="1"/>
  <c r="F60" i="1" s="1"/>
  <c r="G60" i="1" s="1"/>
  <c r="E60" i="4"/>
  <c r="D60" i="4"/>
  <c r="D59" i="1"/>
  <c r="E25" i="4"/>
  <c r="F25" i="4" s="1"/>
  <c r="E26" i="4"/>
  <c r="F26" i="4" s="1"/>
  <c r="E27" i="4"/>
  <c r="E28" i="4"/>
  <c r="F28" i="4" s="1"/>
  <c r="E29" i="4"/>
  <c r="E30" i="4"/>
  <c r="E31" i="4"/>
  <c r="E32" i="4"/>
  <c r="E33" i="4"/>
  <c r="E34" i="4"/>
  <c r="E35" i="4"/>
  <c r="E24" i="4"/>
  <c r="D35" i="4"/>
  <c r="C35" i="4"/>
  <c r="D34" i="4"/>
  <c r="C34" i="4"/>
  <c r="D33" i="4"/>
  <c r="C33" i="4"/>
  <c r="D32" i="4"/>
  <c r="C32" i="4"/>
  <c r="C26" i="4"/>
  <c r="C27" i="4"/>
  <c r="D27" i="4"/>
  <c r="D26" i="4"/>
  <c r="C25" i="4"/>
  <c r="D25" i="4"/>
  <c r="D24" i="4"/>
  <c r="C24" i="4"/>
  <c r="C60" i="4"/>
  <c r="C61" i="4"/>
  <c r="C37" i="1"/>
  <c r="C36" i="1"/>
  <c r="C35" i="1"/>
  <c r="C34" i="1"/>
  <c r="C32" i="1"/>
  <c r="C31" i="1"/>
  <c r="C30" i="1"/>
  <c r="C29" i="1"/>
  <c r="C27" i="1"/>
  <c r="C26" i="1"/>
  <c r="C25" i="1"/>
  <c r="C24" i="1"/>
  <c r="C63" i="4"/>
  <c r="C62" i="4"/>
  <c r="E59" i="4"/>
  <c r="E58" i="4"/>
  <c r="E57" i="4"/>
  <c r="E56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E52" i="4"/>
  <c r="D52" i="4"/>
  <c r="C52" i="4"/>
  <c r="C63" i="1"/>
  <c r="C62" i="1"/>
  <c r="C61" i="1"/>
  <c r="C60" i="1"/>
  <c r="E59" i="1"/>
  <c r="F59" i="1" s="1"/>
  <c r="G59" i="1" s="1"/>
  <c r="D58" i="1"/>
  <c r="E54" i="4" s="1"/>
  <c r="D57" i="1"/>
  <c r="E53" i="4" s="1"/>
  <c r="D56" i="1"/>
  <c r="C59" i="1"/>
  <c r="C58" i="1"/>
  <c r="C57" i="1"/>
  <c r="C56" i="1"/>
  <c r="D55" i="1"/>
  <c r="D54" i="1"/>
  <c r="C54" i="1"/>
  <c r="C53" i="1"/>
  <c r="D52" i="1"/>
  <c r="C52" i="1"/>
  <c r="F20" i="4"/>
  <c r="F19" i="4"/>
  <c r="F18" i="4"/>
  <c r="D20" i="4"/>
  <c r="D19" i="4"/>
  <c r="D18" i="4"/>
  <c r="B20" i="1"/>
  <c r="D20" i="1" s="1"/>
  <c r="D19" i="1"/>
  <c r="I10" i="4"/>
  <c r="I9" i="4"/>
  <c r="I8" i="4"/>
  <c r="G10" i="4"/>
  <c r="G9" i="4"/>
  <c r="G8" i="4"/>
  <c r="H9" i="1"/>
  <c r="H8" i="1"/>
  <c r="F16" i="4"/>
  <c r="F17" i="4"/>
  <c r="D17" i="4"/>
  <c r="I6" i="4"/>
  <c r="I7" i="4"/>
  <c r="G6" i="4"/>
  <c r="G7" i="4"/>
  <c r="H6" i="1"/>
  <c r="G6" i="1"/>
  <c r="G7" i="1"/>
  <c r="B14" i="4"/>
  <c r="H7" i="4" s="1"/>
  <c r="D16" i="4"/>
  <c r="E55" i="1"/>
  <c r="F55" i="1" s="1"/>
  <c r="G55" i="1" s="1"/>
  <c r="E54" i="1"/>
  <c r="F54" i="1" s="1"/>
  <c r="G54" i="1" s="1"/>
  <c r="D53" i="1"/>
  <c r="D38" i="1"/>
  <c r="E38" i="1" s="1"/>
  <c r="F38" i="1" s="1"/>
  <c r="G38" i="1" s="1"/>
  <c r="D37" i="1"/>
  <c r="E37" i="1" s="1"/>
  <c r="F37" i="1" s="1"/>
  <c r="G37" i="1" s="1"/>
  <c r="D36" i="1"/>
  <c r="D35" i="1"/>
  <c r="E35" i="1" s="1"/>
  <c r="F35" i="1" s="1"/>
  <c r="G35" i="1" s="1"/>
  <c r="D34" i="1"/>
  <c r="D33" i="1"/>
  <c r="E33" i="1" s="1"/>
  <c r="F33" i="1" s="1"/>
  <c r="G33" i="1" s="1"/>
  <c r="D32" i="1"/>
  <c r="E32" i="1"/>
  <c r="F32" i="1" s="1"/>
  <c r="G32" i="1" s="1"/>
  <c r="D31" i="1"/>
  <c r="D30" i="1"/>
  <c r="D29" i="1"/>
  <c r="D28" i="1"/>
  <c r="E28" i="1" s="1"/>
  <c r="F28" i="1" s="1"/>
  <c r="G28" i="1" s="1"/>
  <c r="D27" i="1"/>
  <c r="E26" i="1"/>
  <c r="F26" i="1" s="1"/>
  <c r="G26" i="1" s="1"/>
  <c r="D26" i="1"/>
  <c r="D25" i="1"/>
  <c r="E25" i="1" s="1"/>
  <c r="F25" i="1" s="1"/>
  <c r="G25" i="1" s="1"/>
  <c r="D24" i="1"/>
  <c r="C14" i="1"/>
  <c r="B14" i="1"/>
  <c r="H7" i="1" s="1"/>
  <c r="F32" i="4" l="1"/>
  <c r="G32" i="4" s="1"/>
  <c r="H32" i="4" s="1"/>
  <c r="F33" i="4"/>
  <c r="E63" i="1"/>
  <c r="F63" i="1" s="1"/>
  <c r="G63" i="1" s="1"/>
  <c r="E62" i="1"/>
  <c r="F62" i="1" s="1"/>
  <c r="G62" i="1" s="1"/>
  <c r="E61" i="1"/>
  <c r="F61" i="1" s="1"/>
  <c r="G61" i="1" s="1"/>
  <c r="F31" i="4"/>
  <c r="G31" i="4" s="1"/>
  <c r="H31" i="4" s="1"/>
  <c r="F30" i="4"/>
  <c r="G30" i="4" s="1"/>
  <c r="H30" i="4" s="1"/>
  <c r="F35" i="4"/>
  <c r="G35" i="4" s="1"/>
  <c r="H35" i="4" s="1"/>
  <c r="F34" i="4"/>
  <c r="G34" i="4" s="1"/>
  <c r="H34" i="4" s="1"/>
  <c r="G33" i="4"/>
  <c r="H33" i="4" s="1"/>
  <c r="F29" i="4"/>
  <c r="G29" i="4" s="1"/>
  <c r="H29" i="4" s="1"/>
  <c r="F27" i="4"/>
  <c r="G27" i="4" s="1"/>
  <c r="H27" i="4" s="1"/>
  <c r="G28" i="4"/>
  <c r="H28" i="4" s="1"/>
  <c r="G25" i="4"/>
  <c r="H25" i="4" s="1"/>
  <c r="G26" i="4"/>
  <c r="H26" i="4" s="1"/>
  <c r="F24" i="4"/>
  <c r="G24" i="4" s="1"/>
  <c r="H24" i="4" s="1"/>
  <c r="E36" i="1"/>
  <c r="F36" i="1" s="1"/>
  <c r="G36" i="1" s="1"/>
  <c r="E34" i="1"/>
  <c r="F34" i="1" s="1"/>
  <c r="G34" i="1" s="1"/>
  <c r="E31" i="1"/>
  <c r="F31" i="1" s="1"/>
  <c r="G31" i="1" s="1"/>
  <c r="E30" i="1"/>
  <c r="F30" i="1" s="1"/>
  <c r="G30" i="1" s="1"/>
  <c r="E29" i="1"/>
  <c r="F29" i="1" s="1"/>
  <c r="G29" i="1" s="1"/>
  <c r="E27" i="1"/>
  <c r="F27" i="1" s="1"/>
  <c r="G27" i="1" s="1"/>
  <c r="E24" i="1"/>
  <c r="F24" i="1" s="1"/>
  <c r="G24" i="1" s="1"/>
  <c r="F63" i="4"/>
  <c r="G63" i="4" s="1"/>
  <c r="H63" i="4" s="1"/>
  <c r="F62" i="4"/>
  <c r="G62" i="4" s="1"/>
  <c r="H62" i="4" s="1"/>
  <c r="F61" i="4"/>
  <c r="G61" i="4" s="1"/>
  <c r="H61" i="4" s="1"/>
  <c r="F60" i="4"/>
  <c r="G60" i="4" s="1"/>
  <c r="H60" i="4" s="1"/>
  <c r="F59" i="4"/>
  <c r="G59" i="4" s="1"/>
  <c r="H59" i="4" s="1"/>
  <c r="F58" i="4"/>
  <c r="G58" i="4" s="1"/>
  <c r="H58" i="4" s="1"/>
  <c r="F57" i="4"/>
  <c r="G57" i="4" s="1"/>
  <c r="H57" i="4" s="1"/>
  <c r="F56" i="4"/>
  <c r="G56" i="4" s="1"/>
  <c r="H56" i="4" s="1"/>
  <c r="F54" i="4"/>
  <c r="G54" i="4" s="1"/>
  <c r="H54" i="4" s="1"/>
  <c r="F53" i="4"/>
  <c r="G53" i="4" s="1"/>
  <c r="H53" i="4" s="1"/>
  <c r="F52" i="4"/>
  <c r="G52" i="4" s="1"/>
  <c r="H52" i="4" s="1"/>
  <c r="E55" i="4"/>
  <c r="F55" i="4" s="1"/>
  <c r="G55" i="4" s="1"/>
  <c r="H55" i="4" s="1"/>
  <c r="E58" i="1"/>
  <c r="F58" i="1" s="1"/>
  <c r="G58" i="1" s="1"/>
  <c r="E57" i="1"/>
  <c r="F57" i="1" s="1"/>
  <c r="G57" i="1" s="1"/>
  <c r="E56" i="1"/>
  <c r="F56" i="1" s="1"/>
  <c r="G56" i="1" s="1"/>
  <c r="E52" i="1"/>
  <c r="F52" i="1" s="1"/>
  <c r="G52" i="1" s="1"/>
  <c r="B17" i="4"/>
  <c r="H6" i="4"/>
  <c r="B16" i="4"/>
  <c r="B16" i="1"/>
  <c r="D16" i="1" s="1"/>
  <c r="B17" i="1"/>
  <c r="D17" i="1" s="1"/>
  <c r="E53" i="1"/>
  <c r="F53" i="1" s="1"/>
  <c r="G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Filippo Buda</author>
    <author/>
  </authors>
  <commentList>
    <comment ref="A34" authorId="0" shapeId="0" xr:uid="{BE2FC4F3-166E-4E65-A9DD-D879FE51DB37}">
      <text>
        <r>
          <rPr>
            <b/>
            <sz val="10"/>
            <color indexed="81"/>
            <rFont val="Tahoma"/>
            <charset val="1"/>
          </rPr>
          <t>Filippo Buda:</t>
        </r>
        <r>
          <rPr>
            <sz val="10"/>
            <color indexed="81"/>
            <rFont val="Tahoma"/>
            <charset val="1"/>
          </rPr>
          <t xml:space="preserve">
Negli MP2 l'energia si trova sotto EUMP2, non SCF DONE. Ricordarsi anche di controllare quello dell'ultima iterazione.</t>
        </r>
      </text>
    </comment>
    <comment ref="A49" authorId="1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0" authorId="1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ID#AAABM3YRhQY
Filippo Buda    (2024-05-08 12:35:10)
su molpro mi da un errore ogni volta che provo a fare MP2 su H:
NUMBER OF OCCUPIED ORBITALS NOT CONSISTENT WITH NUMBER OF ELECTRONS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7dGZAmNMxwhicS8fVhM3g3tt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12319A3B-B608-45BF-AAE1-78BC8A65AF5A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0" authorId="0" shapeId="0" xr:uid="{69AF3156-54D2-4AE8-9A00-4BC1EED03B9E}">
      <text>
        <r>
          <rPr>
            <sz val="11"/>
            <color theme="1"/>
            <rFont val="aptos narrow"/>
            <scheme val="minor"/>
          </rPr>
          <t>======
ID#AAABM3YRhWg
Filippo Buda    (2024-05-08 13:41:19)
Stesso errore dell'idrogeno</t>
        </r>
      </text>
    </comment>
  </commentList>
</comments>
</file>

<file path=xl/sharedStrings.xml><?xml version="1.0" encoding="utf-8"?>
<sst xmlns="http://schemas.openxmlformats.org/spreadsheetml/2006/main" count="256" uniqueCount="82">
  <si>
    <t>Experimental Energy H bond</t>
  </si>
  <si>
    <t>H2 = 1s + 1s</t>
  </si>
  <si>
    <t>Core Orbital</t>
  </si>
  <si>
    <t>Valence Orbital</t>
  </si>
  <si>
    <t>Core Orbitals</t>
  </si>
  <si>
    <t>Basis set</t>
  </si>
  <si>
    <t>Core</t>
  </si>
  <si>
    <t>Valence 1</t>
  </si>
  <si>
    <t>Valence 2</t>
  </si>
  <si>
    <t>Plus</t>
  </si>
  <si>
    <t>(d,p)</t>
  </si>
  <si>
    <t>H Basis Function</t>
  </si>
  <si>
    <t>H Primitive Gaussians</t>
  </si>
  <si>
    <t>3-21G</t>
  </si>
  <si>
    <t>3</t>
  </si>
  <si>
    <t>2</t>
  </si>
  <si>
    <t>1</t>
  </si>
  <si>
    <t>0</t>
  </si>
  <si>
    <t>6-31+G(d,p)</t>
  </si>
  <si>
    <t>cc-pVDZ</t>
  </si>
  <si>
    <t>aug-cc-pVDZ</t>
  </si>
  <si>
    <t>aug-cc-pVTZ</t>
  </si>
  <si>
    <t>Theory level</t>
  </si>
  <si>
    <t>Energy product (H2)</t>
  </si>
  <si>
    <t>Energy reactant (2H)</t>
  </si>
  <si>
    <t>deltaE (hartree/mol)</t>
  </si>
  <si>
    <t>deltaE (kcal/mol)</t>
  </si>
  <si>
    <t>Difference from experimental value</t>
  </si>
  <si>
    <t>HF</t>
  </si>
  <si>
    <t>6-31+g(d,p)</t>
  </si>
  <si>
    <t>B3LYP</t>
  </si>
  <si>
    <t>3-21</t>
  </si>
  <si>
    <t>Mp2</t>
  </si>
  <si>
    <t>Most accurate Basis set</t>
  </si>
  <si>
    <t>MOLPRO CALCULATIONS</t>
  </si>
  <si>
    <t>s</t>
  </si>
  <si>
    <t>p</t>
  </si>
  <si>
    <t>d</t>
  </si>
  <si>
    <t>4s3p2d</t>
  </si>
  <si>
    <t>C Basis Function</t>
  </si>
  <si>
    <t>Energy product (CH4)</t>
  </si>
  <si>
    <t>Energy reactant 1 (CH3)</t>
  </si>
  <si>
    <t>Energy reactant 2 (H)</t>
  </si>
  <si>
    <t>H = 1s</t>
  </si>
  <si>
    <t>C = 1s 2s 2p</t>
  </si>
  <si>
    <t>(Li-Ne)</t>
  </si>
  <si>
    <t>H2 Primitive Gaussians</t>
  </si>
  <si>
    <t>H2 Basis Function</t>
  </si>
  <si>
    <t>Experimental Energy bond</t>
  </si>
  <si>
    <t>Energy reactant1 (CH3)</t>
  </si>
  <si>
    <t>Energy reactant2 (H)</t>
  </si>
  <si>
    <t>H4 = 1s + 1s +1s+ 1s</t>
  </si>
  <si>
    <t>H4 Primitive Gaussians</t>
  </si>
  <si>
    <t>C Primitive Gaussians</t>
  </si>
  <si>
    <t>H4 Basis Function</t>
  </si>
  <si>
    <t>H3 Basis Function</t>
  </si>
  <si>
    <t>H3 = 1s +1s+ 1s</t>
  </si>
  <si>
    <t>H3 Primitive Gaussians</t>
  </si>
  <si>
    <t>Orbital</t>
  </si>
  <si>
    <t>Function</t>
  </si>
  <si>
    <t>Primitive</t>
  </si>
  <si>
    <t>3s 2p</t>
  </si>
  <si>
    <t xml:space="preserve">3s2p1d </t>
  </si>
  <si>
    <t xml:space="preserve">5s4p3d2f </t>
  </si>
  <si>
    <t>aug-cc-pVTZ: too heavy for CH4/CH3</t>
  </si>
  <si>
    <t>UMP2</t>
  </si>
  <si>
    <t>3s</t>
  </si>
  <si>
    <t>4s (+3)</t>
  </si>
  <si>
    <t>6s3p</t>
  </si>
  <si>
    <t>9s4p</t>
  </si>
  <si>
    <t>C Primitive</t>
  </si>
  <si>
    <t>C Basis function</t>
  </si>
  <si>
    <t>H basis function</t>
  </si>
  <si>
    <t>H primitives</t>
  </si>
  <si>
    <t>2s</t>
  </si>
  <si>
    <t>2s1p</t>
  </si>
  <si>
    <t>3s2p</t>
  </si>
  <si>
    <t>10s4p</t>
  </si>
  <si>
    <t>f</t>
  </si>
  <si>
    <t>4s</t>
  </si>
  <si>
    <t>11s6p</t>
  </si>
  <si>
    <t>10s5p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</si>
</sst>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00"/>
  </numFmts>
  <fonts count="2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b/>
      <sz val="11"/>
      <color rgb="FFFFFFFF"/>
      <name val="Arial"/>
    </font>
    <font>
      <b/>
      <sz val="11"/>
      <color theme="0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0"/>
      <name val="Aptos narrow"/>
    </font>
    <font>
      <sz val="11"/>
      <color rgb="FF00610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8"/>
      <name val="aptos narrow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3" borderId="0" applyNumberFormat="0" applyBorder="0" applyAlignment="0" applyProtection="0"/>
    <xf numFmtId="0" fontId="15" fillId="5" borderId="0" applyNumberFormat="0" applyBorder="0" applyAlignment="0" applyProtection="0"/>
  </cellStyleXfs>
  <cellXfs count="172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2" borderId="5" xfId="0" applyFont="1" applyFill="1" applyBorder="1"/>
    <xf numFmtId="0" fontId="8" fillId="2" borderId="1" xfId="0" applyFont="1" applyFill="1" applyBorder="1"/>
    <xf numFmtId="0" fontId="10" fillId="0" borderId="7" xfId="0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6" fillId="0" borderId="0" xfId="0" applyFont="1"/>
    <xf numFmtId="0" fontId="9" fillId="0" borderId="6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3" fillId="0" borderId="0" xfId="0" applyFont="1"/>
    <xf numFmtId="0" fontId="7" fillId="2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0" fillId="0" borderId="20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49" fontId="9" fillId="0" borderId="36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/>
    <xf numFmtId="49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9" fillId="6" borderId="41" xfId="0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49" fontId="17" fillId="0" borderId="14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49" fontId="6" fillId="0" borderId="30" xfId="0" applyNumberFormat="1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49" fontId="6" fillId="0" borderId="50" xfId="0" applyNumberFormat="1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49" fontId="10" fillId="0" borderId="54" xfId="0" applyNumberFormat="1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49" fontId="9" fillId="0" borderId="3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2" fillId="0" borderId="64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16" fillId="7" borderId="11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6" fillId="9" borderId="11" xfId="0" applyFont="1" applyFill="1" applyBorder="1" applyAlignment="1">
      <alignment horizontal="center"/>
    </xf>
    <xf numFmtId="0" fontId="16" fillId="9" borderId="63" xfId="0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49" fontId="10" fillId="0" borderId="67" xfId="0" applyNumberFormat="1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9" fillId="0" borderId="73" xfId="0" applyFont="1" applyBorder="1" applyAlignment="1">
      <alignment horizontal="center"/>
    </xf>
    <xf numFmtId="0" fontId="1" fillId="0" borderId="0" xfId="0" applyFont="1"/>
    <xf numFmtId="0" fontId="15" fillId="5" borderId="0" xfId="2"/>
    <xf numFmtId="0" fontId="18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17" fillId="0" borderId="26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0" fillId="10" borderId="66" xfId="0" applyFont="1" applyFill="1" applyBorder="1" applyAlignment="1">
      <alignment horizontal="center"/>
    </xf>
    <xf numFmtId="0" fontId="10" fillId="10" borderId="74" xfId="0" applyFont="1" applyFill="1" applyBorder="1" applyAlignment="1">
      <alignment horizontal="center"/>
    </xf>
    <xf numFmtId="0" fontId="9" fillId="10" borderId="41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center"/>
    </xf>
    <xf numFmtId="0" fontId="10" fillId="10" borderId="75" xfId="0" applyFont="1" applyFill="1" applyBorder="1" applyAlignment="1">
      <alignment horizontal="center"/>
    </xf>
    <xf numFmtId="0" fontId="23" fillId="10" borderId="25" xfId="1" applyFont="1" applyFill="1" applyBorder="1" applyAlignment="1">
      <alignment horizontal="center"/>
    </xf>
    <xf numFmtId="0" fontId="23" fillId="10" borderId="57" xfId="1" applyFont="1" applyFill="1" applyBorder="1" applyAlignment="1">
      <alignment horizontal="center"/>
    </xf>
    <xf numFmtId="0" fontId="23" fillId="10" borderId="66" xfId="1" applyFont="1" applyFill="1" applyBorder="1" applyAlignment="1">
      <alignment horizontal="center"/>
    </xf>
    <xf numFmtId="0" fontId="23" fillId="10" borderId="41" xfId="1" applyFont="1" applyFill="1" applyBorder="1" applyAlignment="1">
      <alignment horizontal="center"/>
    </xf>
    <xf numFmtId="0" fontId="23" fillId="10" borderId="33" xfId="1" applyFont="1" applyFill="1" applyBorder="1" applyAlignment="1">
      <alignment horizontal="center"/>
    </xf>
    <xf numFmtId="0" fontId="16" fillId="6" borderId="66" xfId="0" applyFont="1" applyFill="1" applyBorder="1" applyAlignment="1">
      <alignment horizontal="center"/>
    </xf>
    <xf numFmtId="0" fontId="18" fillId="6" borderId="41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60" xfId="0" applyBorder="1"/>
    <xf numFmtId="0" fontId="1" fillId="0" borderId="65" xfId="0" applyFont="1" applyFill="1" applyBorder="1" applyAlignment="1">
      <alignment horizontal="center" wrapText="1"/>
    </xf>
    <xf numFmtId="0" fontId="16" fillId="9" borderId="76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</cellXfs>
  <cellStyles count="3">
    <cellStyle name="Normale" xfId="0" builtinId="0"/>
    <cellStyle name="Valore non valido" xfId="2" builtinId="27"/>
    <cellStyle name="Valore valido" xfId="1" builtinId="26"/>
  </cellStyles>
  <dxfs count="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2=2H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H4=CH3+H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6" xr3:uid="{00000000-0010-0000-0000-000006000000}" name="Experimental Energy H bond"/>
  </tableColumns>
  <tableStyleInfo name="H2=2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CC9FAB-468E-41F9-A9F6-CA50C3632E65}" name="Table_14" displayName="Table_14" ref="A1:A3">
  <tableColumns count="1">
    <tableColumn id="6" xr3:uid="{320F24D8-73B1-46BF-8C0F-797668A41A25}" name="Experimental Energy bond"/>
  </tableColumns>
  <tableStyleInfo name="H2=2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3"/>
  <sheetViews>
    <sheetView tabSelected="1" zoomScale="115" zoomScaleNormal="115" workbookViewId="0">
      <selection activeCell="B19" sqref="B19"/>
    </sheetView>
  </sheetViews>
  <sheetFormatPr defaultColWidth="12.5703125" defaultRowHeight="15" customHeight="1" x14ac:dyDescent="0.25"/>
  <cols>
    <col min="1" max="1" width="26.140625" customWidth="1"/>
    <col min="2" max="2" width="22.42578125" bestFit="1" customWidth="1"/>
    <col min="3" max="4" width="27.140625" bestFit="1" customWidth="1"/>
    <col min="5" max="5" width="18.42578125" bestFit="1" customWidth="1"/>
    <col min="6" max="6" width="26.7109375" bestFit="1" customWidth="1"/>
    <col min="7" max="7" width="31.42578125" customWidth="1"/>
    <col min="8" max="8" width="19.5703125" bestFit="1" customWidth="1"/>
    <col min="9" max="9" width="23.140625" bestFit="1" customWidth="1"/>
    <col min="10" max="10" width="28.42578125" bestFit="1" customWidth="1"/>
    <col min="11" max="11" width="24.42578125" bestFit="1" customWidth="1"/>
    <col min="12" max="12" width="26.42578125" customWidth="1"/>
    <col min="13" max="23" width="7.5703125" customWidth="1"/>
  </cols>
  <sheetData>
    <row r="1" spans="1:10" x14ac:dyDescent="0.25">
      <c r="A1" s="1" t="s">
        <v>0</v>
      </c>
    </row>
    <row r="2" spans="1:10" x14ac:dyDescent="0.25">
      <c r="A2" s="2">
        <v>103.2</v>
      </c>
      <c r="B2" s="2"/>
    </row>
    <row r="3" spans="1:10" x14ac:dyDescent="0.25">
      <c r="A3" s="2"/>
      <c r="B3" s="2"/>
    </row>
    <row r="4" spans="1:10" x14ac:dyDescent="0.25">
      <c r="A4" s="2"/>
      <c r="B4" s="2"/>
      <c r="C4" s="2"/>
      <c r="D4" s="2"/>
      <c r="E4" s="2"/>
      <c r="F4" s="2"/>
      <c r="G4" s="2"/>
    </row>
    <row r="5" spans="1:10" x14ac:dyDescent="0.25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21" t="s">
        <v>11</v>
      </c>
      <c r="H5" s="48" t="s">
        <v>47</v>
      </c>
      <c r="I5" s="48" t="s">
        <v>72</v>
      </c>
      <c r="J5" s="48" t="s">
        <v>73</v>
      </c>
    </row>
    <row r="6" spans="1:10" x14ac:dyDescent="0.25">
      <c r="A6" s="6" t="s">
        <v>13</v>
      </c>
      <c r="B6" s="7" t="s">
        <v>14</v>
      </c>
      <c r="C6" s="7" t="s">
        <v>15</v>
      </c>
      <c r="D6" s="7" t="s">
        <v>16</v>
      </c>
      <c r="E6" s="61" t="s">
        <v>17</v>
      </c>
      <c r="F6" s="64">
        <v>0</v>
      </c>
      <c r="G6" s="49">
        <f>B6*B14+2*C14</f>
        <v>2</v>
      </c>
      <c r="H6" s="49">
        <f>E14*G6</f>
        <v>4</v>
      </c>
      <c r="I6" s="171" t="s">
        <v>74</v>
      </c>
      <c r="J6" s="166" t="s">
        <v>66</v>
      </c>
    </row>
    <row r="7" spans="1:10" x14ac:dyDescent="0.25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62">
        <v>1</v>
      </c>
      <c r="G7" s="54">
        <f>B7*B14+2*C14+3</f>
        <v>5</v>
      </c>
      <c r="H7" s="63">
        <f>E14*G7</f>
        <v>10</v>
      </c>
      <c r="I7" s="166" t="s">
        <v>75</v>
      </c>
      <c r="J7" s="166" t="s">
        <v>67</v>
      </c>
    </row>
    <row r="8" spans="1:10" x14ac:dyDescent="0.25">
      <c r="A8" s="9" t="s">
        <v>19</v>
      </c>
      <c r="B8" s="52"/>
      <c r="C8" s="52"/>
      <c r="D8" s="52"/>
      <c r="E8" s="52"/>
      <c r="F8" s="52"/>
      <c r="G8" s="49">
        <f>2*H16+1*H17</f>
        <v>5</v>
      </c>
      <c r="H8" s="49">
        <f>$E$14*G8</f>
        <v>10</v>
      </c>
      <c r="I8" s="166" t="s">
        <v>75</v>
      </c>
      <c r="J8" s="166" t="s">
        <v>79</v>
      </c>
    </row>
    <row r="9" spans="1:10" x14ac:dyDescent="0.25">
      <c r="A9" s="10" t="s">
        <v>20</v>
      </c>
      <c r="B9" s="52"/>
      <c r="C9" s="52"/>
      <c r="D9" s="52"/>
      <c r="E9" s="52"/>
      <c r="F9" s="52"/>
      <c r="G9" s="59">
        <f>3*H16+2*H17</f>
        <v>9</v>
      </c>
      <c r="H9" s="49">
        <f t="shared" ref="H9:H10" si="0">$E$14*G9</f>
        <v>18</v>
      </c>
      <c r="I9" s="166" t="s">
        <v>76</v>
      </c>
      <c r="J9" s="59" t="s">
        <v>61</v>
      </c>
    </row>
    <row r="10" spans="1:10" x14ac:dyDescent="0.25">
      <c r="A10" s="10" t="s">
        <v>21</v>
      </c>
      <c r="B10" s="52"/>
      <c r="C10" s="52"/>
      <c r="D10" s="52"/>
      <c r="E10" s="52"/>
      <c r="F10" s="52"/>
      <c r="G10" s="49">
        <f>4*H16+3*H17+2*H18</f>
        <v>23</v>
      </c>
      <c r="H10" s="49">
        <f>$E$14*G10</f>
        <v>46</v>
      </c>
      <c r="I10" s="166" t="s">
        <v>38</v>
      </c>
      <c r="J10" s="59" t="s">
        <v>38</v>
      </c>
    </row>
    <row r="11" spans="1:10" ht="15" customHeight="1" thickBot="1" x14ac:dyDescent="0.3"/>
    <row r="12" spans="1:10" ht="15" customHeight="1" thickBot="1" x14ac:dyDescent="0.3">
      <c r="B12" s="40" t="s">
        <v>43</v>
      </c>
      <c r="C12" s="22"/>
      <c r="D12" s="39" t="s">
        <v>1</v>
      </c>
      <c r="E12" s="25"/>
    </row>
    <row r="13" spans="1:10" ht="15.75" thickBot="1" x14ac:dyDescent="0.3">
      <c r="B13" s="38" t="s">
        <v>2</v>
      </c>
      <c r="C13" s="38" t="s">
        <v>3</v>
      </c>
      <c r="D13" s="38" t="s">
        <v>4</v>
      </c>
      <c r="E13" s="38" t="s">
        <v>3</v>
      </c>
    </row>
    <row r="14" spans="1:10" ht="15.75" customHeight="1" thickBot="1" x14ac:dyDescent="0.3">
      <c r="B14" s="45">
        <f>0</f>
        <v>0</v>
      </c>
      <c r="C14" s="47">
        <f>1</f>
        <v>1</v>
      </c>
      <c r="D14" s="46">
        <v>0</v>
      </c>
      <c r="E14" s="47">
        <v>2</v>
      </c>
    </row>
    <row r="15" spans="1:10" ht="15.75" customHeight="1" thickBot="1" x14ac:dyDescent="0.3">
      <c r="B15" s="104" t="s">
        <v>12</v>
      </c>
      <c r="D15" s="44" t="s">
        <v>46</v>
      </c>
      <c r="G15" s="119" t="s">
        <v>58</v>
      </c>
      <c r="H15" s="120" t="s">
        <v>59</v>
      </c>
      <c r="I15" s="121" t="s">
        <v>60</v>
      </c>
    </row>
    <row r="16" spans="1:10" ht="15.75" customHeight="1" thickBot="1" x14ac:dyDescent="0.3">
      <c r="A16" s="26" t="s">
        <v>13</v>
      </c>
      <c r="B16" s="105">
        <f>B14*B6+C14*(D6+C6)</f>
        <v>3</v>
      </c>
      <c r="D16" s="42">
        <f>2*B16</f>
        <v>6</v>
      </c>
      <c r="E16" s="52"/>
      <c r="G16" s="116" t="s">
        <v>35</v>
      </c>
      <c r="H16" s="113">
        <v>1</v>
      </c>
      <c r="I16" s="110">
        <v>3</v>
      </c>
    </row>
    <row r="17" spans="1:9" ht="15.75" customHeight="1" thickBot="1" x14ac:dyDescent="0.3">
      <c r="A17" s="26" t="s">
        <v>18</v>
      </c>
      <c r="B17" s="106">
        <f>B14*B7+C14*(C7+D7)+3*F7</f>
        <v>7</v>
      </c>
      <c r="D17" s="98">
        <f>2*B17</f>
        <v>14</v>
      </c>
      <c r="E17" s="52"/>
      <c r="G17" s="117" t="s">
        <v>36</v>
      </c>
      <c r="H17" s="114">
        <v>3</v>
      </c>
      <c r="I17" s="111">
        <v>1</v>
      </c>
    </row>
    <row r="18" spans="1:9" ht="15.75" customHeight="1" thickBot="1" x14ac:dyDescent="0.3">
      <c r="A18" s="9" t="s">
        <v>19</v>
      </c>
      <c r="B18" s="107">
        <f>2*$I$16+1*$I$17</f>
        <v>7</v>
      </c>
      <c r="D18" s="109">
        <f>2*B18</f>
        <v>14</v>
      </c>
      <c r="E18" s="52"/>
      <c r="G18" s="118" t="s">
        <v>37</v>
      </c>
      <c r="H18" s="115">
        <v>5</v>
      </c>
      <c r="I18" s="112">
        <v>6</v>
      </c>
    </row>
    <row r="19" spans="1:9" ht="15.75" customHeight="1" x14ac:dyDescent="0.25">
      <c r="A19" s="10" t="s">
        <v>20</v>
      </c>
      <c r="B19" s="107">
        <f>3*$I$16+2*$I$17</f>
        <v>11</v>
      </c>
      <c r="D19" s="109">
        <f t="shared" ref="D19:D20" si="1">2*B19</f>
        <v>22</v>
      </c>
      <c r="E19" s="52"/>
    </row>
    <row r="20" spans="1:9" ht="15.75" customHeight="1" thickBot="1" x14ac:dyDescent="0.3">
      <c r="A20" s="10" t="s">
        <v>21</v>
      </c>
      <c r="B20" s="108">
        <f>4*$I$16+3*$I$17+2*6</f>
        <v>27</v>
      </c>
      <c r="D20" s="58">
        <f t="shared" si="1"/>
        <v>54</v>
      </c>
      <c r="E20" s="52"/>
    </row>
    <row r="21" spans="1:9" ht="15.75" customHeight="1" x14ac:dyDescent="0.25"/>
    <row r="22" spans="1:9" ht="15.75" customHeight="1" x14ac:dyDescent="0.25"/>
    <row r="23" spans="1:9" ht="15.75" customHeight="1" thickBot="1" x14ac:dyDescent="0.3">
      <c r="A23" s="11" t="s">
        <v>22</v>
      </c>
      <c r="B23" s="12" t="s">
        <v>5</v>
      </c>
      <c r="C23" s="12" t="s">
        <v>23</v>
      </c>
      <c r="D23" s="12" t="s">
        <v>24</v>
      </c>
      <c r="E23" s="12" t="s">
        <v>25</v>
      </c>
      <c r="F23" s="12" t="s">
        <v>26</v>
      </c>
      <c r="G23" s="12" t="s">
        <v>27</v>
      </c>
    </row>
    <row r="24" spans="1:9" ht="15.75" customHeight="1" x14ac:dyDescent="0.25">
      <c r="A24" s="27" t="s">
        <v>28</v>
      </c>
      <c r="B24" s="85" t="s">
        <v>13</v>
      </c>
      <c r="C24" s="28">
        <f>-1.12279503566+0.01061</f>
        <v>-1.11218503566</v>
      </c>
      <c r="D24" s="28">
        <f>2*-0.496199</f>
        <v>-0.992398</v>
      </c>
      <c r="E24" s="28">
        <f t="shared" ref="E24:E27" si="2">D24-C24</f>
        <v>0.11978703566000004</v>
      </c>
      <c r="F24" s="28">
        <f t="shared" ref="F24:F28" si="3">E24*627.503</f>
        <v>75.166724237757009</v>
      </c>
      <c r="G24" s="35">
        <f t="shared" ref="G24:G38" si="4">ABS(F24-$A$2)</f>
        <v>28.033275762242994</v>
      </c>
    </row>
    <row r="25" spans="1:9" ht="15.75" customHeight="1" x14ac:dyDescent="0.25">
      <c r="A25" s="29" t="s">
        <v>28</v>
      </c>
      <c r="B25" s="86" t="s">
        <v>29</v>
      </c>
      <c r="C25" s="3">
        <f>0.01056-1.13111935051</f>
        <v>-1.12055935051</v>
      </c>
      <c r="D25" s="3">
        <f>2*-0.498233</f>
        <v>-0.99646599999999996</v>
      </c>
      <c r="E25" s="3">
        <f t="shared" si="2"/>
        <v>0.12409335051000003</v>
      </c>
      <c r="F25" s="3">
        <f t="shared" si="3"/>
        <v>77.868949725076561</v>
      </c>
      <c r="G25" s="36">
        <f t="shared" si="4"/>
        <v>25.331050274923442</v>
      </c>
    </row>
    <row r="26" spans="1:9" ht="15.75" customHeight="1" x14ac:dyDescent="0.25">
      <c r="A26" s="29" t="s">
        <v>28</v>
      </c>
      <c r="B26" s="86" t="s">
        <v>19</v>
      </c>
      <c r="C26" s="3">
        <f>0.010446-1.12874313474</f>
        <v>-1.1182971347400001</v>
      </c>
      <c r="D26" s="3">
        <f>2*-0.499278</f>
        <v>-0.998556</v>
      </c>
      <c r="E26" s="3">
        <f t="shared" si="2"/>
        <v>0.11974113474000014</v>
      </c>
      <c r="F26" s="3">
        <f t="shared" si="3"/>
        <v>75.137921272754312</v>
      </c>
      <c r="G26" s="36">
        <f t="shared" si="4"/>
        <v>28.062078727245691</v>
      </c>
    </row>
    <row r="27" spans="1:9" ht="15.75" customHeight="1" x14ac:dyDescent="0.25">
      <c r="A27" s="30" t="s">
        <v>28</v>
      </c>
      <c r="B27" s="87" t="s">
        <v>20</v>
      </c>
      <c r="C27" s="3">
        <f>-1.12882342992+0.010388</f>
        <v>-1.1184354299199999</v>
      </c>
      <c r="D27" s="3">
        <f>2*-0.499334</f>
        <v>-0.998668</v>
      </c>
      <c r="E27" s="3">
        <f t="shared" si="2"/>
        <v>0.11976742991999989</v>
      </c>
      <c r="F27" s="3">
        <f t="shared" si="3"/>
        <v>75.154421577089693</v>
      </c>
      <c r="G27" s="36">
        <f t="shared" si="4"/>
        <v>28.04557842291031</v>
      </c>
    </row>
    <row r="28" spans="1:9" ht="15.75" customHeight="1" thickBot="1" x14ac:dyDescent="0.3">
      <c r="A28" s="23" t="s">
        <v>28</v>
      </c>
      <c r="B28" s="24" t="s">
        <v>21</v>
      </c>
      <c r="C28" s="31">
        <v>-1.1226050000000001</v>
      </c>
      <c r="D28" s="31">
        <f>2*-0.499821</f>
        <v>-0.99964200000000003</v>
      </c>
      <c r="E28" s="31">
        <f t="shared" ref="E28:E38" si="5">-C28+D28</f>
        <v>0.12296300000000004</v>
      </c>
      <c r="F28" s="31">
        <f t="shared" si="3"/>
        <v>77.159651389000032</v>
      </c>
      <c r="G28" s="37">
        <f t="shared" si="4"/>
        <v>26.04034861099997</v>
      </c>
    </row>
    <row r="29" spans="1:9" ht="15.75" customHeight="1" x14ac:dyDescent="0.25">
      <c r="A29" s="32" t="s">
        <v>30</v>
      </c>
      <c r="B29" s="100" t="s">
        <v>31</v>
      </c>
      <c r="C29" s="103">
        <f>0.010185-1.17060138011</f>
        <v>-1.16041638011</v>
      </c>
      <c r="D29" s="28">
        <f>2*-0.497311</f>
        <v>-0.99462200000000001</v>
      </c>
      <c r="E29" s="28">
        <f t="shared" si="5"/>
        <v>0.16579438011000003</v>
      </c>
      <c r="F29" s="68">
        <f t="shared" ref="F29:F31" si="6">E29*628.5095</f>
        <v>104.20334294574606</v>
      </c>
      <c r="G29" s="70">
        <f t="shared" si="4"/>
        <v>1.0033429457460556</v>
      </c>
    </row>
    <row r="30" spans="1:9" ht="15.75" customHeight="1" x14ac:dyDescent="0.25">
      <c r="A30" s="33" t="s">
        <v>30</v>
      </c>
      <c r="B30" s="101" t="s">
        <v>29</v>
      </c>
      <c r="C30" s="76">
        <f>-1.17850460568+0.010169</f>
        <v>-1.1683356056799998</v>
      </c>
      <c r="D30" s="3">
        <f>2*-0.500273</f>
        <v>-1.0005459999999999</v>
      </c>
      <c r="E30" s="3">
        <f t="shared" si="5"/>
        <v>0.1677896056799999</v>
      </c>
      <c r="F30" s="69">
        <f t="shared" si="6"/>
        <v>105.4573611711339</v>
      </c>
      <c r="G30" s="71">
        <f t="shared" si="4"/>
        <v>2.2573611711338941</v>
      </c>
    </row>
    <row r="31" spans="1:9" ht="15.75" customHeight="1" x14ac:dyDescent="0.25">
      <c r="A31" s="33" t="s">
        <v>30</v>
      </c>
      <c r="B31" s="101" t="s">
        <v>19</v>
      </c>
      <c r="C31" s="76">
        <f>0.009953-1.17351057743</f>
        <v>-1.16355757743</v>
      </c>
      <c r="D31" s="3">
        <f>2*-0.501258</f>
        <v>-1.002516</v>
      </c>
      <c r="E31" s="3">
        <f t="shared" si="5"/>
        <v>0.16104157743000003</v>
      </c>
      <c r="F31" s="69">
        <f t="shared" si="6"/>
        <v>101.2161613097406</v>
      </c>
      <c r="G31" s="71">
        <f t="shared" si="4"/>
        <v>1.9838386902594038</v>
      </c>
    </row>
    <row r="32" spans="1:9" ht="15.75" customHeight="1" thickBot="1" x14ac:dyDescent="0.3">
      <c r="A32" s="34" t="s">
        <v>30</v>
      </c>
      <c r="B32" s="102" t="s">
        <v>20</v>
      </c>
      <c r="C32" s="76">
        <f>-1.17394766295+0.009928</f>
        <v>-1.1640196629500001</v>
      </c>
      <c r="D32" s="3">
        <f>-0.501657*2</f>
        <v>-1.003314</v>
      </c>
      <c r="E32" s="3">
        <f t="shared" si="5"/>
        <v>0.16070566295000011</v>
      </c>
      <c r="F32" s="69">
        <f>E32*627.503</f>
        <v>100.84328561811392</v>
      </c>
      <c r="G32" s="71">
        <f t="shared" si="4"/>
        <v>2.3567143818860785</v>
      </c>
    </row>
    <row r="33" spans="1:7" ht="15.75" customHeight="1" thickBot="1" x14ac:dyDescent="0.3">
      <c r="A33" s="155" t="s">
        <v>30</v>
      </c>
      <c r="B33" s="156" t="s">
        <v>21</v>
      </c>
      <c r="C33" s="157">
        <v>-1.1699679999999999</v>
      </c>
      <c r="D33" s="158">
        <f>2*-0.50226</f>
        <v>-1.0045200000000001</v>
      </c>
      <c r="E33" s="158">
        <f t="shared" si="5"/>
        <v>0.16544799999999982</v>
      </c>
      <c r="F33" s="159">
        <f t="shared" ref="F33:F36" si="7">E33*628.5095</f>
        <v>103.98563975599988</v>
      </c>
      <c r="G33" s="159">
        <f t="shared" si="4"/>
        <v>0.78563975599988112</v>
      </c>
    </row>
    <row r="34" spans="1:7" ht="15.75" customHeight="1" x14ac:dyDescent="0.25">
      <c r="A34" s="66" t="s">
        <v>32</v>
      </c>
      <c r="B34" s="88" t="s">
        <v>31</v>
      </c>
      <c r="C34" s="3">
        <f>-1.1402545234355+0.010376</f>
        <v>-1.1298785234355</v>
      </c>
      <c r="D34" s="3">
        <f>2*-0.496198636018</f>
        <v>-0.99239727203600003</v>
      </c>
      <c r="E34" s="3">
        <f t="shared" si="5"/>
        <v>0.13748125139949996</v>
      </c>
      <c r="F34" s="3">
        <f t="shared" si="7"/>
        <v>86.408272576474019</v>
      </c>
      <c r="G34" s="36">
        <f t="shared" si="4"/>
        <v>16.791727423525984</v>
      </c>
    </row>
    <row r="35" spans="1:7" ht="15.75" customHeight="1" x14ac:dyDescent="0.25">
      <c r="A35" s="29" t="s">
        <v>32</v>
      </c>
      <c r="B35" s="86" t="s">
        <v>29</v>
      </c>
      <c r="C35" s="3">
        <f>0.01051-1.1576610782806</f>
        <v>-1.1471510782806</v>
      </c>
      <c r="D35" s="3">
        <f>-0.498232909202*2</f>
        <v>-0.99646581840399995</v>
      </c>
      <c r="E35" s="3">
        <f t="shared" si="5"/>
        <v>0.15068525987660009</v>
      </c>
      <c r="F35" s="3">
        <f t="shared" si="7"/>
        <v>94.707117342411976</v>
      </c>
      <c r="G35" s="36">
        <f t="shared" si="4"/>
        <v>8.4928826575880265</v>
      </c>
    </row>
    <row r="36" spans="1:7" ht="15.75" customHeight="1" x14ac:dyDescent="0.25">
      <c r="A36" s="29" t="s">
        <v>32</v>
      </c>
      <c r="B36" s="86" t="s">
        <v>19</v>
      </c>
      <c r="C36" s="3">
        <f>-1.1552182656304 + 0.01025</f>
        <v>-1.1449682656303999</v>
      </c>
      <c r="D36" s="3">
        <f>2*-0.49927840342</f>
        <v>-0.99855680684000003</v>
      </c>
      <c r="E36" s="3">
        <f t="shared" si="5"/>
        <v>0.14641145879039985</v>
      </c>
      <c r="F36" s="3">
        <f t="shared" si="7"/>
        <v>92.020992758624814</v>
      </c>
      <c r="G36" s="36">
        <f t="shared" si="4"/>
        <v>11.179007241375189</v>
      </c>
    </row>
    <row r="37" spans="1:7" ht="15.75" customHeight="1" x14ac:dyDescent="0.25">
      <c r="A37" s="29" t="s">
        <v>32</v>
      </c>
      <c r="B37" s="86" t="s">
        <v>20</v>
      </c>
      <c r="C37" s="3">
        <f>0.010166-1.1562164703769</f>
        <v>-1.1460504703769001</v>
      </c>
      <c r="D37" s="3">
        <f>-0.49933431544*2</f>
        <v>-0.99866863088000002</v>
      </c>
      <c r="E37" s="3">
        <f t="shared" si="5"/>
        <v>0.14738183949690009</v>
      </c>
      <c r="F37" s="3">
        <f>E37*627.503</f>
        <v>92.482546429823302</v>
      </c>
      <c r="G37" s="36">
        <f t="shared" si="4"/>
        <v>10.717453570176701</v>
      </c>
    </row>
    <row r="38" spans="1:7" ht="15.75" customHeight="1" thickBot="1" x14ac:dyDescent="0.3">
      <c r="A38" s="67" t="s">
        <v>32</v>
      </c>
      <c r="B38" s="89" t="s">
        <v>21</v>
      </c>
      <c r="C38" s="15">
        <v>-1.154736</v>
      </c>
      <c r="D38" s="15">
        <f>2*-0.499821176024</f>
        <v>-0.999642352048</v>
      </c>
      <c r="E38" s="15">
        <f t="shared" si="5"/>
        <v>0.15509364795199998</v>
      </c>
      <c r="F38" s="15">
        <f>E38*628.5095</f>
        <v>97.477831127487534</v>
      </c>
      <c r="G38" s="37">
        <f t="shared" si="4"/>
        <v>5.7221688725124693</v>
      </c>
    </row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>
      <c r="A43" s="16" t="s">
        <v>22</v>
      </c>
      <c r="B43" s="5" t="s">
        <v>33</v>
      </c>
      <c r="E43" s="17"/>
      <c r="F43" s="17"/>
      <c r="G43" s="17"/>
    </row>
    <row r="44" spans="1:7" ht="15.75" customHeight="1" x14ac:dyDescent="0.25">
      <c r="A44" s="8" t="s">
        <v>28</v>
      </c>
      <c r="B44" s="8" t="s">
        <v>29</v>
      </c>
      <c r="E44" s="17"/>
      <c r="F44" s="17"/>
      <c r="G44" s="17"/>
    </row>
    <row r="45" spans="1:7" ht="15.75" customHeight="1" x14ac:dyDescent="0.25">
      <c r="A45" s="8" t="s">
        <v>30</v>
      </c>
      <c r="B45" s="8" t="s">
        <v>21</v>
      </c>
      <c r="E45" s="17"/>
      <c r="F45" s="17"/>
      <c r="G45" s="17"/>
    </row>
    <row r="46" spans="1:7" ht="15.75" customHeight="1" x14ac:dyDescent="0.25">
      <c r="A46" s="8" t="s">
        <v>32</v>
      </c>
      <c r="B46" s="8" t="s">
        <v>21</v>
      </c>
      <c r="E46" s="17"/>
      <c r="F46" s="17"/>
      <c r="G46" s="17"/>
    </row>
    <row r="47" spans="1:7" ht="15.75" customHeight="1" x14ac:dyDescent="0.25">
      <c r="A47" s="17"/>
      <c r="B47" s="17"/>
      <c r="E47" s="17"/>
      <c r="F47" s="17"/>
      <c r="G47" s="17"/>
    </row>
    <row r="48" spans="1:7" ht="15.75" customHeight="1" x14ac:dyDescent="0.25">
      <c r="A48" s="17"/>
      <c r="B48" s="17"/>
    </row>
    <row r="49" spans="1:7" ht="15.75" customHeight="1" x14ac:dyDescent="0.25">
      <c r="A49" s="20" t="s">
        <v>34</v>
      </c>
      <c r="B49" s="17"/>
    </row>
    <row r="50" spans="1:7" ht="15.75" customHeight="1" x14ac:dyDescent="0.25"/>
    <row r="51" spans="1:7" ht="15.75" customHeight="1" thickBot="1" x14ac:dyDescent="0.3">
      <c r="A51" s="16" t="s">
        <v>22</v>
      </c>
      <c r="B51" s="5" t="s">
        <v>5</v>
      </c>
      <c r="C51" s="5" t="s">
        <v>23</v>
      </c>
      <c r="D51" s="5" t="s">
        <v>24</v>
      </c>
      <c r="E51" s="5" t="s">
        <v>25</v>
      </c>
      <c r="F51" s="5" t="s">
        <v>26</v>
      </c>
      <c r="G51" s="5" t="s">
        <v>27</v>
      </c>
    </row>
    <row r="52" spans="1:7" ht="15.75" customHeight="1" x14ac:dyDescent="0.25">
      <c r="A52" s="27" t="s">
        <v>28</v>
      </c>
      <c r="B52" s="130" t="s">
        <v>13</v>
      </c>
      <c r="C52" s="131">
        <f>0.01060995-1.12295984</f>
        <v>-1.11234989</v>
      </c>
      <c r="D52" s="28">
        <f>2*-0.49619864</f>
        <v>-0.99239728000000005</v>
      </c>
      <c r="E52" s="28">
        <f t="shared" ref="E52:E55" si="8">D52-C52</f>
        <v>0.1199526099999999</v>
      </c>
      <c r="F52" s="28">
        <f t="shared" ref="F52:F56" si="9">E52*627.503</f>
        <v>75.270622632829941</v>
      </c>
      <c r="G52" s="68">
        <f t="shared" ref="G52:G66" si="10">ABS(F52-$A$2)</f>
        <v>27.929377367170062</v>
      </c>
    </row>
    <row r="53" spans="1:7" ht="15.75" customHeight="1" x14ac:dyDescent="0.25">
      <c r="A53" s="29" t="s">
        <v>28</v>
      </c>
      <c r="B53" s="9" t="s">
        <v>29</v>
      </c>
      <c r="C53" s="18">
        <f>0.01055985-1.13133359</f>
        <v>-1.1207737400000002</v>
      </c>
      <c r="D53" s="125">
        <f>2*-0.49823291</f>
        <v>-0.99646581999999995</v>
      </c>
      <c r="E53" s="125">
        <f t="shared" si="8"/>
        <v>0.12430792000000024</v>
      </c>
      <c r="F53" s="125">
        <f t="shared" si="9"/>
        <v>78.00359272376015</v>
      </c>
      <c r="G53" s="69">
        <f t="shared" si="10"/>
        <v>25.196407276239853</v>
      </c>
    </row>
    <row r="54" spans="1:7" ht="15.75" customHeight="1" x14ac:dyDescent="0.25">
      <c r="A54" s="29" t="s">
        <v>28</v>
      </c>
      <c r="B54" s="9" t="s">
        <v>19</v>
      </c>
      <c r="C54" s="18">
        <f>0.01044316-1.12874612</f>
        <v>-1.1183029600000001</v>
      </c>
      <c r="D54" s="125">
        <f>2*-0.4992784</f>
        <v>-0.99855680000000002</v>
      </c>
      <c r="E54" s="125">
        <f t="shared" si="8"/>
        <v>0.11974616000000005</v>
      </c>
      <c r="F54" s="125">
        <f t="shared" si="9"/>
        <v>75.141074638480035</v>
      </c>
      <c r="G54" s="69">
        <f t="shared" si="10"/>
        <v>28.058925361519968</v>
      </c>
    </row>
    <row r="55" spans="1:7" ht="15.75" customHeight="1" thickBot="1" x14ac:dyDescent="0.3">
      <c r="A55" s="30" t="s">
        <v>28</v>
      </c>
      <c r="B55" s="10" t="s">
        <v>20</v>
      </c>
      <c r="C55" s="18">
        <v>-1.12882343</v>
      </c>
      <c r="D55" s="125">
        <f>2*-0.49933432</f>
        <v>-0.99866864</v>
      </c>
      <c r="E55" s="125">
        <f t="shared" si="8"/>
        <v>0.13015478999999996</v>
      </c>
      <c r="F55" s="125">
        <f t="shared" si="9"/>
        <v>81.672521189369988</v>
      </c>
      <c r="G55" s="69">
        <f t="shared" si="10"/>
        <v>21.527478810630015</v>
      </c>
    </row>
    <row r="56" spans="1:7" ht="15.75" customHeight="1" x14ac:dyDescent="0.25">
      <c r="A56" s="32" t="s">
        <v>30</v>
      </c>
      <c r="B56" s="122" t="s">
        <v>31</v>
      </c>
      <c r="C56" s="75">
        <f>0.0101781-1.16383957</f>
        <v>-1.1536614699999999</v>
      </c>
      <c r="D56" s="28">
        <f>2*-0.49388665</f>
        <v>-0.98777329999999997</v>
      </c>
      <c r="E56" s="28">
        <f>-C56+D56</f>
        <v>0.16588816999999989</v>
      </c>
      <c r="F56" s="28">
        <f t="shared" ref="F56:F58" si="11">E56*628.5095</f>
        <v>104.26229078261493</v>
      </c>
      <c r="G56" s="123">
        <f>ABS(F56-$A$2)</f>
        <v>1.062290782614923</v>
      </c>
    </row>
    <row r="57" spans="1:7" ht="15.75" customHeight="1" thickBot="1" x14ac:dyDescent="0.3">
      <c r="A57" s="33" t="s">
        <v>30</v>
      </c>
      <c r="B57" s="13" t="s">
        <v>29</v>
      </c>
      <c r="C57" s="124">
        <f>0.01016977-1.1717732</f>
        <v>-1.16160343</v>
      </c>
      <c r="D57" s="125">
        <f>2*-0.49686205</f>
        <v>-0.9937241</v>
      </c>
      <c r="E57" s="125">
        <f>-C57+D57</f>
        <v>0.16787932999999999</v>
      </c>
      <c r="F57" s="125">
        <f t="shared" si="11"/>
        <v>105.51375375863499</v>
      </c>
      <c r="G57" s="101">
        <f>ABS(F57-$A$2)</f>
        <v>2.3137537586349879</v>
      </c>
    </row>
    <row r="58" spans="1:7" ht="15.75" customHeight="1" thickBot="1" x14ac:dyDescent="0.3">
      <c r="A58" s="150" t="s">
        <v>30</v>
      </c>
      <c r="B58" s="151" t="s">
        <v>19</v>
      </c>
      <c r="C58" s="152">
        <f>0.0099439-1.16684035</f>
        <v>-1.1568964500000001</v>
      </c>
      <c r="D58" s="153">
        <f>2*-0.49785866</f>
        <v>-0.99571732000000002</v>
      </c>
      <c r="E58" s="153">
        <f>-C58+D58</f>
        <v>0.16117913000000006</v>
      </c>
      <c r="F58" s="153">
        <f t="shared" si="11"/>
        <v>101.30261440673503</v>
      </c>
      <c r="G58" s="154">
        <f>ABS(F58-$A$2)</f>
        <v>1.8973855932649712</v>
      </c>
    </row>
    <row r="59" spans="1:7" ht="15.75" customHeight="1" thickBot="1" x14ac:dyDescent="0.3">
      <c r="A59" s="126" t="s">
        <v>30</v>
      </c>
      <c r="B59" s="127" t="s">
        <v>20</v>
      </c>
      <c r="C59" s="128">
        <f>0.00991603-1.16727311</f>
        <v>-1.1573570799999999</v>
      </c>
      <c r="D59" s="31">
        <f>2*-0.49826982</f>
        <v>-0.99653963999999995</v>
      </c>
      <c r="E59" s="31">
        <f>-C59+D59</f>
        <v>0.16081743999999998</v>
      </c>
      <c r="F59" s="31">
        <f>E59*627.503</f>
        <v>100.91342605231999</v>
      </c>
      <c r="G59" s="129">
        <f>ABS(F59-$A$2)</f>
        <v>2.2865739476800115</v>
      </c>
    </row>
    <row r="60" spans="1:7" ht="15.75" customHeight="1" x14ac:dyDescent="0.25">
      <c r="A60" s="66" t="s">
        <v>65</v>
      </c>
      <c r="B60" s="14" t="s">
        <v>31</v>
      </c>
      <c r="C60" s="18">
        <f>0.01037127-1.14025454</f>
        <v>-1.1298832699999999</v>
      </c>
      <c r="D60" s="125">
        <f>2*-0.49619864</f>
        <v>-0.99239728000000005</v>
      </c>
      <c r="E60" s="125">
        <f>-C60+D60</f>
        <v>0.13748598999999984</v>
      </c>
      <c r="F60" s="125">
        <f>E60*628.5095</f>
        <v>86.411250831904894</v>
      </c>
      <c r="G60" s="69">
        <f>ABS(F60-$A$2)</f>
        <v>16.788749168095109</v>
      </c>
    </row>
    <row r="61" spans="1:7" ht="15.75" customHeight="1" x14ac:dyDescent="0.25">
      <c r="A61" s="66" t="s">
        <v>65</v>
      </c>
      <c r="B61" s="9" t="s">
        <v>29</v>
      </c>
      <c r="C61" s="18">
        <f>0.01050087-1.15766113</f>
        <v>-1.1471602599999999</v>
      </c>
      <c r="D61" s="125">
        <f>2*-0.49823291</f>
        <v>-0.99646581999999995</v>
      </c>
      <c r="E61" s="125">
        <f>-C61+D61</f>
        <v>0.15069443999999999</v>
      </c>
      <c r="F61" s="125">
        <f>E61*628.5095</f>
        <v>94.71288713717999</v>
      </c>
      <c r="G61" s="69">
        <f>ABS(F61-$A$2)</f>
        <v>8.4871128628200125</v>
      </c>
    </row>
    <row r="62" spans="1:7" ht="15.75" customHeight="1" x14ac:dyDescent="0.25">
      <c r="A62" s="66" t="s">
        <v>65</v>
      </c>
      <c r="B62" s="9" t="s">
        <v>19</v>
      </c>
      <c r="C62" s="18">
        <f>0.01025474-1.15521828</f>
        <v>-1.14496354</v>
      </c>
      <c r="D62" s="125">
        <f>2*-0.49933432</f>
        <v>-0.99866864</v>
      </c>
      <c r="E62" s="125">
        <f>-C62+D62</f>
        <v>0.14629490000000001</v>
      </c>
      <c r="F62" s="125">
        <f>E62*628.5095</f>
        <v>91.947734451550005</v>
      </c>
      <c r="G62" s="69">
        <f>ABS(F62-$A$2)</f>
        <v>11.252265548449998</v>
      </c>
    </row>
    <row r="63" spans="1:7" ht="15.75" customHeight="1" thickBot="1" x14ac:dyDescent="0.3">
      <c r="A63" s="67" t="s">
        <v>65</v>
      </c>
      <c r="B63" s="132" t="s">
        <v>20</v>
      </c>
      <c r="C63" s="133">
        <f>-1.15621648+0.01016921</f>
        <v>-1.1460472700000002</v>
      </c>
      <c r="D63" s="31">
        <f>2*-0.49933432</f>
        <v>-0.99866864</v>
      </c>
      <c r="E63" s="31">
        <f>-C63+D63</f>
        <v>0.14737863000000018</v>
      </c>
      <c r="F63" s="31">
        <f>E63*627.503</f>
        <v>92.480532460890117</v>
      </c>
      <c r="G63" s="95">
        <f>ABS(F63-$A$2)</f>
        <v>10.719467539109885</v>
      </c>
    </row>
    <row r="64" spans="1:7" ht="15.75" customHeight="1" x14ac:dyDescent="0.25">
      <c r="A64" s="3"/>
      <c r="B64" s="3"/>
      <c r="C64" s="3"/>
      <c r="D64" s="3"/>
      <c r="E64" s="3"/>
      <c r="F64" s="3"/>
      <c r="G64" s="3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22" type="noConversion"/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E2E-E10A-4419-BEF6-42D1E7A76D26}">
  <dimension ref="A1:O63"/>
  <sheetViews>
    <sheetView topLeftCell="D3" zoomScale="130" zoomScaleNormal="130" workbookViewId="0">
      <selection activeCell="I8" sqref="I8"/>
    </sheetView>
  </sheetViews>
  <sheetFormatPr defaultRowHeight="15" x14ac:dyDescent="0.25"/>
  <cols>
    <col min="1" max="1" width="28.28515625" bestFit="1" customWidth="1"/>
    <col min="2" max="2" width="23.7109375" bestFit="1" customWidth="1"/>
    <col min="3" max="3" width="32.85546875" bestFit="1" customWidth="1"/>
    <col min="4" max="4" width="25" bestFit="1" customWidth="1"/>
    <col min="5" max="5" width="22.7109375" bestFit="1" customWidth="1"/>
    <col min="6" max="6" width="24.85546875" bestFit="1" customWidth="1"/>
    <col min="7" max="7" width="18.42578125" bestFit="1" customWidth="1"/>
    <col min="8" max="8" width="34" bestFit="1" customWidth="1"/>
    <col min="9" max="9" width="19.5703125" bestFit="1" customWidth="1"/>
    <col min="10" max="10" width="17.85546875" bestFit="1" customWidth="1"/>
    <col min="11" max="11" width="12.140625" bestFit="1" customWidth="1"/>
    <col min="12" max="12" width="10.42578125" bestFit="1" customWidth="1"/>
  </cols>
  <sheetData>
    <row r="1" spans="1:15" x14ac:dyDescent="0.25">
      <c r="A1" s="1" t="s">
        <v>48</v>
      </c>
      <c r="C1" s="135" t="s">
        <v>64</v>
      </c>
    </row>
    <row r="2" spans="1:15" x14ac:dyDescent="0.25">
      <c r="A2" s="2">
        <v>103.3</v>
      </c>
      <c r="B2" s="2"/>
    </row>
    <row r="3" spans="1:15" x14ac:dyDescent="0.25">
      <c r="B3" s="2"/>
    </row>
    <row r="4" spans="1:15" x14ac:dyDescent="0.25">
      <c r="A4" s="2"/>
      <c r="B4" s="2"/>
      <c r="C4" s="2"/>
      <c r="D4" s="2"/>
      <c r="E4" s="2"/>
      <c r="F4" s="2"/>
      <c r="G4" s="2"/>
    </row>
    <row r="5" spans="1:15" x14ac:dyDescent="0.25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53" t="s">
        <v>54</v>
      </c>
      <c r="H5" s="48" t="s">
        <v>39</v>
      </c>
      <c r="I5" s="53" t="s">
        <v>55</v>
      </c>
      <c r="J5" s="165" t="s">
        <v>71</v>
      </c>
      <c r="K5" s="165" t="s">
        <v>70</v>
      </c>
      <c r="L5" s="60"/>
    </row>
    <row r="6" spans="1:15" x14ac:dyDescent="0.25">
      <c r="A6" s="6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2">
        <v>0</v>
      </c>
      <c r="G6" s="49">
        <f>2*E14</f>
        <v>8</v>
      </c>
      <c r="H6" s="49">
        <f>D6*B14+C6*C14</f>
        <v>9</v>
      </c>
      <c r="I6" s="49">
        <f>2*G14</f>
        <v>6</v>
      </c>
      <c r="J6" s="166" t="s">
        <v>76</v>
      </c>
      <c r="K6" s="166" t="s">
        <v>68</v>
      </c>
    </row>
    <row r="7" spans="1:15" x14ac:dyDescent="0.25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26">
        <v>1</v>
      </c>
      <c r="G7" s="54">
        <f>5*E14</f>
        <v>20</v>
      </c>
      <c r="H7" s="49">
        <f>D7*B14+C7*C14+3*E7+3*F7</f>
        <v>19</v>
      </c>
      <c r="I7" s="54">
        <f>5*G14</f>
        <v>15</v>
      </c>
      <c r="J7" s="59" t="s">
        <v>62</v>
      </c>
      <c r="K7" s="166" t="s">
        <v>77</v>
      </c>
    </row>
    <row r="8" spans="1:15" x14ac:dyDescent="0.25">
      <c r="A8" s="9" t="s">
        <v>19</v>
      </c>
      <c r="B8" s="52"/>
      <c r="C8" s="52"/>
      <c r="D8" s="52"/>
      <c r="E8" s="52"/>
      <c r="F8" s="52"/>
      <c r="G8" s="59">
        <f>5*E14</f>
        <v>20</v>
      </c>
      <c r="H8" s="49">
        <f>3*J16+2*J17+1*J18</f>
        <v>14</v>
      </c>
      <c r="I8" s="59">
        <f>5*G14</f>
        <v>15</v>
      </c>
      <c r="J8" s="59" t="s">
        <v>62</v>
      </c>
      <c r="K8" s="166" t="s">
        <v>69</v>
      </c>
      <c r="O8">
        <v>33</v>
      </c>
    </row>
    <row r="9" spans="1:15" x14ac:dyDescent="0.25">
      <c r="A9" s="10" t="s">
        <v>20</v>
      </c>
      <c r="B9" s="52"/>
      <c r="C9" s="52"/>
      <c r="D9" s="52"/>
      <c r="E9" s="52"/>
      <c r="F9" s="52"/>
      <c r="G9" s="59">
        <f>9*E14</f>
        <v>36</v>
      </c>
      <c r="H9" s="49">
        <f>4*J16+3*J17+2*J18</f>
        <v>23</v>
      </c>
      <c r="I9" s="59">
        <f>9*G14</f>
        <v>27</v>
      </c>
      <c r="J9" s="166" t="s">
        <v>38</v>
      </c>
      <c r="K9" s="166" t="s">
        <v>81</v>
      </c>
    </row>
    <row r="10" spans="1:15" x14ac:dyDescent="0.25">
      <c r="A10" s="10" t="s">
        <v>21</v>
      </c>
      <c r="B10" s="52"/>
      <c r="C10" s="52"/>
      <c r="D10" s="52"/>
      <c r="E10" s="52"/>
      <c r="F10" s="52"/>
      <c r="G10" s="49">
        <f>23*E14</f>
        <v>92</v>
      </c>
      <c r="H10" s="49">
        <f>5*J16+4*J17+3*J18+2*J19</f>
        <v>46</v>
      </c>
      <c r="I10" s="49">
        <f>23*G14</f>
        <v>69</v>
      </c>
      <c r="J10" s="59" t="s">
        <v>63</v>
      </c>
      <c r="K10" s="166" t="s">
        <v>80</v>
      </c>
    </row>
    <row r="11" spans="1:15" ht="15.75" thickBot="1" x14ac:dyDescent="0.3">
      <c r="A11" s="52"/>
      <c r="B11" s="52"/>
      <c r="C11" s="52"/>
      <c r="D11" s="52"/>
      <c r="E11" s="52"/>
      <c r="F11" s="52"/>
      <c r="G11" s="52"/>
      <c r="H11" s="52"/>
      <c r="I11" s="52"/>
    </row>
    <row r="12" spans="1:15" ht="15.75" thickBot="1" x14ac:dyDescent="0.3">
      <c r="A12" s="52"/>
      <c r="B12" s="50" t="s">
        <v>44</v>
      </c>
      <c r="C12" s="41" t="s">
        <v>45</v>
      </c>
      <c r="D12" s="51" t="s">
        <v>51</v>
      </c>
      <c r="E12" s="25"/>
      <c r="F12" s="51" t="s">
        <v>56</v>
      </c>
      <c r="G12" s="25"/>
      <c r="H12" s="52"/>
      <c r="I12" s="52"/>
    </row>
    <row r="13" spans="1:15" ht="15.75" thickBot="1" x14ac:dyDescent="0.3">
      <c r="A13" s="52"/>
      <c r="B13" s="38" t="s">
        <v>2</v>
      </c>
      <c r="C13" s="38" t="s">
        <v>3</v>
      </c>
      <c r="D13" s="38" t="s">
        <v>4</v>
      </c>
      <c r="E13" s="38" t="s">
        <v>3</v>
      </c>
      <c r="F13" s="38" t="s">
        <v>4</v>
      </c>
      <c r="G13" s="38" t="s">
        <v>3</v>
      </c>
      <c r="H13" s="52"/>
      <c r="I13" s="52"/>
    </row>
    <row r="14" spans="1:15" ht="15.75" thickBot="1" x14ac:dyDescent="0.3">
      <c r="A14" s="52"/>
      <c r="B14" s="45">
        <f>1</f>
        <v>1</v>
      </c>
      <c r="C14" s="47">
        <v>4</v>
      </c>
      <c r="D14" s="46">
        <v>0</v>
      </c>
      <c r="E14" s="47">
        <v>4</v>
      </c>
      <c r="F14" s="65">
        <v>0</v>
      </c>
      <c r="G14" s="65">
        <v>3</v>
      </c>
      <c r="H14" s="52"/>
      <c r="I14" s="52"/>
    </row>
    <row r="15" spans="1:15" ht="15.75" thickBot="1" x14ac:dyDescent="0.3">
      <c r="A15" s="52"/>
      <c r="B15" s="44" t="s">
        <v>53</v>
      </c>
      <c r="C15" s="52"/>
      <c r="D15" s="55" t="s">
        <v>52</v>
      </c>
      <c r="E15" s="52"/>
      <c r="F15" s="55" t="s">
        <v>57</v>
      </c>
      <c r="G15" s="52"/>
      <c r="H15" s="52"/>
      <c r="I15" s="119" t="s">
        <v>58</v>
      </c>
      <c r="J15" s="119" t="s">
        <v>59</v>
      </c>
      <c r="K15" s="169" t="s">
        <v>60</v>
      </c>
    </row>
    <row r="16" spans="1:15" ht="15.75" thickBot="1" x14ac:dyDescent="0.3">
      <c r="A16" s="6" t="s">
        <v>13</v>
      </c>
      <c r="B16" s="56">
        <f>B14*B6+C14*(D6+C6)</f>
        <v>15</v>
      </c>
      <c r="C16" s="164"/>
      <c r="D16" s="57">
        <f>D14*B6+E14*(D6+C6)</f>
        <v>12</v>
      </c>
      <c r="E16" s="52"/>
      <c r="F16" s="57">
        <f>F14*B6+G14*(D6+C6)</f>
        <v>9</v>
      </c>
      <c r="G16" s="52"/>
      <c r="H16" s="52"/>
      <c r="I16" s="116" t="s">
        <v>35</v>
      </c>
      <c r="J16" s="113">
        <v>1</v>
      </c>
      <c r="K16" s="111">
        <v>3</v>
      </c>
      <c r="L16" s="111">
        <v>1</v>
      </c>
    </row>
    <row r="17" spans="1:12" ht="15.75" thickBot="1" x14ac:dyDescent="0.3">
      <c r="A17" s="6" t="s">
        <v>18</v>
      </c>
      <c r="B17" s="43">
        <f>B14*B7+C14*(C7+D7)+6*F7+4*E7</f>
        <v>32</v>
      </c>
      <c r="C17" s="52"/>
      <c r="D17" s="58">
        <f>7*E14</f>
        <v>28</v>
      </c>
      <c r="E17" s="52"/>
      <c r="F17" s="58">
        <f>7*G14</f>
        <v>21</v>
      </c>
      <c r="G17" s="52"/>
      <c r="H17" s="52"/>
      <c r="I17" s="117" t="s">
        <v>36</v>
      </c>
      <c r="J17" s="114">
        <v>3</v>
      </c>
      <c r="K17" s="111">
        <v>1</v>
      </c>
      <c r="L17" s="111">
        <v>6</v>
      </c>
    </row>
    <row r="18" spans="1:12" ht="15.75" thickBot="1" x14ac:dyDescent="0.3">
      <c r="A18" s="9" t="s">
        <v>19</v>
      </c>
      <c r="B18" s="52">
        <f>9*L16+4*L17</f>
        <v>33</v>
      </c>
      <c r="D18" s="52">
        <f>7*4</f>
        <v>28</v>
      </c>
      <c r="E18" s="52"/>
      <c r="F18" s="52">
        <f>7*3</f>
        <v>21</v>
      </c>
      <c r="G18" s="52"/>
      <c r="H18" s="52"/>
      <c r="I18" s="118" t="s">
        <v>37</v>
      </c>
      <c r="J18" s="114">
        <v>5</v>
      </c>
      <c r="K18" s="111">
        <v>6</v>
      </c>
      <c r="L18" s="111">
        <v>6</v>
      </c>
    </row>
    <row r="19" spans="1:12" ht="15.75" thickBot="1" x14ac:dyDescent="0.3">
      <c r="A19" s="10" t="s">
        <v>20</v>
      </c>
      <c r="B19" s="52">
        <f>10*L16+5*L17</f>
        <v>40</v>
      </c>
      <c r="D19" s="52">
        <f>11*4</f>
        <v>44</v>
      </c>
      <c r="E19" s="52"/>
      <c r="F19" s="52">
        <f>11*3</f>
        <v>33</v>
      </c>
      <c r="G19" s="52"/>
      <c r="H19" s="52"/>
      <c r="I19" s="170" t="s">
        <v>78</v>
      </c>
      <c r="J19" s="168">
        <v>7</v>
      </c>
      <c r="K19" s="167"/>
    </row>
    <row r="20" spans="1:12" x14ac:dyDescent="0.25">
      <c r="A20" s="10" t="s">
        <v>21</v>
      </c>
      <c r="B20" s="52">
        <f>11*L16+6*L17</f>
        <v>47</v>
      </c>
      <c r="D20" s="52">
        <f>27*4</f>
        <v>108</v>
      </c>
      <c r="E20" s="52"/>
      <c r="F20" s="52">
        <f>27*3</f>
        <v>81</v>
      </c>
      <c r="G20" s="52"/>
      <c r="H20" s="52"/>
      <c r="I20" s="52"/>
    </row>
    <row r="21" spans="1:12" x14ac:dyDescent="0.25">
      <c r="C21">
        <f>B20+F20</f>
        <v>128</v>
      </c>
    </row>
    <row r="22" spans="1:12" x14ac:dyDescent="0.25">
      <c r="J22" s="134"/>
    </row>
    <row r="23" spans="1:12" ht="15.75" thickBot="1" x14ac:dyDescent="0.3">
      <c r="A23" s="11" t="s">
        <v>22</v>
      </c>
      <c r="B23" s="12" t="s">
        <v>5</v>
      </c>
      <c r="C23" s="12" t="s">
        <v>40</v>
      </c>
      <c r="D23" s="12" t="s">
        <v>49</v>
      </c>
      <c r="E23" s="4" t="s">
        <v>50</v>
      </c>
      <c r="F23" s="12" t="s">
        <v>25</v>
      </c>
      <c r="G23" s="12" t="s">
        <v>26</v>
      </c>
      <c r="H23" s="12" t="s">
        <v>27</v>
      </c>
    </row>
    <row r="24" spans="1:12" x14ac:dyDescent="0.25">
      <c r="A24" s="96" t="s">
        <v>28</v>
      </c>
      <c r="B24" s="90" t="s">
        <v>13</v>
      </c>
      <c r="C24" s="75">
        <f>0.047993-39.9546183847</f>
        <v>-39.9066253847</v>
      </c>
      <c r="D24" s="28">
        <f>-39.1932487584+0.031026</f>
        <v>-39.162222758400006</v>
      </c>
      <c r="E24" s="28">
        <f>'H2=2H'!D24/2</f>
        <v>-0.496199</v>
      </c>
      <c r="F24" s="28">
        <f>ABS(C24-(D24+E24))</f>
        <v>0.24820362629999693</v>
      </c>
      <c r="G24" s="28">
        <f t="shared" ref="G24:G28" si="0">F24*627.503</f>
        <v>155.74852011412699</v>
      </c>
      <c r="H24" s="68">
        <f t="shared" ref="H24:H38" si="1">ABS(G24-$A$2)</f>
        <v>52.448520114126993</v>
      </c>
    </row>
    <row r="25" spans="1:12" x14ac:dyDescent="0.25">
      <c r="A25" s="97" t="s">
        <v>28</v>
      </c>
      <c r="B25" s="91" t="s">
        <v>29</v>
      </c>
      <c r="C25" s="124">
        <f>-40.1796710348+0.047233</f>
        <v>-40.132438034800003</v>
      </c>
      <c r="D25" s="124">
        <f>0.030992-39.4272972899</f>
        <v>-39.396305289899999</v>
      </c>
      <c r="E25" s="125">
        <f>'H2=2H'!D25/2</f>
        <v>-0.49823299999999998</v>
      </c>
      <c r="F25" s="125">
        <f t="shared" ref="F25:F27" si="2">ABS(C25-(D25+E25))</f>
        <v>0.23789974490000532</v>
      </c>
      <c r="G25" s="125">
        <f t="shared" si="0"/>
        <v>149.28280362398806</v>
      </c>
      <c r="H25" s="69">
        <f t="shared" si="1"/>
        <v>45.982803623988062</v>
      </c>
    </row>
    <row r="26" spans="1:12" x14ac:dyDescent="0.25">
      <c r="A26" s="97" t="s">
        <v>28</v>
      </c>
      <c r="B26" s="91" t="s">
        <v>19</v>
      </c>
      <c r="C26" s="136">
        <f xml:space="preserve"> 0.046961-40.1720831941</f>
        <v>-40.125122194099994</v>
      </c>
      <c r="D26" s="124">
        <f>-39.4213182026+0.03059</f>
        <v>-39.390728202600002</v>
      </c>
      <c r="E26" s="125">
        <f>'H2=2H'!D26/2</f>
        <v>-0.499278</v>
      </c>
      <c r="F26" s="125">
        <f t="shared" si="2"/>
        <v>0.2351159914999954</v>
      </c>
      <c r="G26" s="125">
        <f t="shared" si="0"/>
        <v>147.53599001422162</v>
      </c>
      <c r="H26" s="69">
        <f t="shared" si="1"/>
        <v>44.235990014221628</v>
      </c>
    </row>
    <row r="27" spans="1:12" ht="15.75" thickBot="1" x14ac:dyDescent="0.3">
      <c r="A27" s="98" t="s">
        <v>28</v>
      </c>
      <c r="B27" s="92" t="s">
        <v>20</v>
      </c>
      <c r="C27" s="124">
        <f>-40.1740602196+ 0.046689</f>
        <v>-40.127371219600001</v>
      </c>
      <c r="D27" s="124">
        <f>0.030731-39.4243833839</f>
        <v>-39.393652383899997</v>
      </c>
      <c r="E27" s="125">
        <f>'H2=2H'!D27/2</f>
        <v>-0.499334</v>
      </c>
      <c r="F27" s="125">
        <f t="shared" si="2"/>
        <v>0.23438483570000557</v>
      </c>
      <c r="G27" s="125">
        <f t="shared" si="0"/>
        <v>147.07718755626061</v>
      </c>
      <c r="H27" s="69">
        <f t="shared" si="1"/>
        <v>43.777187556260614</v>
      </c>
    </row>
    <row r="28" spans="1:12" ht="15.75" thickBot="1" x14ac:dyDescent="0.3">
      <c r="A28" s="141" t="s">
        <v>30</v>
      </c>
      <c r="B28" s="140" t="s">
        <v>31</v>
      </c>
      <c r="C28" s="75">
        <v>-40.255999000000003</v>
      </c>
      <c r="D28" s="75">
        <v>-39.592337999999998</v>
      </c>
      <c r="E28" s="28">
        <f>'H2=2H'!D29/2</f>
        <v>-0.497311</v>
      </c>
      <c r="F28" s="28">
        <f>ABS(C28-(D28+E28))</f>
        <v>0.16635000000000133</v>
      </c>
      <c r="G28" s="28">
        <f t="shared" ref="G28:G30" si="3">F28*628.5095</f>
        <v>104.55255532500084</v>
      </c>
      <c r="H28" s="137">
        <f>ABS(G28-$A$2)</f>
        <v>1.2525553250008414</v>
      </c>
    </row>
    <row r="29" spans="1:12" ht="15.75" thickBot="1" x14ac:dyDescent="0.3">
      <c r="A29" s="160" t="s">
        <v>30</v>
      </c>
      <c r="B29" s="148" t="s">
        <v>29</v>
      </c>
      <c r="C29" s="161">
        <v>-40.481363999999999</v>
      </c>
      <c r="D29" s="161">
        <v>-39.817515</v>
      </c>
      <c r="E29" s="162">
        <f>'H2=2H'!D30/2</f>
        <v>-0.50027299999999997</v>
      </c>
      <c r="F29" s="162">
        <f>ABS(C29-(D29+E29))</f>
        <v>0.16357599999999906</v>
      </c>
      <c r="G29" s="148">
        <f t="shared" si="3"/>
        <v>102.80906997199941</v>
      </c>
      <c r="H29" s="143">
        <f>ABS(G29-$A$2)</f>
        <v>0.49093002800059082</v>
      </c>
    </row>
    <row r="30" spans="1:12" x14ac:dyDescent="0.25">
      <c r="A30" s="147" t="s">
        <v>30</v>
      </c>
      <c r="B30" s="84" t="s">
        <v>19</v>
      </c>
      <c r="C30" s="124">
        <v>-40.472019000000003</v>
      </c>
      <c r="D30" s="124">
        <v>-39.809696000000002</v>
      </c>
      <c r="E30" s="125">
        <f>'H2=2H'!D31/2</f>
        <v>-0.50125799999999998</v>
      </c>
      <c r="F30" s="125">
        <f>ABS(C30-(D30+E30))</f>
        <v>0.16106500000000068</v>
      </c>
      <c r="G30" s="125">
        <f t="shared" si="3"/>
        <v>101.23088261750043</v>
      </c>
      <c r="H30" s="80">
        <f>ABS(G30-$A$2)</f>
        <v>2.0691173824995701</v>
      </c>
    </row>
    <row r="31" spans="1:12" ht="15.75" thickBot="1" x14ac:dyDescent="0.3">
      <c r="A31" s="144" t="s">
        <v>30</v>
      </c>
      <c r="B31" s="146" t="s">
        <v>20</v>
      </c>
      <c r="C31" s="145">
        <v>-40.476407000000002</v>
      </c>
      <c r="D31" s="145">
        <v>-39.814703999999999</v>
      </c>
      <c r="E31" s="145">
        <f>'H2=2H'!D32/2</f>
        <v>-0.50165700000000002</v>
      </c>
      <c r="F31" s="145">
        <f>ABS(C31-(D31+E31))</f>
        <v>0.16004600000000124</v>
      </c>
      <c r="G31" s="145">
        <f>F31*627.503</f>
        <v>100.42934513800078</v>
      </c>
      <c r="H31" s="72">
        <f>ABS(G31-$A$2)</f>
        <v>2.8706548619992134</v>
      </c>
    </row>
    <row r="32" spans="1:12" x14ac:dyDescent="0.25">
      <c r="A32" s="99" t="s">
        <v>32</v>
      </c>
      <c r="B32" s="94" t="s">
        <v>31</v>
      </c>
      <c r="C32" s="124">
        <f>0.04641-40.075513138533</f>
        <v>-40.029103138532996</v>
      </c>
      <c r="D32" s="124">
        <f>0.030387-39.418237764978</f>
        <v>-39.387850764978005</v>
      </c>
      <c r="E32" s="125">
        <f>'H2=2H'!D34/2</f>
        <v>-0.49619863601800002</v>
      </c>
      <c r="F32" s="125">
        <f>ABS(C32-(D32+E32))</f>
        <v>0.14505373753699047</v>
      </c>
      <c r="G32" s="125">
        <f>F32*628.5095</f>
        <v>91.167652052505105</v>
      </c>
      <c r="H32" s="69">
        <f>ABS(G32-$A$2)</f>
        <v>12.132347947494893</v>
      </c>
    </row>
    <row r="33" spans="1:8" x14ac:dyDescent="0.25">
      <c r="A33" s="97" t="s">
        <v>32</v>
      </c>
      <c r="B33" s="91" t="s">
        <v>29</v>
      </c>
      <c r="C33" s="124">
        <f>0.046239-40.365953154884</f>
        <v>-40.319714154883997</v>
      </c>
      <c r="D33" s="124">
        <f>-39.696334920752+0.030785</f>
        <v>-39.665549920751999</v>
      </c>
      <c r="E33" s="125">
        <f>'H2=2H'!D35/2</f>
        <v>-0.49823290920199997</v>
      </c>
      <c r="F33" s="125">
        <f>ABS(C33-(D33+E33))</f>
        <v>0.15593132492999473</v>
      </c>
      <c r="G33" s="125">
        <f>F33*628.5095</f>
        <v>98.004319066088527</v>
      </c>
      <c r="H33" s="69">
        <f>ABS(G33-$A$2)</f>
        <v>5.2956809339114699</v>
      </c>
    </row>
    <row r="34" spans="1:8" x14ac:dyDescent="0.25">
      <c r="A34" s="97" t="s">
        <v>32</v>
      </c>
      <c r="B34" s="91" t="s">
        <v>19</v>
      </c>
      <c r="C34" s="124">
        <f>0.045384-40.360174937417</f>
        <v>-40.314790937417001</v>
      </c>
      <c r="D34" s="124">
        <f>0.030032-39.690639486241</f>
        <v>-39.660607486240998</v>
      </c>
      <c r="E34" s="125">
        <f>'H2=2H'!D36/2</f>
        <v>-0.49927840342000002</v>
      </c>
      <c r="F34" s="125">
        <f>ABS(C34-(D34+E34))</f>
        <v>0.154905047756003</v>
      </c>
      <c r="G34" s="125">
        <f>F34*628.5095</f>
        <v>97.359294112601575</v>
      </c>
      <c r="H34" s="69">
        <f>ABS(G34-$A$2)</f>
        <v>5.9407058873984226</v>
      </c>
    </row>
    <row r="35" spans="1:8" ht="15.75" thickBot="1" x14ac:dyDescent="0.3">
      <c r="A35" s="43" t="s">
        <v>32</v>
      </c>
      <c r="B35" s="93" t="s">
        <v>20</v>
      </c>
      <c r="C35" s="128">
        <f>0.044992-40.3677263387</f>
        <v>-40.322734338700002</v>
      </c>
      <c r="D35" s="128">
        <f>-39.698265572358+0.030157</f>
        <v>-39.668108572357994</v>
      </c>
      <c r="E35" s="31">
        <f>'H2=2H'!D37/2</f>
        <v>-0.49933431544000001</v>
      </c>
      <c r="F35" s="31">
        <f>ABS(C35-(D35+E35))</f>
        <v>0.15529145090200558</v>
      </c>
      <c r="G35" s="31">
        <f>F35*627.503</f>
        <v>97.44585131536121</v>
      </c>
      <c r="H35" s="95">
        <f>ABS(G35-$A$2)</f>
        <v>5.8541486846387869</v>
      </c>
    </row>
    <row r="43" spans="1:8" x14ac:dyDescent="0.25">
      <c r="A43" s="16" t="s">
        <v>22</v>
      </c>
      <c r="B43" s="5" t="s">
        <v>33</v>
      </c>
      <c r="E43" s="17"/>
      <c r="F43" s="17"/>
      <c r="G43" s="17"/>
    </row>
    <row r="44" spans="1:8" x14ac:dyDescent="0.25">
      <c r="A44" s="8" t="s">
        <v>28</v>
      </c>
      <c r="B44" s="8" t="s">
        <v>29</v>
      </c>
      <c r="E44" s="17"/>
      <c r="F44" s="17"/>
      <c r="G44" s="17"/>
    </row>
    <row r="45" spans="1:8" x14ac:dyDescent="0.25">
      <c r="A45" s="8" t="s">
        <v>30</v>
      </c>
      <c r="B45" s="8" t="s">
        <v>29</v>
      </c>
      <c r="E45" s="17"/>
      <c r="F45" s="17"/>
      <c r="G45" s="17"/>
    </row>
    <row r="46" spans="1:8" x14ac:dyDescent="0.25">
      <c r="A46" s="8" t="s">
        <v>32</v>
      </c>
      <c r="B46" s="8" t="s">
        <v>29</v>
      </c>
      <c r="E46" s="17"/>
      <c r="F46" s="17"/>
      <c r="G46" s="17"/>
    </row>
    <row r="47" spans="1:8" x14ac:dyDescent="0.25">
      <c r="A47" s="17"/>
      <c r="B47" s="17"/>
      <c r="E47" s="17"/>
      <c r="F47" s="17"/>
      <c r="G47" s="17"/>
    </row>
    <row r="48" spans="1:8" x14ac:dyDescent="0.25">
      <c r="A48" s="17"/>
      <c r="B48" s="17"/>
    </row>
    <row r="49" spans="1:8" x14ac:dyDescent="0.25">
      <c r="A49" s="20" t="s">
        <v>34</v>
      </c>
      <c r="B49" s="17"/>
    </row>
    <row r="51" spans="1:8" ht="15.75" thickBot="1" x14ac:dyDescent="0.3">
      <c r="A51" s="19" t="s">
        <v>22</v>
      </c>
      <c r="B51" s="5" t="s">
        <v>5</v>
      </c>
      <c r="C51" s="4" t="s">
        <v>40</v>
      </c>
      <c r="D51" s="4" t="s">
        <v>41</v>
      </c>
      <c r="E51" s="4" t="s">
        <v>42</v>
      </c>
      <c r="F51" s="5" t="s">
        <v>25</v>
      </c>
      <c r="G51" s="5" t="s">
        <v>26</v>
      </c>
      <c r="H51" s="5" t="s">
        <v>27</v>
      </c>
    </row>
    <row r="52" spans="1:8" x14ac:dyDescent="0.25">
      <c r="A52" s="82" t="s">
        <v>28</v>
      </c>
      <c r="B52" s="77" t="s">
        <v>13</v>
      </c>
      <c r="C52" s="75">
        <f>0.04799105-39.97687756</f>
        <v>-39.928886509999998</v>
      </c>
      <c r="D52" s="75">
        <f>0.03067971-39.33939052</f>
        <v>-39.308710810000001</v>
      </c>
      <c r="E52" s="75">
        <f>'H2=2H'!D52/2</f>
        <v>-0.49619864000000002</v>
      </c>
      <c r="F52" s="28">
        <f t="shared" ref="F52:F66" si="4">ABS(C52-(E52+D52))</f>
        <v>0.12397705999999431</v>
      </c>
      <c r="G52" s="28">
        <f t="shared" ref="G52:G56" si="5">F52*627.503</f>
        <v>77.795977081176432</v>
      </c>
      <c r="H52" s="68">
        <f>ABS(G52-$A$2)</f>
        <v>25.504022918823566</v>
      </c>
    </row>
    <row r="53" spans="1:8" x14ac:dyDescent="0.25">
      <c r="A53" s="83" t="s">
        <v>28</v>
      </c>
      <c r="B53" s="78" t="s">
        <v>29</v>
      </c>
      <c r="C53" s="124">
        <f>0.04723855-40.20210442</f>
        <v>-40.154865869999995</v>
      </c>
      <c r="D53" s="124">
        <f>0.03072263-39.56272436</f>
        <v>-39.532001729999998</v>
      </c>
      <c r="E53" s="124">
        <f>'H2=2H'!D57/2</f>
        <v>-0.49686205</v>
      </c>
      <c r="F53" s="125">
        <f t="shared" si="4"/>
        <v>0.12600209000000007</v>
      </c>
      <c r="G53" s="125">
        <f t="shared" si="5"/>
        <v>79.066689481270046</v>
      </c>
      <c r="H53" s="69">
        <f t="shared" ref="H53:H66" si="6">ABS(G53-$A$2)</f>
        <v>24.233310518729951</v>
      </c>
    </row>
    <row r="54" spans="1:8" x14ac:dyDescent="0.25">
      <c r="A54" s="83" t="s">
        <v>28</v>
      </c>
      <c r="B54" s="78" t="s">
        <v>19</v>
      </c>
      <c r="C54" s="124">
        <f>0.04696499-40.19871198</f>
        <v>-40.151746989999999</v>
      </c>
      <c r="D54" s="124">
        <f>0.03050811-39.559645</f>
        <v>-39.529136890000004</v>
      </c>
      <c r="E54" s="124">
        <f>'H2=2H'!D58/2</f>
        <v>-0.49785866000000001</v>
      </c>
      <c r="F54" s="125">
        <f t="shared" si="4"/>
        <v>0.12475143999999716</v>
      </c>
      <c r="G54" s="125">
        <f t="shared" si="5"/>
        <v>78.281902854318218</v>
      </c>
      <c r="H54" s="69">
        <f t="shared" si="6"/>
        <v>25.018097145681779</v>
      </c>
    </row>
    <row r="55" spans="1:8" ht="15.75" thickBot="1" x14ac:dyDescent="0.3">
      <c r="A55" s="83" t="s">
        <v>28</v>
      </c>
      <c r="B55" s="78" t="s">
        <v>20</v>
      </c>
      <c r="C55" s="124">
        <f>0.04669113-40.19963317</f>
        <v>-40.152942039999999</v>
      </c>
      <c r="D55" s="124">
        <f>0.0304622-39.56166455</f>
        <v>-39.531202350000001</v>
      </c>
      <c r="E55" s="124">
        <f>'H2=2H'!D59/2</f>
        <v>-0.49826981999999997</v>
      </c>
      <c r="F55" s="125">
        <f t="shared" si="4"/>
        <v>0.12346987000000098</v>
      </c>
      <c r="G55" s="125">
        <f t="shared" si="5"/>
        <v>77.477713834610626</v>
      </c>
      <c r="H55" s="69">
        <f t="shared" si="6"/>
        <v>25.822286165389372</v>
      </c>
    </row>
    <row r="56" spans="1:8" ht="15.75" thickBot="1" x14ac:dyDescent="0.3">
      <c r="A56" s="82" t="s">
        <v>30</v>
      </c>
      <c r="B56" s="79" t="s">
        <v>31</v>
      </c>
      <c r="C56" s="75">
        <f>0.04556746-40.26560309</f>
        <v>-40.220035629999998</v>
      </c>
      <c r="D56" s="75">
        <f>0.02982904-39.58894174</f>
        <v>-39.5591127</v>
      </c>
      <c r="E56" s="75">
        <f>'H2=2H'!D56/2</f>
        <v>-0.49388664999999998</v>
      </c>
      <c r="F56" s="28">
        <f>ABS(C56-(E56+D56))</f>
        <v>0.16703627999999782</v>
      </c>
      <c r="G56" s="28">
        <f t="shared" ref="G56:G58" si="7">F56*628.5095</f>
        <v>104.98388882465864</v>
      </c>
      <c r="H56" s="68">
        <f>ABS(G56-$A$2)</f>
        <v>1.6838888246586379</v>
      </c>
    </row>
    <row r="57" spans="1:8" ht="15.75" thickBot="1" x14ac:dyDescent="0.3">
      <c r="A57" s="143" t="s">
        <v>30</v>
      </c>
      <c r="B57" s="163" t="s">
        <v>29</v>
      </c>
      <c r="C57" s="73">
        <f>0.0447281-40.48935929</f>
        <v>-40.444631190000003</v>
      </c>
      <c r="D57" s="73">
        <f>0.02975103-39.81284253</f>
        <v>-39.783091499999998</v>
      </c>
      <c r="E57" s="73">
        <f>'H2=2H'!D57/2</f>
        <v>-0.49686205</v>
      </c>
      <c r="F57" s="74">
        <f>ABS(C57-(E57+D57))</f>
        <v>0.16467764000000784</v>
      </c>
      <c r="G57" s="149">
        <f t="shared" si="7"/>
        <v>103.50146117758493</v>
      </c>
      <c r="H57" s="143">
        <f>ABS(G57-$A$2)</f>
        <v>0.20146117758493176</v>
      </c>
    </row>
    <row r="58" spans="1:8" x14ac:dyDescent="0.25">
      <c r="A58" s="83" t="s">
        <v>30</v>
      </c>
      <c r="B58" s="80" t="s">
        <v>19</v>
      </c>
      <c r="C58" s="124">
        <f>0.04430613-40.48037915</f>
        <v>-40.436073019999995</v>
      </c>
      <c r="D58" s="124">
        <f>0.02930089-39.80535126</f>
        <v>-39.77605037</v>
      </c>
      <c r="E58" s="124">
        <f>'H2=2H'!D58/2</f>
        <v>-0.49785866000000001</v>
      </c>
      <c r="F58" s="125">
        <f>ABS(C58-(E58+D58))</f>
        <v>0.16216398999999626</v>
      </c>
      <c r="G58" s="125">
        <f t="shared" si="7"/>
        <v>101.92160827290265</v>
      </c>
      <c r="H58" s="69">
        <f>ABS(G58-$A$2)</f>
        <v>1.3783917270973518</v>
      </c>
    </row>
    <row r="59" spans="1:8" ht="15.75" thickBot="1" x14ac:dyDescent="0.3">
      <c r="A59" s="142" t="s">
        <v>30</v>
      </c>
      <c r="B59" s="138" t="s">
        <v>20</v>
      </c>
      <c r="C59" s="128">
        <f>0.04418519-40.4846623</f>
        <v>-40.440477109999996</v>
      </c>
      <c r="D59" s="128">
        <f>0.0295803-39.81070267</f>
        <v>-39.781122369999999</v>
      </c>
      <c r="E59" s="128">
        <f>'H2=2H'!D59/2</f>
        <v>-0.49826981999999997</v>
      </c>
      <c r="F59" s="31">
        <f>ABS(C59-(E59+D59))</f>
        <v>0.16108492000000041</v>
      </c>
      <c r="G59" s="31">
        <f>F59*627.503</f>
        <v>101.08127055476027</v>
      </c>
      <c r="H59" s="95">
        <f>ABS(G59-$A$2)</f>
        <v>2.218729445239731</v>
      </c>
    </row>
    <row r="60" spans="1:8" x14ac:dyDescent="0.25">
      <c r="A60" s="66" t="s">
        <v>65</v>
      </c>
      <c r="B60" s="81" t="s">
        <v>31</v>
      </c>
      <c r="C60" s="124">
        <f>0.04641571-40.075513138533</f>
        <v>-40.029097428532999</v>
      </c>
      <c r="D60" s="124">
        <f>-39.41962345+0.03102493</f>
        <v>-39.388598520000002</v>
      </c>
      <c r="E60" s="124">
        <f xml:space="preserve"> -0.49619864</f>
        <v>-0.49619864000000002</v>
      </c>
      <c r="F60" s="125">
        <f>ABS(C60-(E60+D60))</f>
        <v>0.14430026853299438</v>
      </c>
      <c r="G60" s="125">
        <f>F60*628.5095</f>
        <v>90.694089625538027</v>
      </c>
      <c r="H60" s="69">
        <f>ABS(G60-$A$2)</f>
        <v>12.60591037446197</v>
      </c>
    </row>
    <row r="61" spans="1:8" x14ac:dyDescent="0.25">
      <c r="A61" s="66" t="s">
        <v>65</v>
      </c>
      <c r="B61" s="69" t="s">
        <v>29</v>
      </c>
      <c r="C61" s="124">
        <f>0.04623424-40.36465269</f>
        <v>-40.318418450000003</v>
      </c>
      <c r="D61" s="124">
        <f>0.03085394-39.69405727</f>
        <v>-39.663203330000002</v>
      </c>
      <c r="E61" s="124">
        <f>'H2=2H'!D61/2</f>
        <v>-0.49823290999999997</v>
      </c>
      <c r="F61" s="125">
        <f>ABS(C61-(E61+D61))</f>
        <v>0.15698221000000245</v>
      </c>
      <c r="G61" s="125">
        <f>F61*628.5095</f>
        <v>98.664810315996547</v>
      </c>
      <c r="H61" s="69">
        <f>ABS(G61-$A$2)</f>
        <v>4.6351896840034499</v>
      </c>
    </row>
    <row r="62" spans="1:8" x14ac:dyDescent="0.25">
      <c r="A62" s="66" t="s">
        <v>65</v>
      </c>
      <c r="B62" s="69" t="s">
        <v>19</v>
      </c>
      <c r="C62" s="124">
        <f>0.04539751-40.36017514</f>
        <v>-40.314777630000002</v>
      </c>
      <c r="D62" s="139">
        <f>0.0305872-39.69297239</f>
        <v>-39.662385190000002</v>
      </c>
      <c r="E62" s="124">
        <f>'H2=2H'!D62/2</f>
        <v>-0.49933432</v>
      </c>
      <c r="F62" s="125">
        <f>ABS(C62-(E62+D62))</f>
        <v>0.15305811999999719</v>
      </c>
      <c r="G62" s="125">
        <f>F62*628.5095</f>
        <v>96.198482472138238</v>
      </c>
      <c r="H62" s="69">
        <f>ABS(G62-$A$2)</f>
        <v>7.101517527861759</v>
      </c>
    </row>
    <row r="63" spans="1:8" ht="15.75" thickBot="1" x14ac:dyDescent="0.3">
      <c r="A63" s="67" t="s">
        <v>65</v>
      </c>
      <c r="B63" s="95" t="s">
        <v>20</v>
      </c>
      <c r="C63" s="128">
        <f>0.04500432-40.36772651</f>
        <v>-40.32272219</v>
      </c>
      <c r="D63" s="128">
        <f>0.03072783-39.70082578</f>
        <v>-39.670097950000006</v>
      </c>
      <c r="E63" s="128">
        <f>'H2=2H'!D63/2</f>
        <v>-0.49933432</v>
      </c>
      <c r="F63" s="31">
        <f>ABS(C63-(E63+D63))</f>
        <v>0.15328991999999175</v>
      </c>
      <c r="G63" s="31">
        <f>F63*627.503</f>
        <v>96.189884669754832</v>
      </c>
      <c r="H63" s="95">
        <f>ABS(G63-$A$2)</f>
        <v>7.110115330245165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H2=2H</vt:lpstr>
      <vt:lpstr>CH4=CH3+H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2024-05-03T13:59:54Z</dcterms:created>
  <dcterms:modified xsi:type="dcterms:W3CDTF">2024-06-25T17:25:34Z</dcterms:modified>
</cp:coreProperties>
</file>