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6\"/>
    </mc:Choice>
  </mc:AlternateContent>
  <xr:revisionPtr revIDLastSave="0" documentId="13_ncr:1_{83EAC0A4-30EE-4480-A8FD-A5D88B21DBB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2=2H" sheetId="1" r:id="rId1"/>
    <sheet name="CH4=CH3+H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GbuzWtgZog6ToXzOy/IS7KLPoE92Zg+qP+ujzsSh4="/>
    </ext>
  </extLst>
</workbook>
</file>

<file path=xl/calcChain.xml><?xml version="1.0" encoding="utf-8"?>
<calcChain xmlns="http://schemas.openxmlformats.org/spreadsheetml/2006/main">
  <c r="F20" i="4" l="1"/>
  <c r="F19" i="4"/>
  <c r="F18" i="4"/>
  <c r="D20" i="4"/>
  <c r="D19" i="4"/>
  <c r="D18" i="4"/>
  <c r="B20" i="1"/>
  <c r="D20" i="1" s="1"/>
  <c r="B19" i="1"/>
  <c r="D19" i="1" s="1"/>
  <c r="B18" i="1"/>
  <c r="D18" i="1" s="1"/>
  <c r="I10" i="4"/>
  <c r="I9" i="4"/>
  <c r="I8" i="4"/>
  <c r="G10" i="4"/>
  <c r="G9" i="4"/>
  <c r="G8" i="4"/>
  <c r="H9" i="1"/>
  <c r="H10" i="1"/>
  <c r="H8" i="1"/>
  <c r="F16" i="4"/>
  <c r="F17" i="4"/>
  <c r="D17" i="4"/>
  <c r="I6" i="4"/>
  <c r="I7" i="4"/>
  <c r="G6" i="4"/>
  <c r="G7" i="4"/>
  <c r="H6" i="1"/>
  <c r="G6" i="1"/>
  <c r="G7" i="1"/>
  <c r="B14" i="4"/>
  <c r="H7" i="4" s="1"/>
  <c r="D16" i="4"/>
  <c r="E66" i="4"/>
  <c r="F66" i="4" s="1"/>
  <c r="G66" i="4" s="1"/>
  <c r="H66" i="4" s="1"/>
  <c r="E65" i="4"/>
  <c r="F65" i="4" s="1"/>
  <c r="G65" i="4" s="1"/>
  <c r="H65" i="4" s="1"/>
  <c r="E64" i="4"/>
  <c r="F64" i="4" s="1"/>
  <c r="G64" i="4" s="1"/>
  <c r="H64" i="4" s="1"/>
  <c r="E63" i="4"/>
  <c r="F63" i="4" s="1"/>
  <c r="G63" i="4" s="1"/>
  <c r="H63" i="4" s="1"/>
  <c r="E62" i="4"/>
  <c r="F62" i="4" s="1"/>
  <c r="G62" i="4" s="1"/>
  <c r="H62" i="4" s="1"/>
  <c r="E61" i="4"/>
  <c r="F61" i="4" s="1"/>
  <c r="G61" i="4" s="1"/>
  <c r="H61" i="4" s="1"/>
  <c r="E60" i="4"/>
  <c r="F60" i="4" s="1"/>
  <c r="G60" i="4" s="1"/>
  <c r="H60" i="4" s="1"/>
  <c r="E59" i="4"/>
  <c r="F59" i="4" s="1"/>
  <c r="G59" i="4" s="1"/>
  <c r="H59" i="4" s="1"/>
  <c r="E58" i="4"/>
  <c r="F58" i="4" s="1"/>
  <c r="G58" i="4" s="1"/>
  <c r="H58" i="4" s="1"/>
  <c r="E57" i="4"/>
  <c r="F57" i="4" s="1"/>
  <c r="G57" i="4" s="1"/>
  <c r="H57" i="4" s="1"/>
  <c r="E56" i="4"/>
  <c r="F56" i="4" s="1"/>
  <c r="G56" i="4" s="1"/>
  <c r="H56" i="4" s="1"/>
  <c r="E55" i="4"/>
  <c r="F55" i="4" s="1"/>
  <c r="G55" i="4" s="1"/>
  <c r="H55" i="4" s="1"/>
  <c r="E54" i="4"/>
  <c r="F54" i="4" s="1"/>
  <c r="G54" i="4" s="1"/>
  <c r="H54" i="4" s="1"/>
  <c r="E53" i="4"/>
  <c r="F53" i="4" s="1"/>
  <c r="G53" i="4" s="1"/>
  <c r="H53" i="4" s="1"/>
  <c r="F52" i="4"/>
  <c r="G52" i="4" s="1"/>
  <c r="H52" i="4" s="1"/>
  <c r="F38" i="4"/>
  <c r="G38" i="4" s="1"/>
  <c r="H38" i="4" s="1"/>
  <c r="E37" i="4"/>
  <c r="F37" i="4" s="1"/>
  <c r="G37" i="4" s="1"/>
  <c r="H37" i="4" s="1"/>
  <c r="E36" i="4"/>
  <c r="F36" i="4" s="1"/>
  <c r="G36" i="4" s="1"/>
  <c r="H36" i="4" s="1"/>
  <c r="E35" i="4"/>
  <c r="F35" i="4" s="1"/>
  <c r="G35" i="4" s="1"/>
  <c r="H35" i="4" s="1"/>
  <c r="E34" i="4"/>
  <c r="F34" i="4" s="1"/>
  <c r="G34" i="4" s="1"/>
  <c r="H34" i="4" s="1"/>
  <c r="E33" i="4"/>
  <c r="F33" i="4" s="1"/>
  <c r="G33" i="4" s="1"/>
  <c r="H33" i="4" s="1"/>
  <c r="E32" i="4"/>
  <c r="F32" i="4" s="1"/>
  <c r="G32" i="4" s="1"/>
  <c r="H32" i="4" s="1"/>
  <c r="E31" i="4"/>
  <c r="F31" i="4" s="1"/>
  <c r="G31" i="4" s="1"/>
  <c r="H31" i="4" s="1"/>
  <c r="E30" i="4"/>
  <c r="F30" i="4" s="1"/>
  <c r="G30" i="4" s="1"/>
  <c r="H30" i="4" s="1"/>
  <c r="E29" i="4"/>
  <c r="F29" i="4" s="1"/>
  <c r="G29" i="4" s="1"/>
  <c r="H29" i="4" s="1"/>
  <c r="E28" i="4"/>
  <c r="F28" i="4" s="1"/>
  <c r="G28" i="4" s="1"/>
  <c r="H28" i="4" s="1"/>
  <c r="E27" i="4"/>
  <c r="F27" i="4" s="1"/>
  <c r="G27" i="4" s="1"/>
  <c r="H27" i="4" s="1"/>
  <c r="E26" i="4"/>
  <c r="F26" i="4" s="1"/>
  <c r="G26" i="4" s="1"/>
  <c r="H26" i="4" s="1"/>
  <c r="E25" i="4"/>
  <c r="F25" i="4" s="1"/>
  <c r="G25" i="4" s="1"/>
  <c r="H25" i="4" s="1"/>
  <c r="E24" i="4"/>
  <c r="D24" i="4"/>
  <c r="F24" i="4" s="1"/>
  <c r="G24" i="4" s="1"/>
  <c r="H24" i="4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D52" i="1"/>
  <c r="E52" i="1" s="1"/>
  <c r="F52" i="1" s="1"/>
  <c r="G52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C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E26" i="1"/>
  <c r="F26" i="1" s="1"/>
  <c r="G26" i="1" s="1"/>
  <c r="D26" i="1"/>
  <c r="D25" i="1"/>
  <c r="E25" i="1" s="1"/>
  <c r="F25" i="1" s="1"/>
  <c r="G25" i="1" s="1"/>
  <c r="D24" i="1"/>
  <c r="E24" i="1" s="1"/>
  <c r="F24" i="1" s="1"/>
  <c r="G24" i="1" s="1"/>
  <c r="C14" i="1"/>
  <c r="B14" i="1"/>
  <c r="H7" i="1" s="1"/>
  <c r="B17" i="4" l="1"/>
  <c r="H6" i="4"/>
  <c r="B16" i="4"/>
  <c r="B16" i="1"/>
  <c r="D16" i="1" s="1"/>
  <c r="B17" i="1"/>
  <c r="D17" i="1" s="1"/>
  <c r="E53" i="1"/>
  <c r="F53" i="1" s="1"/>
  <c r="G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2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ID#AAABM3YRhQY
Filippo Buda    (2024-05-08 12:35:10)
su molpro mi da un errore ogni volta che provo a fare MP2 su H:
NUMBER OF OCCUPIED ORBITALS NOT CONSISTENT WITH NUMBER OF ELECTRONS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7dGZAmNMxwhicS8fVhM3g3tt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12319A3B-B608-45BF-AAE1-78BC8A65AF5A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2" authorId="0" shapeId="0" xr:uid="{69AF3156-54D2-4AE8-9A00-4BC1EED03B9E}">
      <text>
        <r>
          <rPr>
            <sz val="11"/>
            <color theme="1"/>
            <rFont val="aptos narrow"/>
            <scheme val="minor"/>
          </rPr>
          <t>======
ID#AAABM3YRhWg
Filippo Buda    (2024-05-08 13:41:19)
Stesso errore dell'idrogeno</t>
        </r>
      </text>
    </comment>
  </commentList>
</comments>
</file>

<file path=xl/sharedStrings.xml><?xml version="1.0" encoding="utf-8"?>
<sst xmlns="http://schemas.openxmlformats.org/spreadsheetml/2006/main" count="266" uniqueCount="67">
  <si>
    <t>Experimental Energy H bond</t>
  </si>
  <si>
    <t>H2 = 1s + 1s</t>
  </si>
  <si>
    <t>Core Orbital</t>
  </si>
  <si>
    <t>Valence Orbital</t>
  </si>
  <si>
    <t>Core Orbitals</t>
  </si>
  <si>
    <t>Basis set</t>
  </si>
  <si>
    <t>Core</t>
  </si>
  <si>
    <t>Valence 1</t>
  </si>
  <si>
    <t>Valence 2</t>
  </si>
  <si>
    <t>Plus</t>
  </si>
  <si>
    <t>(d,p)</t>
  </si>
  <si>
    <t>H Basis Function</t>
  </si>
  <si>
    <t>H Primitive Gaussians</t>
  </si>
  <si>
    <t>3-21G</t>
  </si>
  <si>
    <t>3</t>
  </si>
  <si>
    <t>2</t>
  </si>
  <si>
    <t>1</t>
  </si>
  <si>
    <t>0</t>
  </si>
  <si>
    <t>6-31+G(d,p)</t>
  </si>
  <si>
    <t>cc-pVDZ</t>
  </si>
  <si>
    <t>aug-cc-pVDZ</t>
  </si>
  <si>
    <t>aug-cc-pVTZ</t>
  </si>
  <si>
    <t>Theory level</t>
  </si>
  <si>
    <t>Energy product (H2)</t>
  </si>
  <si>
    <t>Energy reactant (2H)</t>
  </si>
  <si>
    <t>deltaE (hartree/mol)</t>
  </si>
  <si>
    <t>deltaE (kcal/mol)</t>
  </si>
  <si>
    <t>Difference from experimental value</t>
  </si>
  <si>
    <t>HF</t>
  </si>
  <si>
    <t>6-31+g(d,p)</t>
  </si>
  <si>
    <t>B3LYP</t>
  </si>
  <si>
    <t>3-21</t>
  </si>
  <si>
    <t>Mp2</t>
  </si>
  <si>
    <t>Most accurate Basis set</t>
  </si>
  <si>
    <t>MOLPRO CALCULATIONS</t>
  </si>
  <si>
    <t>s</t>
  </si>
  <si>
    <t>p</t>
  </si>
  <si>
    <t>d</t>
  </si>
  <si>
    <t>4s3p2d</t>
  </si>
  <si>
    <t>C Basis Function</t>
  </si>
  <si>
    <t>Energy product (CH4)</t>
  </si>
  <si>
    <t>Energy reactant 1 (CH3)</t>
  </si>
  <si>
    <t>Energy reactant 2 (H)</t>
  </si>
  <si>
    <t>Computationally intensive</t>
  </si>
  <si>
    <t>H = 1s</t>
  </si>
  <si>
    <t>C = 1s 2s 2p</t>
  </si>
  <si>
    <t>(Li-Ne)</t>
  </si>
  <si>
    <t>H2 Primitive Gaussians</t>
  </si>
  <si>
    <t>H2 Basis Function</t>
  </si>
  <si>
    <t>Experimental Energy bond</t>
  </si>
  <si>
    <t>Energy reactant1 (CH3)</t>
  </si>
  <si>
    <t>Energy reactant2 (H)</t>
  </si>
  <si>
    <t>H4 = 1s + 1s +1s+ 1s</t>
  </si>
  <si>
    <t>H4 Primitive Gaussians</t>
  </si>
  <si>
    <t>C Primitive Gaussians</t>
  </si>
  <si>
    <t>H4 Basis Function</t>
  </si>
  <si>
    <t>H3 Basis Function</t>
  </si>
  <si>
    <t>H3 = 1s +1s+ 1s</t>
  </si>
  <si>
    <t>H3 Primitive Gaussians</t>
  </si>
  <si>
    <r>
      <t>2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1</t>
    </r>
    <r>
      <rPr>
        <i/>
        <sz val="11"/>
        <color theme="1"/>
        <rFont val="aptos narrow"/>
        <family val="2"/>
        <scheme val="minor"/>
      </rPr>
      <t>p</t>
    </r>
  </si>
  <si>
    <t>Orbital</t>
  </si>
  <si>
    <t>Function</t>
  </si>
  <si>
    <t>Primitive</t>
  </si>
  <si>
    <t>3s 2p</t>
  </si>
  <si>
    <t xml:space="preserve">3s2p1d </t>
  </si>
  <si>
    <t xml:space="preserve">4s3p2d </t>
  </si>
  <si>
    <t xml:space="preserve">5s4p3d2f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</si>
</sst>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0000"/>
    <numFmt numFmtId="165" formatCode="#,##0.000000000"/>
  </numFmts>
  <fonts count="2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b/>
      <sz val="11"/>
      <color rgb="FFFFFFFF"/>
      <name val="Arial"/>
    </font>
    <font>
      <b/>
      <sz val="11"/>
      <color theme="0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0"/>
      <name val="Aptos narrow"/>
    </font>
    <font>
      <sz val="11"/>
      <color rgb="FF00610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4" borderId="0" applyNumberFormat="0" applyBorder="0" applyAlignment="0" applyProtection="0"/>
    <xf numFmtId="0" fontId="14" fillId="7" borderId="0" applyNumberFormat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5" xfId="0" applyFont="1" applyFill="1" applyBorder="1"/>
    <xf numFmtId="0" fontId="7" fillId="2" borderId="1" xfId="0" applyFont="1" applyFill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9" fontId="5" fillId="0" borderId="20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0" borderId="0" xfId="0" applyFont="1"/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2" fillId="0" borderId="0" xfId="0" applyFont="1"/>
    <xf numFmtId="0" fontId="6" fillId="2" borderId="23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11" fillId="6" borderId="38" xfId="1" applyFill="1" applyBorder="1" applyAlignment="1">
      <alignment horizontal="center"/>
    </xf>
    <xf numFmtId="0" fontId="11" fillId="6" borderId="36" xfId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49" fontId="2" fillId="0" borderId="0" xfId="0" applyNumberFormat="1" applyFont="1"/>
    <xf numFmtId="0" fontId="0" fillId="0" borderId="33" xfId="0" applyBorder="1" applyAlignment="1">
      <alignment horizontal="center"/>
    </xf>
    <xf numFmtId="0" fontId="14" fillId="7" borderId="36" xfId="2" applyBorder="1" applyAlignment="1">
      <alignment horizontal="center"/>
    </xf>
    <xf numFmtId="0" fontId="14" fillId="7" borderId="41" xfId="2" applyBorder="1" applyAlignment="1">
      <alignment horizontal="center"/>
    </xf>
    <xf numFmtId="0" fontId="14" fillId="7" borderId="0" xfId="2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49" fontId="8" fillId="0" borderId="49" xfId="0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/>
    <xf numFmtId="49" fontId="8" fillId="0" borderId="3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4" fillId="7" borderId="53" xfId="2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14" fillId="7" borderId="29" xfId="2" applyBorder="1" applyAlignment="1">
      <alignment horizontal="center"/>
    </xf>
    <xf numFmtId="49" fontId="9" fillId="0" borderId="27" xfId="0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5" fillId="8" borderId="56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49" fontId="5" fillId="0" borderId="29" xfId="0" applyNumberFormat="1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49" fontId="5" fillId="0" borderId="43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49" fontId="5" fillId="0" borderId="65" xfId="0" applyNumberFormat="1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68" xfId="0" applyFont="1" applyBorder="1" applyAlignment="1">
      <alignment horizontal="center"/>
    </xf>
    <xf numFmtId="49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11" fillId="6" borderId="72" xfId="1" applyFill="1" applyBorder="1" applyAlignment="1">
      <alignment horizontal="center"/>
    </xf>
    <xf numFmtId="0" fontId="11" fillId="6" borderId="55" xfId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1" fillId="6" borderId="45" xfId="1" applyFill="1" applyBorder="1" applyAlignment="1">
      <alignment horizontal="center"/>
    </xf>
    <xf numFmtId="0" fontId="11" fillId="6" borderId="53" xfId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40" xfId="0" applyFont="1" applyFill="1" applyBorder="1" applyAlignment="1">
      <alignment horizontal="center"/>
    </xf>
    <xf numFmtId="49" fontId="8" fillId="0" borderId="50" xfId="0" applyNumberFormat="1" applyFont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1" fillId="0" borderId="79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80" xfId="0" applyFont="1" applyBorder="1" applyAlignment="1">
      <alignment horizontal="center" wrapText="1"/>
    </xf>
    <xf numFmtId="0" fontId="15" fillId="9" borderId="24" xfId="0" applyFont="1" applyFill="1" applyBorder="1" applyAlignment="1">
      <alignment horizontal="center" wrapText="1"/>
    </xf>
    <xf numFmtId="0" fontId="15" fillId="5" borderId="24" xfId="0" applyFont="1" applyFill="1" applyBorder="1" applyAlignment="1">
      <alignment horizontal="center" wrapText="1"/>
    </xf>
    <xf numFmtId="0" fontId="15" fillId="10" borderId="24" xfId="0" applyFont="1" applyFill="1" applyBorder="1" applyAlignment="1">
      <alignment horizontal="center" wrapText="1"/>
    </xf>
    <xf numFmtId="0" fontId="15" fillId="11" borderId="24" xfId="0" applyFont="1" applyFill="1" applyBorder="1" applyAlignment="1">
      <alignment horizontal="center"/>
    </xf>
    <xf numFmtId="0" fontId="15" fillId="11" borderId="78" xfId="0" applyFont="1" applyFill="1" applyBorder="1" applyAlignment="1">
      <alignment horizontal="center"/>
    </xf>
    <xf numFmtId="0" fontId="15" fillId="11" borderId="77" xfId="0" applyFont="1" applyFill="1" applyBorder="1" applyAlignment="1">
      <alignment horizontal="center"/>
    </xf>
  </cellXfs>
  <cellStyles count="3">
    <cellStyle name="Normale" xfId="0" builtinId="0"/>
    <cellStyle name="Valore non valido" xfId="2" builtinId="27"/>
    <cellStyle name="Valore valido" xfId="1" builtinId="26"/>
  </cellStyles>
  <dxfs count="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2=2H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H4=CH3+H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6" xr3:uid="{00000000-0010-0000-0000-000006000000}" name="Experimental Energy H bond"/>
  </tableColumns>
  <tableStyleInfo name="H2=2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CC9FAB-468E-41F9-A9F6-CA50C3632E65}" name="Table_14" displayName="Table_14" ref="A1:A3">
  <tableColumns count="1">
    <tableColumn id="6" xr3:uid="{320F24D8-73B1-46BF-8C0F-797668A41A25}" name="Experimental Energy bond"/>
  </tableColumns>
  <tableStyleInfo name="H2=2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3"/>
  <sheetViews>
    <sheetView zoomScale="115" zoomScaleNormal="115" workbookViewId="0">
      <selection activeCell="E20" sqref="E20"/>
    </sheetView>
  </sheetViews>
  <sheetFormatPr defaultColWidth="12.5703125" defaultRowHeight="15" customHeight="1" x14ac:dyDescent="0.25"/>
  <cols>
    <col min="1" max="1" width="26.140625" customWidth="1"/>
    <col min="2" max="2" width="22.42578125" bestFit="1" customWidth="1"/>
    <col min="3" max="4" width="27.140625" bestFit="1" customWidth="1"/>
    <col min="5" max="5" width="18.42578125" bestFit="1" customWidth="1"/>
    <col min="6" max="6" width="26.7109375" bestFit="1" customWidth="1"/>
    <col min="7" max="7" width="31.42578125" customWidth="1"/>
    <col min="8" max="8" width="19.5703125" bestFit="1" customWidth="1"/>
    <col min="9" max="9" width="23.140625" bestFit="1" customWidth="1"/>
    <col min="10" max="10" width="28.42578125" bestFit="1" customWidth="1"/>
    <col min="11" max="11" width="24.42578125" bestFit="1" customWidth="1"/>
    <col min="12" max="12" width="26.42578125" customWidth="1"/>
    <col min="13" max="23" width="7.5703125" customWidth="1"/>
  </cols>
  <sheetData>
    <row r="1" spans="1:9" x14ac:dyDescent="0.25">
      <c r="A1" s="1" t="s">
        <v>0</v>
      </c>
    </row>
    <row r="2" spans="1:9" x14ac:dyDescent="0.25">
      <c r="A2" s="2">
        <v>103.2</v>
      </c>
      <c r="B2" s="2"/>
    </row>
    <row r="3" spans="1:9" x14ac:dyDescent="0.25">
      <c r="A3" s="2"/>
      <c r="B3" s="2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3" t="s">
        <v>11</v>
      </c>
      <c r="H5" s="74" t="s">
        <v>48</v>
      </c>
    </row>
    <row r="6" spans="1:9" x14ac:dyDescent="0.25">
      <c r="A6" s="6" t="s">
        <v>13</v>
      </c>
      <c r="B6" s="7" t="s">
        <v>14</v>
      </c>
      <c r="C6" s="7" t="s">
        <v>15</v>
      </c>
      <c r="D6" s="7" t="s">
        <v>16</v>
      </c>
      <c r="E6" s="91" t="s">
        <v>17</v>
      </c>
      <c r="F6" s="94">
        <v>0</v>
      </c>
      <c r="G6" s="76">
        <f>B6*B14+2*C14</f>
        <v>2</v>
      </c>
      <c r="H6" s="76">
        <f>E14*G6</f>
        <v>4</v>
      </c>
      <c r="I6" s="75"/>
    </row>
    <row r="7" spans="1:9" x14ac:dyDescent="0.25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92">
        <v>1</v>
      </c>
      <c r="G7" s="84">
        <f>B7*B14+2*C14+3</f>
        <v>5</v>
      </c>
      <c r="H7" s="93">
        <f>E14*G7</f>
        <v>10</v>
      </c>
    </row>
    <row r="8" spans="1:9" x14ac:dyDescent="0.25">
      <c r="A8" s="9" t="s">
        <v>19</v>
      </c>
      <c r="B8" s="82"/>
      <c r="C8" s="82"/>
      <c r="D8" s="82"/>
      <c r="E8" s="82"/>
      <c r="F8" s="82"/>
      <c r="G8" s="76">
        <v>5</v>
      </c>
      <c r="H8" s="76">
        <f>$E$14*G8</f>
        <v>10</v>
      </c>
    </row>
    <row r="9" spans="1:9" x14ac:dyDescent="0.25">
      <c r="A9" s="10" t="s">
        <v>20</v>
      </c>
      <c r="B9" s="82"/>
      <c r="C9" s="82"/>
      <c r="D9" s="82"/>
      <c r="E9" s="82"/>
      <c r="F9" s="82"/>
      <c r="G9" s="89">
        <v>9</v>
      </c>
      <c r="H9" s="76">
        <f t="shared" ref="H9:H10" si="0">$E$14*G9</f>
        <v>18</v>
      </c>
    </row>
    <row r="10" spans="1:9" x14ac:dyDescent="0.25">
      <c r="A10" s="10" t="s">
        <v>21</v>
      </c>
      <c r="B10" s="82"/>
      <c r="C10" s="82"/>
      <c r="D10" s="82"/>
      <c r="E10" s="82"/>
      <c r="F10" s="82"/>
      <c r="G10" s="76">
        <v>23</v>
      </c>
      <c r="H10" s="76">
        <f t="shared" si="0"/>
        <v>46</v>
      </c>
    </row>
    <row r="11" spans="1:9" ht="15" customHeight="1" thickBot="1" x14ac:dyDescent="0.3"/>
    <row r="12" spans="1:9" ht="15" customHeight="1" thickBot="1" x14ac:dyDescent="0.3">
      <c r="B12" s="66" t="s">
        <v>44</v>
      </c>
      <c r="C12" s="44"/>
      <c r="D12" s="65" t="s">
        <v>1</v>
      </c>
      <c r="E12" s="47"/>
    </row>
    <row r="13" spans="1:9" ht="15.75" thickBot="1" x14ac:dyDescent="0.3">
      <c r="B13" s="64" t="s">
        <v>2</v>
      </c>
      <c r="C13" s="64" t="s">
        <v>3</v>
      </c>
      <c r="D13" s="64" t="s">
        <v>4</v>
      </c>
      <c r="E13" s="64" t="s">
        <v>3</v>
      </c>
    </row>
    <row r="14" spans="1:9" ht="15.75" customHeight="1" thickBot="1" x14ac:dyDescent="0.3">
      <c r="B14" s="71">
        <f>0</f>
        <v>0</v>
      </c>
      <c r="C14" s="73">
        <f>1</f>
        <v>1</v>
      </c>
      <c r="D14" s="72">
        <v>0</v>
      </c>
      <c r="E14" s="73">
        <v>2</v>
      </c>
    </row>
    <row r="15" spans="1:9" ht="15.75" customHeight="1" thickBot="1" x14ac:dyDescent="0.3">
      <c r="B15" s="150" t="s">
        <v>12</v>
      </c>
      <c r="D15" s="70" t="s">
        <v>47</v>
      </c>
      <c r="G15" s="165" t="s">
        <v>60</v>
      </c>
      <c r="H15" s="166" t="s">
        <v>61</v>
      </c>
      <c r="I15" s="167" t="s">
        <v>62</v>
      </c>
    </row>
    <row r="16" spans="1:9" ht="15.75" customHeight="1" thickBot="1" x14ac:dyDescent="0.3">
      <c r="A16" s="48" t="s">
        <v>13</v>
      </c>
      <c r="B16" s="151">
        <f>B14*B6+C14*(D6+C6)</f>
        <v>3</v>
      </c>
      <c r="C16" s="82"/>
      <c r="D16" s="68">
        <f>2*B16</f>
        <v>6</v>
      </c>
      <c r="E16" s="82"/>
      <c r="G16" s="162" t="s">
        <v>35</v>
      </c>
      <c r="H16" s="159">
        <v>1</v>
      </c>
      <c r="I16" s="156">
        <v>3</v>
      </c>
    </row>
    <row r="17" spans="1:9" ht="15.75" customHeight="1" thickBot="1" x14ac:dyDescent="0.3">
      <c r="A17" s="48" t="s">
        <v>18</v>
      </c>
      <c r="B17" s="152">
        <f>B14*B7+C14*(C7+D7)+3*F7</f>
        <v>7</v>
      </c>
      <c r="C17" s="82"/>
      <c r="D17" s="139">
        <f>2*B17</f>
        <v>14</v>
      </c>
      <c r="E17" s="82"/>
      <c r="G17" s="163" t="s">
        <v>36</v>
      </c>
      <c r="H17" s="160">
        <v>3</v>
      </c>
      <c r="I17" s="157">
        <v>1</v>
      </c>
    </row>
    <row r="18" spans="1:9" ht="15.75" customHeight="1" thickBot="1" x14ac:dyDescent="0.3">
      <c r="A18" s="9" t="s">
        <v>19</v>
      </c>
      <c r="B18" s="153">
        <f>2*$I$16+1*$I$17</f>
        <v>7</v>
      </c>
      <c r="C18" s="149" t="s">
        <v>59</v>
      </c>
      <c r="D18" s="155">
        <f>2*B18</f>
        <v>14</v>
      </c>
      <c r="E18" s="82"/>
      <c r="G18" s="164" t="s">
        <v>37</v>
      </c>
      <c r="H18" s="161">
        <v>5</v>
      </c>
      <c r="I18" s="158">
        <v>6</v>
      </c>
    </row>
    <row r="19" spans="1:9" ht="15.75" customHeight="1" x14ac:dyDescent="0.25">
      <c r="A19" s="10" t="s">
        <v>20</v>
      </c>
      <c r="B19" s="153">
        <f>3*$I$16+2*$I$17</f>
        <v>11</v>
      </c>
      <c r="C19" s="149" t="s">
        <v>63</v>
      </c>
      <c r="D19" s="155">
        <f t="shared" ref="D19:D20" si="1">2*B19</f>
        <v>22</v>
      </c>
      <c r="E19" s="82"/>
    </row>
    <row r="20" spans="1:9" ht="15.75" customHeight="1" thickBot="1" x14ac:dyDescent="0.3">
      <c r="A20" s="10" t="s">
        <v>21</v>
      </c>
      <c r="B20" s="154">
        <f>4*$I$16+3*$I$17+2*6</f>
        <v>27</v>
      </c>
      <c r="C20" s="149" t="s">
        <v>38</v>
      </c>
      <c r="D20" s="88">
        <f t="shared" si="1"/>
        <v>54</v>
      </c>
      <c r="E20" s="82"/>
    </row>
    <row r="21" spans="1:9" ht="15.75" customHeight="1" x14ac:dyDescent="0.25"/>
    <row r="22" spans="1:9" ht="15.75" customHeight="1" x14ac:dyDescent="0.25"/>
    <row r="23" spans="1:9" ht="15.75" customHeight="1" thickBot="1" x14ac:dyDescent="0.3">
      <c r="A23" s="11" t="s">
        <v>22</v>
      </c>
      <c r="B23" s="12" t="s">
        <v>5</v>
      </c>
      <c r="C23" s="12" t="s">
        <v>23</v>
      </c>
      <c r="D23" s="12" t="s">
        <v>24</v>
      </c>
      <c r="E23" s="12" t="s">
        <v>25</v>
      </c>
      <c r="F23" s="12" t="s">
        <v>26</v>
      </c>
      <c r="G23" s="12" t="s">
        <v>27</v>
      </c>
    </row>
    <row r="24" spans="1:9" ht="15.75" customHeight="1" x14ac:dyDescent="0.25">
      <c r="A24" s="49" t="s">
        <v>28</v>
      </c>
      <c r="B24" s="126" t="s">
        <v>13</v>
      </c>
      <c r="C24" s="50">
        <v>-1.1123499999999999</v>
      </c>
      <c r="D24" s="50">
        <f>2*-0.496199</f>
        <v>-0.992398</v>
      </c>
      <c r="E24" s="50">
        <f t="shared" ref="E24:E27" si="2">D24-C24</f>
        <v>0.11995199999999995</v>
      </c>
      <c r="F24" s="50">
        <f t="shared" ref="F24:F28" si="3">E24*627.503</f>
        <v>75.270239855999975</v>
      </c>
      <c r="G24" s="57">
        <f t="shared" ref="G24:G38" si="4">ABS(F24-$A$2)</f>
        <v>27.929760144000028</v>
      </c>
    </row>
    <row r="25" spans="1:9" ht="15.75" customHeight="1" x14ac:dyDescent="0.25">
      <c r="A25" s="51" t="s">
        <v>28</v>
      </c>
      <c r="B25" s="127" t="s">
        <v>29</v>
      </c>
      <c r="C25" s="96">
        <v>-1.1207739999999999</v>
      </c>
      <c r="D25" s="3">
        <f>2*-0.498233</f>
        <v>-0.99646599999999996</v>
      </c>
      <c r="E25" s="3">
        <f t="shared" si="2"/>
        <v>0.12430799999999997</v>
      </c>
      <c r="F25" s="3">
        <f t="shared" si="3"/>
        <v>78.00364292399999</v>
      </c>
      <c r="G25" s="58">
        <f t="shared" si="4"/>
        <v>25.196357076000012</v>
      </c>
    </row>
    <row r="26" spans="1:9" ht="15.75" customHeight="1" x14ac:dyDescent="0.25">
      <c r="A26" s="51" t="s">
        <v>28</v>
      </c>
      <c r="B26" s="127" t="s">
        <v>19</v>
      </c>
      <c r="C26" s="96">
        <v>-1.1183000000000001</v>
      </c>
      <c r="D26" s="3">
        <f>2*-0.499278</f>
        <v>-0.998556</v>
      </c>
      <c r="E26" s="3">
        <f t="shared" si="2"/>
        <v>0.11974400000000007</v>
      </c>
      <c r="F26" s="3">
        <f t="shared" si="3"/>
        <v>75.139719232000047</v>
      </c>
      <c r="G26" s="58">
        <f t="shared" si="4"/>
        <v>28.060280767999956</v>
      </c>
    </row>
    <row r="27" spans="1:9" ht="15.75" customHeight="1" x14ac:dyDescent="0.25">
      <c r="A27" s="52" t="s">
        <v>28</v>
      </c>
      <c r="B27" s="128" t="s">
        <v>20</v>
      </c>
      <c r="C27" s="96">
        <v>-1.118438</v>
      </c>
      <c r="D27" s="3">
        <f>2*-0.499334</f>
        <v>-0.998668</v>
      </c>
      <c r="E27" s="3">
        <f t="shared" si="2"/>
        <v>0.11977000000000004</v>
      </c>
      <c r="F27" s="3">
        <f t="shared" si="3"/>
        <v>75.156034310000038</v>
      </c>
      <c r="G27" s="58">
        <f t="shared" si="4"/>
        <v>28.043965689999965</v>
      </c>
    </row>
    <row r="28" spans="1:9" ht="15.75" customHeight="1" thickBot="1" x14ac:dyDescent="0.3">
      <c r="A28" s="45" t="s">
        <v>28</v>
      </c>
      <c r="B28" s="46" t="s">
        <v>21</v>
      </c>
      <c r="C28" s="53">
        <v>-1.1226050000000001</v>
      </c>
      <c r="D28" s="53">
        <f>2*-0.499821</f>
        <v>-0.99964200000000003</v>
      </c>
      <c r="E28" s="53">
        <f t="shared" ref="E28:E38" si="5">-C28+D28</f>
        <v>0.12296300000000004</v>
      </c>
      <c r="F28" s="53">
        <f t="shared" si="3"/>
        <v>77.159651389000032</v>
      </c>
      <c r="G28" s="59">
        <f t="shared" si="4"/>
        <v>26.04034861099997</v>
      </c>
    </row>
    <row r="29" spans="1:9" ht="15.75" customHeight="1" x14ac:dyDescent="0.25">
      <c r="A29" s="54" t="s">
        <v>30</v>
      </c>
      <c r="B29" s="141" t="s">
        <v>31</v>
      </c>
      <c r="C29" s="146">
        <v>-1.160426</v>
      </c>
      <c r="D29" s="50">
        <f>2*-0.497311</f>
        <v>-0.99462200000000001</v>
      </c>
      <c r="E29" s="50">
        <f t="shared" si="5"/>
        <v>0.16580399999999995</v>
      </c>
      <c r="F29" s="100">
        <f t="shared" ref="F29:F31" si="6">E29*628.5095</f>
        <v>104.20938913799996</v>
      </c>
      <c r="G29" s="103">
        <f t="shared" si="4"/>
        <v>1.0093891379999604</v>
      </c>
    </row>
    <row r="30" spans="1:9" ht="15.75" customHeight="1" x14ac:dyDescent="0.25">
      <c r="A30" s="55" t="s">
        <v>30</v>
      </c>
      <c r="B30" s="142" t="s">
        <v>29</v>
      </c>
      <c r="C30" s="116">
        <v>-1.1683699999999999</v>
      </c>
      <c r="D30" s="96">
        <f>2*-0.500273</f>
        <v>-1.0005459999999999</v>
      </c>
      <c r="E30" s="96">
        <f t="shared" si="5"/>
        <v>0.16782399999999997</v>
      </c>
      <c r="F30" s="101">
        <f t="shared" si="6"/>
        <v>105.47897832799998</v>
      </c>
      <c r="G30" s="104">
        <f t="shared" si="4"/>
        <v>2.2789783279999796</v>
      </c>
    </row>
    <row r="31" spans="1:9" ht="15.75" customHeight="1" x14ac:dyDescent="0.25">
      <c r="A31" s="55" t="s">
        <v>30</v>
      </c>
      <c r="B31" s="142" t="s">
        <v>19</v>
      </c>
      <c r="C31" s="116">
        <v>-1.1636489999999999</v>
      </c>
      <c r="D31" s="96">
        <f>2*-0.501258</f>
        <v>-1.002516</v>
      </c>
      <c r="E31" s="96">
        <f t="shared" si="5"/>
        <v>0.16113299999999997</v>
      </c>
      <c r="F31" s="101">
        <f t="shared" si="6"/>
        <v>101.27362126349998</v>
      </c>
      <c r="G31" s="104">
        <f t="shared" si="4"/>
        <v>1.9263787365000269</v>
      </c>
    </row>
    <row r="32" spans="1:9" ht="15.75" customHeight="1" thickBot="1" x14ac:dyDescent="0.3">
      <c r="A32" s="56" t="s">
        <v>30</v>
      </c>
      <c r="B32" s="143" t="s">
        <v>20</v>
      </c>
      <c r="C32" s="116">
        <f>-1.164097</f>
        <v>-1.1640969999999999</v>
      </c>
      <c r="D32" s="96">
        <f>-0.501657*2</f>
        <v>-1.003314</v>
      </c>
      <c r="E32" s="96">
        <f t="shared" si="5"/>
        <v>0.1607829999999999</v>
      </c>
      <c r="F32" s="101">
        <f>E32*627.503</f>
        <v>100.89181484899994</v>
      </c>
      <c r="G32" s="105">
        <f t="shared" si="4"/>
        <v>2.3081851510000604</v>
      </c>
    </row>
    <row r="33" spans="1:7" ht="15.75" customHeight="1" thickBot="1" x14ac:dyDescent="0.3">
      <c r="A33" s="62" t="s">
        <v>30</v>
      </c>
      <c r="B33" s="144" t="s">
        <v>21</v>
      </c>
      <c r="C33" s="147">
        <v>-1.1699679999999999</v>
      </c>
      <c r="D33" s="63">
        <f>2*-0.50226</f>
        <v>-1.0045200000000001</v>
      </c>
      <c r="E33" s="63">
        <f t="shared" si="5"/>
        <v>0.16544799999999982</v>
      </c>
      <c r="F33" s="148">
        <f t="shared" ref="F33:F36" si="7">E33*628.5095</f>
        <v>103.98563975599988</v>
      </c>
      <c r="G33" s="145">
        <f t="shared" si="4"/>
        <v>0.78563975599988112</v>
      </c>
    </row>
    <row r="34" spans="1:7" ht="15.75" customHeight="1" x14ac:dyDescent="0.25">
      <c r="A34" s="98" t="s">
        <v>32</v>
      </c>
      <c r="B34" s="129" t="s">
        <v>31</v>
      </c>
      <c r="C34" s="96">
        <v>-1.1298790000000001</v>
      </c>
      <c r="D34" s="3">
        <f>2*-0.496198636018</f>
        <v>-0.99239727203600003</v>
      </c>
      <c r="E34" s="3">
        <f t="shared" si="5"/>
        <v>0.13748172796400004</v>
      </c>
      <c r="F34" s="3">
        <f t="shared" si="7"/>
        <v>86.408572101789687</v>
      </c>
      <c r="G34" s="58">
        <f t="shared" si="4"/>
        <v>16.791427898210316</v>
      </c>
    </row>
    <row r="35" spans="1:7" ht="15.75" customHeight="1" x14ac:dyDescent="0.25">
      <c r="A35" s="51" t="s">
        <v>32</v>
      </c>
      <c r="B35" s="127" t="s">
        <v>29</v>
      </c>
      <c r="C35" s="96">
        <v>-1.147151</v>
      </c>
      <c r="D35" s="3">
        <f>-0.498232909202*2</f>
        <v>-0.99646581840399995</v>
      </c>
      <c r="E35" s="3">
        <f t="shared" si="5"/>
        <v>0.15068518159600008</v>
      </c>
      <c r="F35" s="3">
        <f t="shared" si="7"/>
        <v>94.707068142311215</v>
      </c>
      <c r="G35" s="58">
        <f t="shared" si="4"/>
        <v>8.492931857688788</v>
      </c>
    </row>
    <row r="36" spans="1:7" ht="15.75" customHeight="1" x14ac:dyDescent="0.25">
      <c r="A36" s="51" t="s">
        <v>32</v>
      </c>
      <c r="B36" s="127" t="s">
        <v>19</v>
      </c>
      <c r="C36" s="96">
        <v>-1.1449689999999999</v>
      </c>
      <c r="D36" s="3">
        <f>2*-0.49927840342</f>
        <v>-0.99855680684000003</v>
      </c>
      <c r="E36" s="3">
        <f t="shared" si="5"/>
        <v>0.14641219315999987</v>
      </c>
      <c r="F36" s="3">
        <f t="shared" si="7"/>
        <v>92.021454316894932</v>
      </c>
      <c r="G36" s="58">
        <f t="shared" si="4"/>
        <v>11.178545683105071</v>
      </c>
    </row>
    <row r="37" spans="1:7" ht="15.75" customHeight="1" x14ac:dyDescent="0.25">
      <c r="A37" s="51" t="s">
        <v>32</v>
      </c>
      <c r="B37" s="127" t="s">
        <v>20</v>
      </c>
      <c r="C37" s="96">
        <v>-1.118438</v>
      </c>
      <c r="D37" s="3">
        <f>-0.49933431544*2</f>
        <v>-0.99866863088000002</v>
      </c>
      <c r="E37" s="3">
        <f t="shared" si="5"/>
        <v>0.11976936912000002</v>
      </c>
      <c r="F37" s="3">
        <f>E37*627.503</f>
        <v>75.155638430907374</v>
      </c>
      <c r="G37" s="58">
        <f t="shared" si="4"/>
        <v>28.044361569092629</v>
      </c>
    </row>
    <row r="38" spans="1:7" ht="15.75" customHeight="1" thickBot="1" x14ac:dyDescent="0.3">
      <c r="A38" s="99" t="s">
        <v>32</v>
      </c>
      <c r="B38" s="130" t="s">
        <v>21</v>
      </c>
      <c r="C38" s="27">
        <v>-1.154736</v>
      </c>
      <c r="D38" s="27">
        <f>2*-0.499821176024</f>
        <v>-0.999642352048</v>
      </c>
      <c r="E38" s="27">
        <f t="shared" si="5"/>
        <v>0.15509364795199998</v>
      </c>
      <c r="F38" s="27">
        <f>E38*628.5095</f>
        <v>97.477831127487534</v>
      </c>
      <c r="G38" s="59">
        <f t="shared" si="4"/>
        <v>5.7221688725124693</v>
      </c>
    </row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>
      <c r="A43" s="29" t="s">
        <v>22</v>
      </c>
      <c r="B43" s="5" t="s">
        <v>33</v>
      </c>
      <c r="E43" s="30"/>
      <c r="F43" s="30"/>
      <c r="G43" s="30"/>
    </row>
    <row r="44" spans="1:7" ht="15.75" customHeight="1" x14ac:dyDescent="0.25">
      <c r="A44" s="8" t="s">
        <v>28</v>
      </c>
      <c r="B44" s="8" t="s">
        <v>29</v>
      </c>
      <c r="E44" s="30"/>
      <c r="F44" s="30"/>
      <c r="G44" s="30"/>
    </row>
    <row r="45" spans="1:7" ht="15.75" customHeight="1" x14ac:dyDescent="0.25">
      <c r="A45" s="8" t="s">
        <v>30</v>
      </c>
      <c r="B45" s="8" t="s">
        <v>21</v>
      </c>
      <c r="E45" s="30"/>
      <c r="F45" s="30"/>
      <c r="G45" s="30"/>
    </row>
    <row r="46" spans="1:7" ht="15.75" customHeight="1" x14ac:dyDescent="0.25">
      <c r="A46" s="8" t="s">
        <v>32</v>
      </c>
      <c r="B46" s="8" t="s">
        <v>21</v>
      </c>
      <c r="E46" s="30"/>
      <c r="F46" s="30"/>
      <c r="G46" s="30"/>
    </row>
    <row r="47" spans="1:7" ht="15.75" customHeight="1" x14ac:dyDescent="0.25">
      <c r="A47" s="30"/>
      <c r="B47" s="30"/>
      <c r="E47" s="30"/>
      <c r="F47" s="30"/>
      <c r="G47" s="30"/>
    </row>
    <row r="48" spans="1:7" ht="15.75" customHeight="1" x14ac:dyDescent="0.25">
      <c r="A48" s="30"/>
      <c r="B48" s="30"/>
    </row>
    <row r="49" spans="1:7" ht="15.75" customHeight="1" x14ac:dyDescent="0.25">
      <c r="A49" s="42" t="s">
        <v>34</v>
      </c>
      <c r="B49" s="30"/>
    </row>
    <row r="50" spans="1:7" ht="15.75" customHeight="1" x14ac:dyDescent="0.25"/>
    <row r="51" spans="1:7" ht="15.75" customHeight="1" thickBot="1" x14ac:dyDescent="0.3">
      <c r="A51" s="29" t="s">
        <v>22</v>
      </c>
      <c r="B51" s="5" t="s">
        <v>5</v>
      </c>
      <c r="C51" s="5" t="s">
        <v>23</v>
      </c>
      <c r="D51" s="5" t="s">
        <v>24</v>
      </c>
      <c r="E51" s="5" t="s">
        <v>25</v>
      </c>
      <c r="F51" s="5" t="s">
        <v>26</v>
      </c>
      <c r="G51" s="5" t="s">
        <v>27</v>
      </c>
    </row>
    <row r="52" spans="1:7" ht="15.75" customHeight="1" x14ac:dyDescent="0.25">
      <c r="A52" s="8" t="s">
        <v>28</v>
      </c>
      <c r="B52" s="9" t="s">
        <v>13</v>
      </c>
      <c r="C52" s="31">
        <v>-1.12279504</v>
      </c>
      <c r="D52" s="13">
        <f>2*-0.49619864</f>
        <v>-0.99239728000000005</v>
      </c>
      <c r="E52" s="13">
        <f t="shared" ref="E52:E55" si="8">D52-C52</f>
        <v>0.13039775999999992</v>
      </c>
      <c r="F52" s="13">
        <f t="shared" ref="F52:F56" si="9">E52*627.503</f>
        <v>81.824985593279948</v>
      </c>
      <c r="G52" s="14">
        <f t="shared" ref="G52:G66" si="10">ABS(F52-$A$2)</f>
        <v>21.375014406720055</v>
      </c>
    </row>
    <row r="53" spans="1:7" ht="15.75" customHeight="1" x14ac:dyDescent="0.25">
      <c r="A53" s="8" t="s">
        <v>28</v>
      </c>
      <c r="B53" s="9" t="s">
        <v>29</v>
      </c>
      <c r="C53" s="32">
        <v>-1.1311193500000001</v>
      </c>
      <c r="D53" s="3">
        <f>2*-0.49823291</f>
        <v>-0.99646581999999995</v>
      </c>
      <c r="E53" s="3">
        <f t="shared" si="8"/>
        <v>0.13465353000000013</v>
      </c>
      <c r="F53" s="3">
        <f t="shared" si="9"/>
        <v>84.495494035590085</v>
      </c>
      <c r="G53" s="15">
        <f t="shared" si="10"/>
        <v>18.704505964409918</v>
      </c>
    </row>
    <row r="54" spans="1:7" ht="15.75" customHeight="1" x14ac:dyDescent="0.25">
      <c r="A54" s="8" t="s">
        <v>28</v>
      </c>
      <c r="B54" s="9" t="s">
        <v>19</v>
      </c>
      <c r="C54" s="32">
        <v>-1.1287431299999999</v>
      </c>
      <c r="D54" s="3">
        <f>2*-0.4992784</f>
        <v>-0.99855680000000002</v>
      </c>
      <c r="E54" s="3">
        <f t="shared" si="8"/>
        <v>0.13018632999999991</v>
      </c>
      <c r="F54" s="3">
        <f t="shared" si="9"/>
        <v>81.692312633989943</v>
      </c>
      <c r="G54" s="15">
        <f t="shared" si="10"/>
        <v>21.50768736601006</v>
      </c>
    </row>
    <row r="55" spans="1:7" ht="15.75" customHeight="1" x14ac:dyDescent="0.25">
      <c r="A55" s="16" t="s">
        <v>28</v>
      </c>
      <c r="B55" s="10" t="s">
        <v>20</v>
      </c>
      <c r="C55" s="32">
        <v>-1.12882343</v>
      </c>
      <c r="D55" s="3">
        <f>2*-0.49933432</f>
        <v>-0.99866864</v>
      </c>
      <c r="E55" s="3">
        <f t="shared" si="8"/>
        <v>0.13015478999999996</v>
      </c>
      <c r="F55" s="3">
        <f t="shared" si="9"/>
        <v>81.672521189369988</v>
      </c>
      <c r="G55" s="15">
        <f t="shared" si="10"/>
        <v>21.527478810630015</v>
      </c>
    </row>
    <row r="56" spans="1:7" ht="15.75" customHeight="1" thickBot="1" x14ac:dyDescent="0.3">
      <c r="A56" s="16" t="s">
        <v>28</v>
      </c>
      <c r="B56" s="10" t="s">
        <v>21</v>
      </c>
      <c r="C56" s="32">
        <v>-1.1328880699999999</v>
      </c>
      <c r="D56" s="3">
        <f>2*-0.49982118</f>
        <v>-0.99964235999999995</v>
      </c>
      <c r="E56" s="3">
        <f t="shared" ref="E56:E66" si="11">-C56+D56</f>
        <v>0.13324570999999996</v>
      </c>
      <c r="F56" s="3">
        <f t="shared" si="9"/>
        <v>83.612082762129987</v>
      </c>
      <c r="G56" s="15">
        <f t="shared" si="10"/>
        <v>19.587917237870016</v>
      </c>
    </row>
    <row r="57" spans="1:7" ht="15.75" customHeight="1" x14ac:dyDescent="0.25">
      <c r="A57" s="17" t="s">
        <v>30</v>
      </c>
      <c r="B57" s="18" t="s">
        <v>31</v>
      </c>
      <c r="C57" s="33">
        <v>-1.1638312200000001</v>
      </c>
      <c r="D57" s="3">
        <f>2*-0.49388665</f>
        <v>-0.98777329999999997</v>
      </c>
      <c r="E57" s="3">
        <f t="shared" si="11"/>
        <v>0.17605792000000009</v>
      </c>
      <c r="F57" s="3">
        <f t="shared" ref="F57:F59" si="12">E57*628.5095</f>
        <v>110.65407527024006</v>
      </c>
      <c r="G57" s="19">
        <f t="shared" si="10"/>
        <v>7.4540752702400539</v>
      </c>
    </row>
    <row r="58" spans="1:7" ht="15.75" customHeight="1" x14ac:dyDescent="0.25">
      <c r="A58" s="20" t="s">
        <v>30</v>
      </c>
      <c r="B58" s="21" t="s">
        <v>29</v>
      </c>
      <c r="C58" s="33">
        <v>-1.1717415799999999</v>
      </c>
      <c r="D58" s="3">
        <f>2*-0.49686205</f>
        <v>-0.9937241</v>
      </c>
      <c r="E58" s="3">
        <f t="shared" si="11"/>
        <v>0.17801747999999995</v>
      </c>
      <c r="F58" s="3">
        <f t="shared" si="12"/>
        <v>111.88567734605996</v>
      </c>
      <c r="G58" s="21">
        <f t="shared" si="10"/>
        <v>8.6856773460599612</v>
      </c>
    </row>
    <row r="59" spans="1:7" ht="15.75" customHeight="1" x14ac:dyDescent="0.25">
      <c r="A59" s="20" t="s">
        <v>30</v>
      </c>
      <c r="B59" s="21" t="s">
        <v>19</v>
      </c>
      <c r="C59" s="33">
        <v>-1.16674218</v>
      </c>
      <c r="D59" s="3">
        <f>2*-0.49785866</f>
        <v>-0.99571732000000002</v>
      </c>
      <c r="E59" s="3">
        <f t="shared" si="11"/>
        <v>0.17102485999999995</v>
      </c>
      <c r="F59" s="3">
        <f t="shared" si="12"/>
        <v>107.49074924616997</v>
      </c>
      <c r="G59" s="21">
        <f t="shared" si="10"/>
        <v>4.2907492461699661</v>
      </c>
    </row>
    <row r="60" spans="1:7" ht="15.75" customHeight="1" thickBot="1" x14ac:dyDescent="0.3">
      <c r="A60" s="22" t="s">
        <v>30</v>
      </c>
      <c r="B60" s="23" t="s">
        <v>20</v>
      </c>
      <c r="C60" s="33">
        <v>-1.16718937</v>
      </c>
      <c r="D60" s="3">
        <f>2*-0.49826982</f>
        <v>-0.99653963999999995</v>
      </c>
      <c r="E60" s="3">
        <f t="shared" si="11"/>
        <v>0.17064973000000005</v>
      </c>
      <c r="F60" s="3">
        <f>E60*627.503</f>
        <v>107.08321752419005</v>
      </c>
      <c r="G60" s="23">
        <f t="shared" si="10"/>
        <v>3.8832175241900444</v>
      </c>
    </row>
    <row r="61" spans="1:7" ht="15.75" customHeight="1" thickBot="1" x14ac:dyDescent="0.3">
      <c r="A61" s="34" t="s">
        <v>30</v>
      </c>
      <c r="B61" s="35" t="s">
        <v>21</v>
      </c>
      <c r="C61" s="36">
        <v>-1.17323734</v>
      </c>
      <c r="D61" s="3">
        <f>2*-0.49887274</f>
        <v>-0.99774547999999996</v>
      </c>
      <c r="E61" s="37">
        <f t="shared" si="11"/>
        <v>0.17549186000000006</v>
      </c>
      <c r="F61" s="38">
        <f t="shared" ref="F61:F64" si="13">E61*628.5095</f>
        <v>110.29830118267003</v>
      </c>
      <c r="G61" s="38">
        <f t="shared" si="10"/>
        <v>7.0983011826700277</v>
      </c>
    </row>
    <row r="62" spans="1:7" ht="15.75" customHeight="1" x14ac:dyDescent="0.25">
      <c r="A62" s="24" t="s">
        <v>32</v>
      </c>
      <c r="B62" s="25" t="s">
        <v>31</v>
      </c>
      <c r="C62" s="32">
        <v>-1.1402022599999999</v>
      </c>
      <c r="D62" s="3">
        <f>2*-0.496198636018</f>
        <v>-0.99239727203600003</v>
      </c>
      <c r="E62" s="3">
        <f t="shared" si="11"/>
        <v>0.14780498796399988</v>
      </c>
      <c r="F62" s="3">
        <f t="shared" si="13"/>
        <v>92.896839082759584</v>
      </c>
      <c r="G62" s="15">
        <f t="shared" si="10"/>
        <v>10.303160917240419</v>
      </c>
    </row>
    <row r="63" spans="1:7" ht="15.75" customHeight="1" x14ac:dyDescent="0.25">
      <c r="A63" s="8" t="s">
        <v>32</v>
      </c>
      <c r="B63" s="9" t="s">
        <v>29</v>
      </c>
      <c r="C63" s="32">
        <v>-1.1574786100000001</v>
      </c>
      <c r="D63" s="3">
        <f>-0.498232909202*2</f>
        <v>-0.99646581840399995</v>
      </c>
      <c r="E63" s="3">
        <f t="shared" si="11"/>
        <v>0.16101279159600013</v>
      </c>
      <c r="F63" s="3">
        <f t="shared" si="13"/>
        <v>101.19806913960625</v>
      </c>
      <c r="G63" s="15">
        <f t="shared" si="10"/>
        <v>2.001930860393756</v>
      </c>
    </row>
    <row r="64" spans="1:7" ht="15.75" customHeight="1" x14ac:dyDescent="0.25">
      <c r="A64" s="8" t="s">
        <v>32</v>
      </c>
      <c r="B64" s="9" t="s">
        <v>19</v>
      </c>
      <c r="C64" s="32">
        <v>-1.15520504</v>
      </c>
      <c r="D64" s="3">
        <f>2*-0.49927840342</f>
        <v>-0.99855680684000003</v>
      </c>
      <c r="E64" s="3">
        <f t="shared" si="11"/>
        <v>0.15664823315999998</v>
      </c>
      <c r="F64" s="3">
        <f t="shared" si="13"/>
        <v>98.45490269927501</v>
      </c>
      <c r="G64" s="15">
        <f t="shared" si="10"/>
        <v>4.7450973007249928</v>
      </c>
    </row>
    <row r="65" spans="1:7" ht="15.75" customHeight="1" x14ac:dyDescent="0.25">
      <c r="A65" s="8" t="s">
        <v>32</v>
      </c>
      <c r="B65" s="9" t="s">
        <v>20</v>
      </c>
      <c r="C65" s="32">
        <v>-1.1561998099999999</v>
      </c>
      <c r="D65" s="3">
        <f>-0.49933431544*2</f>
        <v>-0.99866863088000002</v>
      </c>
      <c r="E65" s="3">
        <f t="shared" si="11"/>
        <v>0.15753117911999992</v>
      </c>
      <c r="F65" s="3">
        <f>E65*627.503</f>
        <v>98.851287491337317</v>
      </c>
      <c r="G65" s="15">
        <f t="shared" si="10"/>
        <v>4.3487125086626861</v>
      </c>
    </row>
    <row r="66" spans="1:7" ht="15.75" customHeight="1" thickBot="1" x14ac:dyDescent="0.3">
      <c r="A66" s="24" t="s">
        <v>32</v>
      </c>
      <c r="B66" s="26" t="s">
        <v>21</v>
      </c>
      <c r="C66" s="39">
        <v>-1.1649162992540001</v>
      </c>
      <c r="D66" s="27">
        <f>2*-0.49982118</f>
        <v>-0.99964235999999995</v>
      </c>
      <c r="E66" s="40">
        <f t="shared" si="11"/>
        <v>0.16527393925400014</v>
      </c>
      <c r="F66" s="27">
        <f>E66*628.5095</f>
        <v>103.87624092356199</v>
      </c>
      <c r="G66" s="28">
        <f t="shared" si="10"/>
        <v>0.67624092356199128</v>
      </c>
    </row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E2E-E10A-4419-BEF6-42D1E7A76D26}">
  <dimension ref="A1:L66"/>
  <sheetViews>
    <sheetView tabSelected="1" workbookViewId="0">
      <selection activeCell="C19" sqref="C19"/>
    </sheetView>
  </sheetViews>
  <sheetFormatPr defaultRowHeight="15" x14ac:dyDescent="0.25"/>
  <cols>
    <col min="1" max="1" width="28.28515625" bestFit="1" customWidth="1"/>
    <col min="2" max="2" width="23.7109375" bestFit="1" customWidth="1"/>
    <col min="3" max="4" width="25" bestFit="1" customWidth="1"/>
    <col min="5" max="5" width="22.7109375" bestFit="1" customWidth="1"/>
    <col min="6" max="6" width="24.85546875" bestFit="1" customWidth="1"/>
    <col min="7" max="7" width="18.42578125" bestFit="1" customWidth="1"/>
    <col min="8" max="8" width="34" bestFit="1" customWidth="1"/>
    <col min="9" max="9" width="19.5703125" bestFit="1" customWidth="1"/>
    <col min="10" max="10" width="8.85546875" customWidth="1"/>
    <col min="11" max="11" width="14" customWidth="1"/>
    <col min="12" max="12" width="10.42578125" bestFit="1" customWidth="1"/>
  </cols>
  <sheetData>
    <row r="1" spans="1:12" x14ac:dyDescent="0.25">
      <c r="A1" s="1" t="s">
        <v>49</v>
      </c>
    </row>
    <row r="2" spans="1:12" x14ac:dyDescent="0.25">
      <c r="A2" s="2">
        <v>103.3</v>
      </c>
      <c r="B2" s="2"/>
    </row>
    <row r="3" spans="1:12" x14ac:dyDescent="0.25">
      <c r="B3" s="2"/>
    </row>
    <row r="4" spans="1:12" x14ac:dyDescent="0.25">
      <c r="A4" s="2"/>
      <c r="B4" s="2"/>
      <c r="C4" s="2"/>
      <c r="D4" s="2"/>
      <c r="E4" s="2"/>
      <c r="F4" s="2"/>
      <c r="G4" s="2"/>
    </row>
    <row r="5" spans="1:12" x14ac:dyDescent="0.25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83" t="s">
        <v>55</v>
      </c>
      <c r="H5" s="74" t="s">
        <v>39</v>
      </c>
      <c r="I5" s="83" t="s">
        <v>56</v>
      </c>
      <c r="L5" s="90"/>
    </row>
    <row r="6" spans="1:12" x14ac:dyDescent="0.25">
      <c r="A6" s="6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2">
        <v>0</v>
      </c>
      <c r="G6" s="76">
        <f>2*E14</f>
        <v>8</v>
      </c>
      <c r="H6" s="76">
        <f>D6*B14+C6*C14</f>
        <v>9</v>
      </c>
      <c r="I6" s="76">
        <f>2*G14</f>
        <v>6</v>
      </c>
    </row>
    <row r="7" spans="1:12" x14ac:dyDescent="0.25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48">
        <v>1</v>
      </c>
      <c r="G7" s="84">
        <f>5*E14</f>
        <v>20</v>
      </c>
      <c r="H7" s="76">
        <f>D7*B14+C7*C14+3*E7+3*F7</f>
        <v>19</v>
      </c>
      <c r="I7" s="84">
        <f>5*G14</f>
        <v>15</v>
      </c>
    </row>
    <row r="8" spans="1:12" x14ac:dyDescent="0.25">
      <c r="A8" s="9" t="s">
        <v>19</v>
      </c>
      <c r="B8" s="82"/>
      <c r="C8" s="82"/>
      <c r="D8" s="82"/>
      <c r="E8" s="82"/>
      <c r="F8" s="82"/>
      <c r="G8" s="89">
        <f>5*E14</f>
        <v>20</v>
      </c>
      <c r="H8" s="76">
        <v>14</v>
      </c>
      <c r="I8" s="89">
        <f>5*G14</f>
        <v>15</v>
      </c>
    </row>
    <row r="9" spans="1:12" x14ac:dyDescent="0.25">
      <c r="A9" s="10" t="s">
        <v>20</v>
      </c>
      <c r="B9" s="82"/>
      <c r="C9" s="82"/>
      <c r="D9" s="82"/>
      <c r="E9" s="82"/>
      <c r="F9" s="82"/>
      <c r="G9" s="89">
        <f>9*E14</f>
        <v>36</v>
      </c>
      <c r="H9" s="76">
        <v>23</v>
      </c>
      <c r="I9" s="89">
        <f>9*G14</f>
        <v>27</v>
      </c>
    </row>
    <row r="10" spans="1:12" x14ac:dyDescent="0.25">
      <c r="A10" s="10" t="s">
        <v>21</v>
      </c>
      <c r="B10" s="82"/>
      <c r="C10" s="82"/>
      <c r="D10" s="82"/>
      <c r="E10" s="82"/>
      <c r="F10" s="82"/>
      <c r="G10" s="76">
        <f>23*E14</f>
        <v>92</v>
      </c>
      <c r="H10" s="76">
        <v>46</v>
      </c>
      <c r="I10" s="76">
        <f>23*G14</f>
        <v>69</v>
      </c>
    </row>
    <row r="11" spans="1:12" ht="15.75" thickBot="1" x14ac:dyDescent="0.3">
      <c r="A11" s="82"/>
      <c r="B11" s="82"/>
      <c r="C11" s="82"/>
      <c r="D11" s="82"/>
      <c r="E11" s="82"/>
      <c r="F11" s="82"/>
      <c r="G11" s="82"/>
      <c r="H11" s="82"/>
      <c r="I11" s="82"/>
    </row>
    <row r="12" spans="1:12" ht="15.75" thickBot="1" x14ac:dyDescent="0.3">
      <c r="A12" s="82"/>
      <c r="B12" s="80" t="s">
        <v>45</v>
      </c>
      <c r="C12" s="67" t="s">
        <v>46</v>
      </c>
      <c r="D12" s="81" t="s">
        <v>52</v>
      </c>
      <c r="E12" s="47"/>
      <c r="F12" s="81" t="s">
        <v>57</v>
      </c>
      <c r="G12" s="47"/>
      <c r="H12" s="82"/>
      <c r="I12" s="82"/>
    </row>
    <row r="13" spans="1:12" ht="15.75" thickBot="1" x14ac:dyDescent="0.3">
      <c r="A13" s="82"/>
      <c r="B13" s="64" t="s">
        <v>2</v>
      </c>
      <c r="C13" s="64" t="s">
        <v>3</v>
      </c>
      <c r="D13" s="64" t="s">
        <v>4</v>
      </c>
      <c r="E13" s="64" t="s">
        <v>3</v>
      </c>
      <c r="F13" s="64" t="s">
        <v>4</v>
      </c>
      <c r="G13" s="64" t="s">
        <v>3</v>
      </c>
      <c r="H13" s="82"/>
      <c r="I13" s="82"/>
    </row>
    <row r="14" spans="1:12" ht="15.75" thickBot="1" x14ac:dyDescent="0.3">
      <c r="A14" s="82"/>
      <c r="B14" s="71">
        <f>1</f>
        <v>1</v>
      </c>
      <c r="C14" s="73">
        <v>4</v>
      </c>
      <c r="D14" s="72">
        <v>0</v>
      </c>
      <c r="E14" s="73">
        <v>4</v>
      </c>
      <c r="F14" s="95">
        <v>0</v>
      </c>
      <c r="G14" s="95">
        <v>3</v>
      </c>
      <c r="H14" s="82"/>
      <c r="I14" s="82"/>
    </row>
    <row r="15" spans="1:12" ht="15.75" thickBot="1" x14ac:dyDescent="0.3">
      <c r="A15" s="82"/>
      <c r="B15" s="70" t="s">
        <v>54</v>
      </c>
      <c r="C15" s="82"/>
      <c r="D15" s="85" t="s">
        <v>53</v>
      </c>
      <c r="E15" s="82"/>
      <c r="F15" s="85" t="s">
        <v>58</v>
      </c>
      <c r="G15" s="82"/>
      <c r="H15" s="82"/>
      <c r="I15" s="165" t="s">
        <v>60</v>
      </c>
      <c r="J15" s="166" t="s">
        <v>61</v>
      </c>
      <c r="K15" s="167" t="s">
        <v>62</v>
      </c>
    </row>
    <row r="16" spans="1:12" ht="15.75" thickBot="1" x14ac:dyDescent="0.3">
      <c r="A16" s="6" t="s">
        <v>13</v>
      </c>
      <c r="B16" s="86">
        <f>B14*B6+C14*(D6+C6)</f>
        <v>15</v>
      </c>
      <c r="C16" s="82"/>
      <c r="D16" s="87">
        <f>D14*B6+E14*(D6+C6)</f>
        <v>12</v>
      </c>
      <c r="E16" s="82"/>
      <c r="F16" s="87">
        <f>F14*B6+G14*(D6+C6)</f>
        <v>9</v>
      </c>
      <c r="G16" s="82"/>
      <c r="H16" s="82"/>
      <c r="I16" s="162" t="s">
        <v>35</v>
      </c>
      <c r="J16" s="159">
        <v>1</v>
      </c>
      <c r="K16" s="156">
        <v>3</v>
      </c>
    </row>
    <row r="17" spans="1:11" ht="15.75" thickBot="1" x14ac:dyDescent="0.3">
      <c r="A17" s="6" t="s">
        <v>18</v>
      </c>
      <c r="B17" s="69">
        <f>B14*B7+C14*(C7+D7)+6*F7+4*E7</f>
        <v>32</v>
      </c>
      <c r="C17" s="82"/>
      <c r="D17" s="88">
        <f>7*E14</f>
        <v>28</v>
      </c>
      <c r="E17" s="82"/>
      <c r="F17" s="88">
        <f>7*G14</f>
        <v>21</v>
      </c>
      <c r="G17" s="82"/>
      <c r="H17" s="82"/>
      <c r="I17" s="163" t="s">
        <v>36</v>
      </c>
      <c r="J17" s="160">
        <v>3</v>
      </c>
      <c r="K17" s="157">
        <v>1</v>
      </c>
    </row>
    <row r="18" spans="1:11" ht="15.75" thickBot="1" x14ac:dyDescent="0.3">
      <c r="A18" s="9" t="s">
        <v>19</v>
      </c>
      <c r="B18" s="82"/>
      <c r="C18" s="149" t="s">
        <v>64</v>
      </c>
      <c r="D18" s="82">
        <f>7*4</f>
        <v>28</v>
      </c>
      <c r="E18" s="82"/>
      <c r="F18" s="82">
        <f>7*3</f>
        <v>21</v>
      </c>
      <c r="G18" s="82"/>
      <c r="H18" s="82"/>
      <c r="I18" s="164" t="s">
        <v>37</v>
      </c>
      <c r="J18" s="161">
        <v>5</v>
      </c>
      <c r="K18" s="158">
        <v>6</v>
      </c>
    </row>
    <row r="19" spans="1:11" x14ac:dyDescent="0.25">
      <c r="A19" s="10" t="s">
        <v>20</v>
      </c>
      <c r="B19" s="82"/>
      <c r="C19" s="149" t="s">
        <v>65</v>
      </c>
      <c r="D19" s="82">
        <f>11*4</f>
        <v>44</v>
      </c>
      <c r="E19" s="82"/>
      <c r="F19" s="82">
        <f>11*3</f>
        <v>33</v>
      </c>
      <c r="G19" s="82"/>
      <c r="H19" s="82"/>
      <c r="I19" s="82"/>
    </row>
    <row r="20" spans="1:11" x14ac:dyDescent="0.25">
      <c r="A20" s="10" t="s">
        <v>21</v>
      </c>
      <c r="B20" s="82"/>
      <c r="C20" s="149" t="s">
        <v>66</v>
      </c>
      <c r="D20" s="82">
        <f>27*4</f>
        <v>108</v>
      </c>
      <c r="E20" s="82"/>
      <c r="F20" s="82">
        <f>27*3</f>
        <v>81</v>
      </c>
      <c r="G20" s="82"/>
      <c r="H20" s="82"/>
      <c r="I20" s="82"/>
    </row>
    <row r="23" spans="1:11" ht="15.75" thickBot="1" x14ac:dyDescent="0.3">
      <c r="A23" s="11" t="s">
        <v>22</v>
      </c>
      <c r="B23" s="12" t="s">
        <v>5</v>
      </c>
      <c r="C23" s="12" t="s">
        <v>40</v>
      </c>
      <c r="D23" s="12" t="s">
        <v>50</v>
      </c>
      <c r="E23" s="4" t="s">
        <v>51</v>
      </c>
      <c r="F23" s="12" t="s">
        <v>25</v>
      </c>
      <c r="G23" s="12" t="s">
        <v>26</v>
      </c>
      <c r="H23" s="12" t="s">
        <v>27</v>
      </c>
    </row>
    <row r="24" spans="1:11" x14ac:dyDescent="0.25">
      <c r="A24" s="137" t="s">
        <v>28</v>
      </c>
      <c r="B24" s="131" t="s">
        <v>13</v>
      </c>
      <c r="C24" s="115">
        <v>-39.928885000000001</v>
      </c>
      <c r="D24" s="50">
        <f>-39.311584</f>
        <v>-39.311584000000003</v>
      </c>
      <c r="E24" s="50">
        <f>2*-0.496199/2</f>
        <v>-0.496199</v>
      </c>
      <c r="F24" s="50">
        <f>ABS(C24-(D24+E24))</f>
        <v>0.12110200000000049</v>
      </c>
      <c r="G24" s="50">
        <f t="shared" ref="G24:G28" si="0">F24*627.503</f>
        <v>75.991868306000313</v>
      </c>
      <c r="H24" s="100">
        <f t="shared" ref="H24:H38" si="1">ABS(G24-$A$2)</f>
        <v>27.308131693999684</v>
      </c>
    </row>
    <row r="25" spans="1:11" x14ac:dyDescent="0.25">
      <c r="A25" s="138" t="s">
        <v>28</v>
      </c>
      <c r="B25" s="132" t="s">
        <v>29</v>
      </c>
      <c r="C25" s="97">
        <v>-40.154898000000003</v>
      </c>
      <c r="D25" s="97">
        <v>-39.535707000000002</v>
      </c>
      <c r="E25" s="96">
        <f>-0.498233</f>
        <v>-0.49823299999999998</v>
      </c>
      <c r="F25" s="96">
        <f t="shared" ref="F25:F38" si="2">ABS(C25-(D25+E25))</f>
        <v>0.12095800000000168</v>
      </c>
      <c r="G25" s="96">
        <f t="shared" si="0"/>
        <v>75.901507874001055</v>
      </c>
      <c r="H25" s="101">
        <f t="shared" si="1"/>
        <v>27.398492125998942</v>
      </c>
    </row>
    <row r="26" spans="1:11" x14ac:dyDescent="0.25">
      <c r="A26" s="138" t="s">
        <v>28</v>
      </c>
      <c r="B26" s="132" t="s">
        <v>19</v>
      </c>
      <c r="C26" s="97">
        <v>-40.151750999999997</v>
      </c>
      <c r="D26" s="97">
        <v>-39.533226999999997</v>
      </c>
      <c r="E26" s="96">
        <f>-0.499278</f>
        <v>-0.499278</v>
      </c>
      <c r="F26" s="96">
        <f t="shared" si="2"/>
        <v>0.11924600000000396</v>
      </c>
      <c r="G26" s="96">
        <f t="shared" si="0"/>
        <v>74.82722273800249</v>
      </c>
      <c r="H26" s="101">
        <f t="shared" si="1"/>
        <v>28.472777261997507</v>
      </c>
    </row>
    <row r="27" spans="1:11" x14ac:dyDescent="0.25">
      <c r="A27" s="139" t="s">
        <v>28</v>
      </c>
      <c r="B27" s="133" t="s">
        <v>20</v>
      </c>
      <c r="C27" s="97">
        <v>-40.152945000000003</v>
      </c>
      <c r="D27" s="97">
        <v>-39.535082000000003</v>
      </c>
      <c r="E27" s="96">
        <f>-0.499334</f>
        <v>-0.499334</v>
      </c>
      <c r="F27" s="96">
        <f t="shared" si="2"/>
        <v>0.11852900000000233</v>
      </c>
      <c r="G27" s="96">
        <f t="shared" si="0"/>
        <v>74.377303087001465</v>
      </c>
      <c r="H27" s="101">
        <f t="shared" si="1"/>
        <v>28.922696912998532</v>
      </c>
    </row>
    <row r="28" spans="1:11" ht="15.75" thickBot="1" x14ac:dyDescent="0.3">
      <c r="A28" s="139" t="s">
        <v>28</v>
      </c>
      <c r="B28" s="134" t="s">
        <v>21</v>
      </c>
      <c r="C28" s="79" t="s">
        <v>43</v>
      </c>
      <c r="D28" s="79" t="s">
        <v>43</v>
      </c>
      <c r="E28" s="79">
        <f>-0.499821</f>
        <v>-0.49982100000000002</v>
      </c>
      <c r="F28" s="79" t="e">
        <f t="shared" si="2"/>
        <v>#VALUE!</v>
      </c>
      <c r="G28" s="79" t="e">
        <f t="shared" si="0"/>
        <v>#VALUE!</v>
      </c>
      <c r="H28" s="107" t="e">
        <f t="shared" si="1"/>
        <v>#VALUE!</v>
      </c>
    </row>
    <row r="29" spans="1:11" ht="15.75" thickBot="1" x14ac:dyDescent="0.3">
      <c r="A29" s="60" t="s">
        <v>30</v>
      </c>
      <c r="B29" s="108" t="s">
        <v>31</v>
      </c>
      <c r="C29" s="97">
        <v>-40.255999000000003</v>
      </c>
      <c r="D29" s="97">
        <v>-39.592337999999998</v>
      </c>
      <c r="E29" s="96">
        <f>-0.497311</f>
        <v>-0.497311</v>
      </c>
      <c r="F29" s="96">
        <f t="shared" si="2"/>
        <v>0.16635000000000133</v>
      </c>
      <c r="G29" s="96">
        <f t="shared" ref="G29:G31" si="3">F29*628.5095</f>
        <v>104.55255532500084</v>
      </c>
      <c r="H29" s="104">
        <f t="shared" si="1"/>
        <v>1.2525553250008414</v>
      </c>
    </row>
    <row r="30" spans="1:11" ht="15.75" thickBot="1" x14ac:dyDescent="0.3">
      <c r="A30" s="106" t="s">
        <v>30</v>
      </c>
      <c r="B30" s="111" t="s">
        <v>29</v>
      </c>
      <c r="C30" s="112">
        <v>-40.481363999999999</v>
      </c>
      <c r="D30" s="112">
        <v>-39.817515</v>
      </c>
      <c r="E30" s="113">
        <f>-0.500273</f>
        <v>-0.50027299999999997</v>
      </c>
      <c r="F30" s="113">
        <f t="shared" si="2"/>
        <v>0.16357599999999906</v>
      </c>
      <c r="G30" s="113">
        <f t="shared" si="3"/>
        <v>102.80906997199941</v>
      </c>
      <c r="H30" s="106">
        <f t="shared" si="1"/>
        <v>0.49093002800059082</v>
      </c>
    </row>
    <row r="31" spans="1:11" x14ac:dyDescent="0.25">
      <c r="A31" s="61" t="s">
        <v>30</v>
      </c>
      <c r="B31" s="104" t="s">
        <v>19</v>
      </c>
      <c r="C31" s="97">
        <v>-40.472019000000003</v>
      </c>
      <c r="D31" s="97">
        <v>-39.809696000000002</v>
      </c>
      <c r="E31" s="96">
        <f>-0.501258</f>
        <v>-0.50125799999999998</v>
      </c>
      <c r="F31" s="96">
        <f t="shared" si="2"/>
        <v>0.16106500000000068</v>
      </c>
      <c r="G31" s="96">
        <f t="shared" si="3"/>
        <v>101.23088261750043</v>
      </c>
      <c r="H31" s="104">
        <f t="shared" si="1"/>
        <v>2.0691173824995701</v>
      </c>
    </row>
    <row r="32" spans="1:11" x14ac:dyDescent="0.25">
      <c r="A32" s="61" t="s">
        <v>30</v>
      </c>
      <c r="B32" s="104" t="s">
        <v>20</v>
      </c>
      <c r="C32" s="97">
        <v>-40.476407000000002</v>
      </c>
      <c r="D32" s="97">
        <v>-39.814703999999999</v>
      </c>
      <c r="E32" s="96">
        <f>-0.501657</f>
        <v>-0.50165700000000002</v>
      </c>
      <c r="F32" s="96">
        <f t="shared" si="2"/>
        <v>0.16004600000000124</v>
      </c>
      <c r="G32" s="96">
        <f>F32*627.503</f>
        <v>100.42934513800078</v>
      </c>
      <c r="H32" s="104">
        <f t="shared" si="1"/>
        <v>2.8706548619992134</v>
      </c>
    </row>
    <row r="33" spans="1:8" ht="15.75" thickBot="1" x14ac:dyDescent="0.3">
      <c r="A33" s="110" t="s">
        <v>30</v>
      </c>
      <c r="B33" s="109" t="s">
        <v>21</v>
      </c>
      <c r="C33" s="79" t="s">
        <v>43</v>
      </c>
      <c r="D33" s="79" t="s">
        <v>43</v>
      </c>
      <c r="E33" s="79">
        <f>-0.50226</f>
        <v>-0.50226000000000004</v>
      </c>
      <c r="F33" s="79" t="e">
        <f t="shared" si="2"/>
        <v>#VALUE!</v>
      </c>
      <c r="G33" s="79" t="e">
        <f t="shared" ref="G33:G36" si="4">F33*628.5095</f>
        <v>#VALUE!</v>
      </c>
      <c r="H33" s="107" t="e">
        <f t="shared" si="1"/>
        <v>#VALUE!</v>
      </c>
    </row>
    <row r="34" spans="1:8" x14ac:dyDescent="0.25">
      <c r="A34" s="140" t="s">
        <v>32</v>
      </c>
      <c r="B34" s="135" t="s">
        <v>31</v>
      </c>
      <c r="C34" s="97">
        <v>-40.029102999999999</v>
      </c>
      <c r="D34" s="97">
        <v>-39.387850999999998</v>
      </c>
      <c r="E34" s="96">
        <f>-0.496198636018</f>
        <v>-0.49619863601800002</v>
      </c>
      <c r="F34" s="96">
        <f t="shared" si="2"/>
        <v>0.14505336398200086</v>
      </c>
      <c r="G34" s="96">
        <f t="shared" si="4"/>
        <v>91.16741726964537</v>
      </c>
      <c r="H34" s="101">
        <f t="shared" si="1"/>
        <v>12.132582730354628</v>
      </c>
    </row>
    <row r="35" spans="1:8" x14ac:dyDescent="0.25">
      <c r="A35" s="138" t="s">
        <v>32</v>
      </c>
      <c r="B35" s="132" t="s">
        <v>29</v>
      </c>
      <c r="C35" s="97">
        <v>-40.319713999999998</v>
      </c>
      <c r="D35" s="97">
        <v>-39.665550000000003</v>
      </c>
      <c r="E35" s="96">
        <f>-0.498232909202</f>
        <v>-0.49823290920199997</v>
      </c>
      <c r="F35" s="96">
        <f t="shared" si="2"/>
        <v>0.15593109079799206</v>
      </c>
      <c r="G35" s="96">
        <f t="shared" si="4"/>
        <v>98.004171911900585</v>
      </c>
      <c r="H35" s="101">
        <f t="shared" si="1"/>
        <v>5.2958280880994124</v>
      </c>
    </row>
    <row r="36" spans="1:8" x14ac:dyDescent="0.25">
      <c r="A36" s="138" t="s">
        <v>32</v>
      </c>
      <c r="B36" s="132" t="s">
        <v>19</v>
      </c>
      <c r="C36" s="97">
        <v>-40.314791</v>
      </c>
      <c r="D36" s="97">
        <v>-39.660608000000003</v>
      </c>
      <c r="E36" s="96">
        <f>-0.49927840342</f>
        <v>-0.49927840342000002</v>
      </c>
      <c r="F36" s="96">
        <f t="shared" si="2"/>
        <v>0.15490459657999622</v>
      </c>
      <c r="G36" s="96">
        <f t="shared" si="4"/>
        <v>97.359010544195144</v>
      </c>
      <c r="H36" s="101">
        <f t="shared" si="1"/>
        <v>5.9409894558048535</v>
      </c>
    </row>
    <row r="37" spans="1:8" x14ac:dyDescent="0.25">
      <c r="A37" s="138" t="s">
        <v>32</v>
      </c>
      <c r="B37" s="132" t="s">
        <v>20</v>
      </c>
      <c r="C37" s="97">
        <v>-40.152945000000003</v>
      </c>
      <c r="D37" s="97">
        <v>-39.535082000000003</v>
      </c>
      <c r="E37" s="96">
        <f>-0.49933431544</f>
        <v>-0.49933431544000001</v>
      </c>
      <c r="F37" s="96">
        <f t="shared" si="2"/>
        <v>0.11852868455999754</v>
      </c>
      <c r="G37" s="96">
        <f>F37*627.503</f>
        <v>74.377105147452141</v>
      </c>
      <c r="H37" s="101">
        <f t="shared" si="1"/>
        <v>28.922894852547856</v>
      </c>
    </row>
    <row r="38" spans="1:8" ht="15.75" thickBot="1" x14ac:dyDescent="0.3">
      <c r="A38" s="59" t="s">
        <v>32</v>
      </c>
      <c r="B38" s="136" t="s">
        <v>21</v>
      </c>
      <c r="C38" s="77" t="s">
        <v>43</v>
      </c>
      <c r="D38" s="77" t="s">
        <v>43</v>
      </c>
      <c r="E38" s="77">
        <v>-0.499821176024</v>
      </c>
      <c r="F38" s="77" t="e">
        <f t="shared" si="2"/>
        <v>#VALUE!</v>
      </c>
      <c r="G38" s="77" t="e">
        <f>F38*628.5095</f>
        <v>#VALUE!</v>
      </c>
      <c r="H38" s="102" t="e">
        <f t="shared" si="1"/>
        <v>#VALUE!</v>
      </c>
    </row>
    <row r="43" spans="1:8" x14ac:dyDescent="0.25">
      <c r="A43" s="29" t="s">
        <v>22</v>
      </c>
      <c r="B43" s="5" t="s">
        <v>33</v>
      </c>
      <c r="E43" s="30"/>
      <c r="F43" s="30"/>
      <c r="G43" s="30"/>
    </row>
    <row r="44" spans="1:8" x14ac:dyDescent="0.25">
      <c r="A44" s="8" t="s">
        <v>28</v>
      </c>
      <c r="B44" s="8" t="s">
        <v>29</v>
      </c>
      <c r="E44" s="30"/>
      <c r="F44" s="30"/>
      <c r="G44" s="30"/>
    </row>
    <row r="45" spans="1:8" x14ac:dyDescent="0.25">
      <c r="A45" s="8" t="s">
        <v>30</v>
      </c>
      <c r="B45" s="8" t="s">
        <v>29</v>
      </c>
      <c r="E45" s="30"/>
      <c r="F45" s="30"/>
      <c r="G45" s="30"/>
    </row>
    <row r="46" spans="1:8" x14ac:dyDescent="0.25">
      <c r="A46" s="8" t="s">
        <v>32</v>
      </c>
      <c r="B46" s="8" t="s">
        <v>29</v>
      </c>
      <c r="E46" s="30"/>
      <c r="F46" s="30"/>
      <c r="G46" s="30"/>
    </row>
    <row r="47" spans="1:8" x14ac:dyDescent="0.25">
      <c r="A47" s="30"/>
      <c r="B47" s="30"/>
      <c r="E47" s="30"/>
      <c r="F47" s="30"/>
      <c r="G47" s="30"/>
    </row>
    <row r="48" spans="1:8" x14ac:dyDescent="0.25">
      <c r="A48" s="30"/>
      <c r="B48" s="30"/>
    </row>
    <row r="49" spans="1:8" x14ac:dyDescent="0.25">
      <c r="A49" s="42" t="s">
        <v>34</v>
      </c>
      <c r="B49" s="30"/>
    </row>
    <row r="51" spans="1:8" ht="15.75" thickBot="1" x14ac:dyDescent="0.3">
      <c r="A51" s="41" t="s">
        <v>22</v>
      </c>
      <c r="B51" s="5" t="s">
        <v>5</v>
      </c>
      <c r="C51" s="4" t="s">
        <v>40</v>
      </c>
      <c r="D51" s="4" t="s">
        <v>41</v>
      </c>
      <c r="E51" s="4" t="s">
        <v>42</v>
      </c>
      <c r="F51" s="5" t="s">
        <v>25</v>
      </c>
      <c r="G51" s="5" t="s">
        <v>26</v>
      </c>
      <c r="H51" s="5" t="s">
        <v>27</v>
      </c>
    </row>
    <row r="52" spans="1:8" x14ac:dyDescent="0.25">
      <c r="A52" s="122" t="s">
        <v>28</v>
      </c>
      <c r="B52" s="117" t="s">
        <v>13</v>
      </c>
      <c r="C52" s="115">
        <v>-39.954618379999999</v>
      </c>
      <c r="D52" s="115">
        <v>-39.19159294</v>
      </c>
      <c r="E52" s="115">
        <v>-0.49619864000000002</v>
      </c>
      <c r="F52" s="50">
        <f t="shared" ref="F52:F66" si="5">ABS(C52-(E52+D52))</f>
        <v>0.26682679999999692</v>
      </c>
      <c r="G52" s="50">
        <f t="shared" ref="G52:G56" si="6">F52*627.503</f>
        <v>167.43461748039809</v>
      </c>
      <c r="H52" s="100">
        <f>ABS(G52-$A$2)</f>
        <v>64.134617480398092</v>
      </c>
    </row>
    <row r="53" spans="1:8" x14ac:dyDescent="0.25">
      <c r="A53" s="123" t="s">
        <v>28</v>
      </c>
      <c r="B53" s="118" t="s">
        <v>29</v>
      </c>
      <c r="C53" s="97">
        <v>-40.179612759999998</v>
      </c>
      <c r="D53" s="97">
        <v>-39.42469457</v>
      </c>
      <c r="E53" s="97">
        <f>'H2=2H'!D58/2</f>
        <v>-0.49686205</v>
      </c>
      <c r="F53" s="96">
        <f t="shared" si="5"/>
        <v>0.25805614000000077</v>
      </c>
      <c r="G53" s="96">
        <f t="shared" si="6"/>
        <v>161.93100201842049</v>
      </c>
      <c r="H53" s="101">
        <f t="shared" ref="H53:H66" si="7">ABS(G53-$A$2)</f>
        <v>58.631002018420489</v>
      </c>
    </row>
    <row r="54" spans="1:8" x14ac:dyDescent="0.25">
      <c r="A54" s="123" t="s">
        <v>28</v>
      </c>
      <c r="B54" s="118" t="s">
        <v>19</v>
      </c>
      <c r="C54" s="97">
        <v>-40.172083190000002</v>
      </c>
      <c r="D54" s="97">
        <v>-39.418559469999998</v>
      </c>
      <c r="E54" s="97">
        <f>'H2=2H'!D59/2</f>
        <v>-0.49785866000000001</v>
      </c>
      <c r="F54" s="96">
        <f t="shared" si="5"/>
        <v>0.25566506000000544</v>
      </c>
      <c r="G54" s="96">
        <f t="shared" si="6"/>
        <v>160.43059214518343</v>
      </c>
      <c r="H54" s="101">
        <f t="shared" si="7"/>
        <v>57.130592145183428</v>
      </c>
    </row>
    <row r="55" spans="1:8" x14ac:dyDescent="0.25">
      <c r="A55" s="123" t="s">
        <v>28</v>
      </c>
      <c r="B55" s="118" t="s">
        <v>20</v>
      </c>
      <c r="C55" s="97">
        <v>-40.174060220000001</v>
      </c>
      <c r="D55" s="97">
        <v>-39.421457770000004</v>
      </c>
      <c r="E55" s="97">
        <f>'H2=2H'!D60/2</f>
        <v>-0.49826981999999997</v>
      </c>
      <c r="F55" s="96">
        <f t="shared" si="5"/>
        <v>0.25433263000000039</v>
      </c>
      <c r="G55" s="96">
        <f t="shared" si="6"/>
        <v>159.59448832289027</v>
      </c>
      <c r="H55" s="101">
        <f t="shared" si="7"/>
        <v>56.294488322890274</v>
      </c>
    </row>
    <row r="56" spans="1:8" ht="15.75" thickBot="1" x14ac:dyDescent="0.3">
      <c r="A56" s="78" t="s">
        <v>28</v>
      </c>
      <c r="B56" s="102" t="s">
        <v>21</v>
      </c>
      <c r="C56" s="77" t="s">
        <v>43</v>
      </c>
      <c r="D56" s="77" t="s">
        <v>43</v>
      </c>
      <c r="E56" s="77" t="e">
        <f>D56*627.503</f>
        <v>#VALUE!</v>
      </c>
      <c r="F56" s="77" t="e">
        <f t="shared" si="5"/>
        <v>#VALUE!</v>
      </c>
      <c r="G56" s="77" t="e">
        <f t="shared" si="6"/>
        <v>#VALUE!</v>
      </c>
      <c r="H56" s="102" t="e">
        <f t="shared" si="7"/>
        <v>#VALUE!</v>
      </c>
    </row>
    <row r="57" spans="1:8" x14ac:dyDescent="0.25">
      <c r="A57" s="124" t="s">
        <v>30</v>
      </c>
      <c r="B57" s="119" t="s">
        <v>31</v>
      </c>
      <c r="C57" s="115">
        <v>-40.239042269999999</v>
      </c>
      <c r="D57" s="115">
        <v>-39.444713839999999</v>
      </c>
      <c r="E57" s="115">
        <f>'H2=2H'!D62/2</f>
        <v>-0.49619863601800002</v>
      </c>
      <c r="F57" s="50">
        <f t="shared" si="5"/>
        <v>0.29812979398199957</v>
      </c>
      <c r="G57" s="50">
        <f t="shared" ref="G57:G59" si="8">F57*628.5095</f>
        <v>187.37740775072956</v>
      </c>
      <c r="H57" s="100">
        <f t="shared" si="7"/>
        <v>84.077407750729563</v>
      </c>
    </row>
    <row r="58" spans="1:8" x14ac:dyDescent="0.25">
      <c r="A58" s="125" t="s">
        <v>30</v>
      </c>
      <c r="B58" s="120" t="s">
        <v>29</v>
      </c>
      <c r="C58" s="97">
        <v>-40.463311750000003</v>
      </c>
      <c r="D58" s="97">
        <v>-39.678503679999999</v>
      </c>
      <c r="E58" s="97">
        <f>'H2=2H'!D63/2</f>
        <v>-0.49823290920199997</v>
      </c>
      <c r="F58" s="96">
        <f t="shared" si="5"/>
        <v>0.2865751607980016</v>
      </c>
      <c r="G58" s="96">
        <f t="shared" si="8"/>
        <v>180.1152110255716</v>
      </c>
      <c r="H58" s="101">
        <f t="shared" si="7"/>
        <v>76.8152110255716</v>
      </c>
    </row>
    <row r="59" spans="1:8" x14ac:dyDescent="0.25">
      <c r="A59" s="125" t="s">
        <v>30</v>
      </c>
      <c r="B59" s="120" t="s">
        <v>19</v>
      </c>
      <c r="C59" s="97">
        <v>-40.449990890000002</v>
      </c>
      <c r="D59" s="97">
        <v>-39.668401629999998</v>
      </c>
      <c r="E59" s="97">
        <f>'H2=2H'!D64/2</f>
        <v>-0.49927840342000002</v>
      </c>
      <c r="F59" s="96">
        <f t="shared" si="5"/>
        <v>0.2823108565800041</v>
      </c>
      <c r="G59" s="96">
        <f t="shared" si="8"/>
        <v>177.43505531367009</v>
      </c>
      <c r="H59" s="101">
        <f t="shared" si="7"/>
        <v>74.135055313670094</v>
      </c>
    </row>
    <row r="60" spans="1:8" x14ac:dyDescent="0.25">
      <c r="A60" s="125" t="s">
        <v>30</v>
      </c>
      <c r="B60" s="120" t="s">
        <v>20</v>
      </c>
      <c r="C60" s="97">
        <v>-40.456237350000002</v>
      </c>
      <c r="D60" s="97">
        <v>-39.674310370000001</v>
      </c>
      <c r="E60" s="97">
        <f>'H2=2H'!D65/2</f>
        <v>-0.49933431544000001</v>
      </c>
      <c r="F60" s="96">
        <f t="shared" si="5"/>
        <v>0.28259266455999921</v>
      </c>
      <c r="G60" s="96">
        <f>F60*627.503</f>
        <v>177.32774478939319</v>
      </c>
      <c r="H60" s="101">
        <f t="shared" si="7"/>
        <v>74.027744789393196</v>
      </c>
    </row>
    <row r="61" spans="1:8" ht="15.75" thickBot="1" x14ac:dyDescent="0.3">
      <c r="A61" s="78" t="s">
        <v>30</v>
      </c>
      <c r="B61" s="102" t="s">
        <v>21</v>
      </c>
      <c r="C61" s="77" t="s">
        <v>43</v>
      </c>
      <c r="D61" s="77" t="s">
        <v>43</v>
      </c>
      <c r="E61" s="77" t="e">
        <f>D61*627.503</f>
        <v>#VALUE!</v>
      </c>
      <c r="F61" s="77" t="e">
        <f t="shared" si="5"/>
        <v>#VALUE!</v>
      </c>
      <c r="G61" s="77" t="e">
        <f t="shared" ref="G61:G64" si="9">F61*628.5095</f>
        <v>#VALUE!</v>
      </c>
      <c r="H61" s="102" t="e">
        <f t="shared" si="7"/>
        <v>#VALUE!</v>
      </c>
    </row>
    <row r="62" spans="1:8" x14ac:dyDescent="0.25">
      <c r="A62" s="58" t="s">
        <v>32</v>
      </c>
      <c r="B62" s="121" t="s">
        <v>31</v>
      </c>
      <c r="C62" s="97">
        <v>-40.048908439999998</v>
      </c>
      <c r="D62" s="97">
        <v>-39.19159294</v>
      </c>
      <c r="E62" s="97">
        <f>'H2=2H'!D67/2</f>
        <v>0</v>
      </c>
      <c r="F62" s="96">
        <f t="shared" si="5"/>
        <v>0.85731549999999856</v>
      </c>
      <c r="G62" s="96">
        <f t="shared" si="9"/>
        <v>538.83093624724916</v>
      </c>
      <c r="H62" s="101">
        <f t="shared" si="7"/>
        <v>435.53093624724914</v>
      </c>
    </row>
    <row r="63" spans="1:8" x14ac:dyDescent="0.25">
      <c r="A63" s="58" t="s">
        <v>32</v>
      </c>
      <c r="B63" s="101" t="s">
        <v>29</v>
      </c>
      <c r="C63" s="97">
        <v>-40.34110201</v>
      </c>
      <c r="D63" s="97">
        <v>-39.42469457</v>
      </c>
      <c r="E63" s="97">
        <f>'H2=2H'!D68/2</f>
        <v>0</v>
      </c>
      <c r="F63" s="96">
        <f t="shared" si="5"/>
        <v>0.91640744000000041</v>
      </c>
      <c r="G63" s="96">
        <f t="shared" si="9"/>
        <v>575.97078191068022</v>
      </c>
      <c r="H63" s="101">
        <f t="shared" si="7"/>
        <v>472.6707819106802</v>
      </c>
    </row>
    <row r="64" spans="1:8" x14ac:dyDescent="0.25">
      <c r="A64" s="58" t="s">
        <v>32</v>
      </c>
      <c r="B64" s="101" t="s">
        <v>19</v>
      </c>
      <c r="C64" s="97">
        <v>-40.329210019999998</v>
      </c>
      <c r="D64" s="114">
        <v>-39.418559469999998</v>
      </c>
      <c r="E64" s="97">
        <f>'H2=2H'!D69/2</f>
        <v>0</v>
      </c>
      <c r="F64" s="96">
        <f t="shared" si="5"/>
        <v>0.91065054999999973</v>
      </c>
      <c r="G64" s="96">
        <f t="shared" si="9"/>
        <v>572.35252185522484</v>
      </c>
      <c r="H64" s="101">
        <f t="shared" si="7"/>
        <v>469.05252185522482</v>
      </c>
    </row>
    <row r="65" spans="1:8" x14ac:dyDescent="0.25">
      <c r="A65" s="58" t="s">
        <v>32</v>
      </c>
      <c r="B65" s="101" t="s">
        <v>20</v>
      </c>
      <c r="C65" s="97">
        <v>-40.337969270000002</v>
      </c>
      <c r="D65" s="97">
        <v>-39.421457770000004</v>
      </c>
      <c r="E65" s="97">
        <f>'H2=2H'!D70/2</f>
        <v>0</v>
      </c>
      <c r="F65" s="96">
        <f t="shared" si="5"/>
        <v>0.91651149999999859</v>
      </c>
      <c r="G65" s="96">
        <f>F65*627.503</f>
        <v>575.11371578449916</v>
      </c>
      <c r="H65" s="101">
        <f t="shared" si="7"/>
        <v>471.81371578449915</v>
      </c>
    </row>
    <row r="66" spans="1:8" ht="15.75" thickBot="1" x14ac:dyDescent="0.3">
      <c r="A66" s="78" t="s">
        <v>32</v>
      </c>
      <c r="B66" s="102" t="s">
        <v>21</v>
      </c>
      <c r="C66" s="77" t="s">
        <v>43</v>
      </c>
      <c r="D66" s="77" t="s">
        <v>43</v>
      </c>
      <c r="E66" s="77" t="e">
        <f>D66*627.503</f>
        <v>#VALUE!</v>
      </c>
      <c r="F66" s="77" t="e">
        <f t="shared" si="5"/>
        <v>#VALUE!</v>
      </c>
      <c r="G66" s="77" t="e">
        <f>F66*628.5095</f>
        <v>#VALUE!</v>
      </c>
      <c r="H66" s="102" t="e">
        <f t="shared" si="7"/>
        <v>#VALUE!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H2=2H</vt:lpstr>
      <vt:lpstr>CH4=CH3+H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2024-05-03T13:59:54Z</dcterms:created>
  <dcterms:modified xsi:type="dcterms:W3CDTF">2024-06-22T18:36:06Z</dcterms:modified>
</cp:coreProperties>
</file>